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ouilla\Documents\Faculty\"/>
    </mc:Choice>
  </mc:AlternateContent>
  <bookViews>
    <workbookView xWindow="0" yWindow="460" windowWidth="6880" windowHeight="4820" tabRatio="777"/>
  </bookViews>
  <sheets>
    <sheet name="Menu" sheetId="50" r:id="rId1"/>
    <sheet name="analyse" sheetId="54" r:id="rId2"/>
    <sheet name="Modif" sheetId="53" r:id="rId3"/>
    <sheet name="Param" sheetId="51" r:id="rId4"/>
    <sheet name="Faculty Members_List" sheetId="37" r:id="rId5"/>
    <sheet name="Faculty Members_Stat" sheetId="39" r:id="rId6"/>
    <sheet name="Faculty Members_StatGph" sheetId="2" r:id="rId7"/>
    <sheet name="Simul" sheetId="41" r:id="rId8"/>
    <sheet name="recap_Incmpres" sheetId="55" r:id="rId9"/>
    <sheet name="envB2018" sheetId="56" r:id="rId10"/>
    <sheet name="Transferts2018_EnvB" sheetId="57" r:id="rId11"/>
  </sheets>
  <functionGroups builtInGroupCount="18"/>
  <externalReferences>
    <externalReference r:id="rId12"/>
  </externalReferences>
  <definedNames>
    <definedName name="_xlnm._FilterDatabase" localSheetId="1" hidden="1">analyse!$A$2:$AH$814</definedName>
    <definedName name="_xlnm._FilterDatabase" localSheetId="4" hidden="1">'Faculty Members_List'!$A$1:$CL$256</definedName>
    <definedName name="_xlnm._FilterDatabase" localSheetId="10" hidden="1">Transferts2018_EnvB!$A$1:$S$1136</definedName>
    <definedName name="Projects">'[1]Salary Plan'!#REF!</definedName>
    <definedName name="Salaries">'[1]Salary Plan'!#REF!</definedName>
  </definedNames>
  <calcPr calcId="152511" concurrentCalc="0"/>
</workbook>
</file>

<file path=xl/calcChain.xml><?xml version="1.0" encoding="utf-8"?>
<calcChain xmlns="http://schemas.openxmlformats.org/spreadsheetml/2006/main">
  <c r="AR257" i="37" l="1"/>
  <c r="AS257" i="37"/>
  <c r="AQ257" i="37"/>
  <c r="U219" i="37"/>
  <c r="G35" i="50"/>
  <c r="AE34" i="50"/>
  <c r="G36" i="50"/>
  <c r="AF34" i="50"/>
  <c r="AG34" i="50"/>
  <c r="AH34" i="50"/>
  <c r="AI34" i="50"/>
  <c r="AJ34" i="50"/>
  <c r="AK34" i="50"/>
  <c r="AL34" i="50"/>
  <c r="AM34" i="50"/>
  <c r="AN34" i="50"/>
  <c r="AO34" i="50"/>
  <c r="AP34" i="50"/>
  <c r="U10" i="50"/>
  <c r="V14" i="50"/>
  <c r="T14" i="50"/>
  <c r="V13" i="50"/>
  <c r="T13" i="50"/>
  <c r="AQ74" i="37"/>
  <c r="AQ38" i="37"/>
  <c r="AQ131" i="37"/>
  <c r="AR131" i="37"/>
  <c r="T3" i="55"/>
  <c r="AC56" i="55"/>
  <c r="H175" i="39"/>
  <c r="P140" i="37"/>
  <c r="P142" i="37"/>
  <c r="Q76" i="55"/>
  <c r="Q54" i="55"/>
  <c r="P54" i="55"/>
  <c r="O54" i="55"/>
  <c r="N54" i="55"/>
  <c r="Q44" i="55"/>
  <c r="P44" i="55"/>
  <c r="O44" i="55"/>
  <c r="Q41" i="55"/>
  <c r="Q24" i="55"/>
  <c r="P24" i="55"/>
  <c r="Q17" i="55"/>
  <c r="P17" i="55"/>
  <c r="O17" i="55"/>
  <c r="Q14" i="55"/>
  <c r="P14" i="55"/>
  <c r="O14" i="55"/>
  <c r="Q13" i="55"/>
  <c r="P13" i="55"/>
  <c r="O13" i="55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35" i="55"/>
  <c r="F36" i="55"/>
  <c r="F37" i="55"/>
  <c r="F38" i="55"/>
  <c r="F39" i="55"/>
  <c r="F40" i="55"/>
  <c r="F41" i="55"/>
  <c r="F42" i="55"/>
  <c r="F43" i="55"/>
  <c r="F44" i="55"/>
  <c r="F45" i="55"/>
  <c r="F46" i="55"/>
  <c r="F47" i="55"/>
  <c r="F48" i="55"/>
  <c r="F49" i="55"/>
  <c r="F50" i="55"/>
  <c r="F51" i="55"/>
  <c r="F52" i="55"/>
  <c r="F53" i="55"/>
  <c r="F54" i="55"/>
  <c r="F55" i="55"/>
  <c r="F56" i="55"/>
  <c r="F57" i="55"/>
  <c r="F58" i="55"/>
  <c r="F59" i="55"/>
  <c r="F60" i="55"/>
  <c r="F61" i="55"/>
  <c r="F62" i="55"/>
  <c r="F63" i="55"/>
  <c r="F64" i="55"/>
  <c r="F65" i="55"/>
  <c r="F66" i="55"/>
  <c r="F67" i="55"/>
  <c r="F68" i="55"/>
  <c r="F69" i="55"/>
  <c r="F70" i="55"/>
  <c r="F71" i="55"/>
  <c r="F72" i="55"/>
  <c r="F73" i="55"/>
  <c r="F74" i="55"/>
  <c r="F75" i="55"/>
  <c r="F76" i="55"/>
  <c r="F77" i="55"/>
  <c r="F78" i="55"/>
  <c r="F79" i="55"/>
  <c r="F80" i="55"/>
  <c r="F81" i="55"/>
  <c r="F82" i="55"/>
  <c r="F83" i="55"/>
  <c r="F3" i="55"/>
  <c r="X82" i="57"/>
  <c r="X81" i="57"/>
  <c r="X80" i="57"/>
  <c r="X79" i="57"/>
  <c r="X78" i="57"/>
  <c r="X77" i="57"/>
  <c r="X76" i="57"/>
  <c r="X75" i="57"/>
  <c r="X74" i="57"/>
  <c r="X73" i="57"/>
  <c r="X72" i="57"/>
  <c r="X71" i="57"/>
  <c r="X70" i="57"/>
  <c r="X69" i="57"/>
  <c r="X68" i="57"/>
  <c r="X67" i="57"/>
  <c r="X66" i="57"/>
  <c r="X65" i="57"/>
  <c r="X64" i="57"/>
  <c r="X63" i="57"/>
  <c r="X62" i="57"/>
  <c r="X61" i="57"/>
  <c r="X60" i="57"/>
  <c r="X59" i="57"/>
  <c r="X58" i="57"/>
  <c r="X57" i="57"/>
  <c r="X56" i="57"/>
  <c r="X55" i="57"/>
  <c r="X54" i="57"/>
  <c r="X53" i="57"/>
  <c r="X52" i="57"/>
  <c r="X51" i="57"/>
  <c r="X50" i="57"/>
  <c r="X49" i="57"/>
  <c r="X48" i="57"/>
  <c r="X47" i="57"/>
  <c r="X46" i="57"/>
  <c r="X45" i="57"/>
  <c r="X44" i="57"/>
  <c r="X43" i="57"/>
  <c r="X42" i="57"/>
  <c r="X41" i="57"/>
  <c r="X40" i="57"/>
  <c r="X39" i="57"/>
  <c r="X38" i="57"/>
  <c r="X37" i="57"/>
  <c r="X36" i="57"/>
  <c r="X35" i="57"/>
  <c r="X34" i="57"/>
  <c r="X33" i="57"/>
  <c r="X32" i="57"/>
  <c r="X31" i="57"/>
  <c r="X30" i="57"/>
  <c r="X29" i="57"/>
  <c r="X28" i="57"/>
  <c r="X27" i="57"/>
  <c r="X26" i="57"/>
  <c r="X25" i="57"/>
  <c r="X24" i="57"/>
  <c r="X23" i="57"/>
  <c r="X22" i="57"/>
  <c r="X21" i="57"/>
  <c r="X20" i="57"/>
  <c r="X19" i="57"/>
  <c r="X18" i="57"/>
  <c r="X17" i="57"/>
  <c r="X16" i="57"/>
  <c r="X15" i="57"/>
  <c r="X14" i="57"/>
  <c r="X13" i="57"/>
  <c r="X12" i="57"/>
  <c r="X11" i="57"/>
  <c r="X10" i="57"/>
  <c r="X9" i="57"/>
  <c r="X8" i="57"/>
  <c r="X7" i="57"/>
  <c r="X6" i="57"/>
  <c r="X5" i="57"/>
  <c r="X4" i="57"/>
  <c r="X3" i="57"/>
  <c r="X2" i="57"/>
  <c r="W3" i="57"/>
  <c r="W4" i="57"/>
  <c r="W5" i="57"/>
  <c r="W6" i="57"/>
  <c r="L7" i="55"/>
  <c r="W7" i="57"/>
  <c r="W8" i="57"/>
  <c r="W9" i="57"/>
  <c r="L10" i="55"/>
  <c r="W10" i="57"/>
  <c r="L11" i="55"/>
  <c r="W11" i="57"/>
  <c r="W12" i="57"/>
  <c r="W13" i="57"/>
  <c r="L14" i="55"/>
  <c r="W14" i="57"/>
  <c r="L15" i="55"/>
  <c r="W15" i="57"/>
  <c r="W16" i="57"/>
  <c r="W17" i="57"/>
  <c r="L18" i="55"/>
  <c r="W18" i="57"/>
  <c r="L19" i="55"/>
  <c r="W19" i="57"/>
  <c r="W20" i="57"/>
  <c r="W21" i="57"/>
  <c r="L22" i="55"/>
  <c r="W22" i="57"/>
  <c r="L23" i="55"/>
  <c r="W23" i="57"/>
  <c r="W24" i="57"/>
  <c r="W25" i="57"/>
  <c r="L26" i="55"/>
  <c r="W26" i="57"/>
  <c r="L27" i="55"/>
  <c r="W27" i="57"/>
  <c r="W28" i="57"/>
  <c r="W29" i="57"/>
  <c r="L30" i="55"/>
  <c r="W30" i="57"/>
  <c r="L31" i="55"/>
  <c r="W31" i="57"/>
  <c r="W32" i="57"/>
  <c r="L33" i="55"/>
  <c r="W33" i="57"/>
  <c r="L34" i="55"/>
  <c r="W34" i="57"/>
  <c r="L35" i="55"/>
  <c r="W35" i="57"/>
  <c r="W36" i="57"/>
  <c r="W37" i="57"/>
  <c r="L38" i="55"/>
  <c r="W38" i="57"/>
  <c r="L39" i="55"/>
  <c r="W39" i="57"/>
  <c r="L40" i="55"/>
  <c r="W40" i="57"/>
  <c r="L41" i="55"/>
  <c r="W41" i="57"/>
  <c r="L42" i="55"/>
  <c r="W42" i="57"/>
  <c r="L43" i="55"/>
  <c r="W43" i="57"/>
  <c r="W44" i="57"/>
  <c r="W45" i="57"/>
  <c r="L46" i="55"/>
  <c r="W46" i="57"/>
  <c r="L47" i="55"/>
  <c r="W47" i="57"/>
  <c r="L48" i="55"/>
  <c r="W48" i="57"/>
  <c r="L49" i="55"/>
  <c r="W49" i="57"/>
  <c r="L50" i="55"/>
  <c r="W50" i="57"/>
  <c r="L51" i="55"/>
  <c r="W51" i="57"/>
  <c r="W52" i="57"/>
  <c r="W53" i="57"/>
  <c r="L54" i="55"/>
  <c r="M54" i="55"/>
  <c r="W54" i="57"/>
  <c r="L55" i="55"/>
  <c r="W55" i="57"/>
  <c r="L56" i="55"/>
  <c r="W56" i="57"/>
  <c r="L57" i="55"/>
  <c r="W57" i="57"/>
  <c r="L58" i="55"/>
  <c r="W58" i="57"/>
  <c r="L59" i="55"/>
  <c r="W59" i="57"/>
  <c r="W60" i="57"/>
  <c r="W61" i="57"/>
  <c r="L62" i="55"/>
  <c r="W62" i="57"/>
  <c r="L63" i="55"/>
  <c r="W63" i="57"/>
  <c r="L64" i="55"/>
  <c r="W64" i="57"/>
  <c r="L65" i="55"/>
  <c r="W65" i="57"/>
  <c r="L66" i="55"/>
  <c r="W66" i="57"/>
  <c r="L67" i="55"/>
  <c r="W67" i="57"/>
  <c r="W68" i="57"/>
  <c r="W69" i="57"/>
  <c r="L70" i="55"/>
  <c r="W70" i="57"/>
  <c r="L71" i="55"/>
  <c r="W71" i="57"/>
  <c r="L72" i="55"/>
  <c r="W72" i="57"/>
  <c r="L73" i="55"/>
  <c r="W73" i="57"/>
  <c r="L74" i="55"/>
  <c r="W74" i="57"/>
  <c r="L75" i="55"/>
  <c r="W75" i="57"/>
  <c r="W76" i="57"/>
  <c r="W77" i="57"/>
  <c r="L78" i="55"/>
  <c r="W78" i="57"/>
  <c r="L79" i="55"/>
  <c r="W79" i="57"/>
  <c r="L80" i="55"/>
  <c r="W80" i="57"/>
  <c r="L81" i="55"/>
  <c r="W81" i="57"/>
  <c r="L82" i="55"/>
  <c r="W82" i="57"/>
  <c r="L83" i="55"/>
  <c r="W2" i="57"/>
  <c r="L25" i="55"/>
  <c r="O25" i="55"/>
  <c r="L17" i="55"/>
  <c r="M17" i="55"/>
  <c r="L9" i="55"/>
  <c r="P9" i="55"/>
  <c r="L6" i="55"/>
  <c r="O6" i="55"/>
  <c r="Q83" i="55"/>
  <c r="P83" i="55"/>
  <c r="O83" i="55"/>
  <c r="N83" i="55"/>
  <c r="M83" i="55"/>
  <c r="N74" i="55"/>
  <c r="M74" i="55"/>
  <c r="O74" i="55"/>
  <c r="Q74" i="55"/>
  <c r="P74" i="55"/>
  <c r="N66" i="55"/>
  <c r="M66" i="55"/>
  <c r="P66" i="55"/>
  <c r="Q66" i="55"/>
  <c r="O66" i="55"/>
  <c r="N58" i="55"/>
  <c r="M58" i="55"/>
  <c r="P58" i="55"/>
  <c r="Q58" i="55"/>
  <c r="O58" i="55"/>
  <c r="N50" i="55"/>
  <c r="M50" i="55"/>
  <c r="Q50" i="55"/>
  <c r="P50" i="55"/>
  <c r="O50" i="55"/>
  <c r="N42" i="55"/>
  <c r="M42" i="55"/>
  <c r="P42" i="55"/>
  <c r="Q42" i="55"/>
  <c r="O42" i="55"/>
  <c r="N34" i="55"/>
  <c r="M34" i="55"/>
  <c r="P34" i="55"/>
  <c r="Q34" i="55"/>
  <c r="O34" i="55"/>
  <c r="N26" i="55"/>
  <c r="M26" i="55"/>
  <c r="Q26" i="55"/>
  <c r="P26" i="55"/>
  <c r="O26" i="55"/>
  <c r="N18" i="55"/>
  <c r="M18" i="55"/>
  <c r="Q18" i="55"/>
  <c r="P18" i="55"/>
  <c r="O18" i="55"/>
  <c r="N10" i="55"/>
  <c r="M10" i="55"/>
  <c r="Q10" i="55"/>
  <c r="P10" i="55"/>
  <c r="O10" i="55"/>
  <c r="Q73" i="55"/>
  <c r="P73" i="55"/>
  <c r="M73" i="55"/>
  <c r="O73" i="55"/>
  <c r="N73" i="55"/>
  <c r="P33" i="55"/>
  <c r="N33" i="55"/>
  <c r="Q33" i="55"/>
  <c r="M33" i="55"/>
  <c r="O33" i="55"/>
  <c r="P25" i="55"/>
  <c r="Q25" i="55"/>
  <c r="N82" i="55"/>
  <c r="M82" i="55"/>
  <c r="Q82" i="55"/>
  <c r="P82" i="55"/>
  <c r="O82" i="55"/>
  <c r="P41" i="55"/>
  <c r="M41" i="55"/>
  <c r="N41" i="55"/>
  <c r="O41" i="55"/>
  <c r="P80" i="55"/>
  <c r="O80" i="55"/>
  <c r="Q80" i="55"/>
  <c r="N80" i="55"/>
  <c r="M80" i="55"/>
  <c r="P72" i="55"/>
  <c r="O72" i="55"/>
  <c r="N72" i="55"/>
  <c r="M72" i="55"/>
  <c r="Q72" i="55"/>
  <c r="P64" i="55"/>
  <c r="O64" i="55"/>
  <c r="N64" i="55"/>
  <c r="M64" i="55"/>
  <c r="Q64" i="55"/>
  <c r="P56" i="55"/>
  <c r="O56" i="55"/>
  <c r="N56" i="55"/>
  <c r="Q56" i="55"/>
  <c r="M56" i="55"/>
  <c r="P48" i="55"/>
  <c r="O48" i="55"/>
  <c r="M48" i="55"/>
  <c r="N48" i="55"/>
  <c r="Q48" i="55"/>
  <c r="P40" i="55"/>
  <c r="O40" i="55"/>
  <c r="N40" i="55"/>
  <c r="M40" i="55"/>
  <c r="Q40" i="55"/>
  <c r="M49" i="55"/>
  <c r="Q49" i="55"/>
  <c r="P49" i="55"/>
  <c r="N49" i="55"/>
  <c r="O49" i="55"/>
  <c r="M55" i="55"/>
  <c r="N55" i="55"/>
  <c r="O55" i="55"/>
  <c r="Q55" i="55"/>
  <c r="P55" i="55"/>
  <c r="M39" i="55"/>
  <c r="O39" i="55"/>
  <c r="Q39" i="55"/>
  <c r="P39" i="55"/>
  <c r="N39" i="55"/>
  <c r="M31" i="55"/>
  <c r="O31" i="55"/>
  <c r="Q31" i="55"/>
  <c r="P31" i="55"/>
  <c r="N31" i="55"/>
  <c r="M23" i="55"/>
  <c r="O23" i="55"/>
  <c r="Q23" i="55"/>
  <c r="P23" i="55"/>
  <c r="N23" i="55"/>
  <c r="M15" i="55"/>
  <c r="Q15" i="55"/>
  <c r="P15" i="55"/>
  <c r="O15" i="55"/>
  <c r="N15" i="55"/>
  <c r="M7" i="55"/>
  <c r="Q7" i="55"/>
  <c r="P7" i="55"/>
  <c r="O7" i="55"/>
  <c r="N7" i="55"/>
  <c r="Q57" i="55"/>
  <c r="P57" i="55"/>
  <c r="M57" i="55"/>
  <c r="O57" i="55"/>
  <c r="N57" i="55"/>
  <c r="M63" i="55"/>
  <c r="P63" i="55"/>
  <c r="N63" i="55"/>
  <c r="O63" i="55"/>
  <c r="Q63" i="55"/>
  <c r="Q78" i="55"/>
  <c r="P78" i="55"/>
  <c r="O78" i="55"/>
  <c r="N78" i="55"/>
  <c r="M78" i="55"/>
  <c r="Q62" i="55"/>
  <c r="P62" i="55"/>
  <c r="O62" i="55"/>
  <c r="M62" i="55"/>
  <c r="N62" i="55"/>
  <c r="Q38" i="55"/>
  <c r="O38" i="55"/>
  <c r="M38" i="55"/>
  <c r="P38" i="55"/>
  <c r="N38" i="55"/>
  <c r="Q30" i="55"/>
  <c r="O30" i="55"/>
  <c r="M30" i="55"/>
  <c r="P30" i="55"/>
  <c r="N30" i="55"/>
  <c r="Q22" i="55"/>
  <c r="P22" i="55"/>
  <c r="M22" i="55"/>
  <c r="O22" i="55"/>
  <c r="N22" i="55"/>
  <c r="M14" i="55"/>
  <c r="N14" i="55"/>
  <c r="Q81" i="55"/>
  <c r="M81" i="55"/>
  <c r="P81" i="55"/>
  <c r="O81" i="55"/>
  <c r="N81" i="55"/>
  <c r="M79" i="55"/>
  <c r="O79" i="55"/>
  <c r="Q79" i="55"/>
  <c r="P79" i="55"/>
  <c r="N79" i="55"/>
  <c r="M47" i="55"/>
  <c r="O47" i="55"/>
  <c r="Q47" i="55"/>
  <c r="P47" i="55"/>
  <c r="N47" i="55"/>
  <c r="Q70" i="55"/>
  <c r="P70" i="55"/>
  <c r="O70" i="55"/>
  <c r="N70" i="55"/>
  <c r="M70" i="55"/>
  <c r="Q46" i="55"/>
  <c r="P46" i="55"/>
  <c r="O46" i="55"/>
  <c r="M46" i="55"/>
  <c r="N46" i="55"/>
  <c r="M65" i="55"/>
  <c r="Q65" i="55"/>
  <c r="P65" i="55"/>
  <c r="O65" i="55"/>
  <c r="N65" i="55"/>
  <c r="M71" i="55"/>
  <c r="O71" i="55"/>
  <c r="N71" i="55"/>
  <c r="Q71" i="55"/>
  <c r="P71" i="55"/>
  <c r="Q75" i="55"/>
  <c r="P75" i="55"/>
  <c r="O75" i="55"/>
  <c r="N75" i="55"/>
  <c r="M75" i="55"/>
  <c r="Q67" i="55"/>
  <c r="P67" i="55"/>
  <c r="O67" i="55"/>
  <c r="N67" i="55"/>
  <c r="M67" i="55"/>
  <c r="Q59" i="55"/>
  <c r="P59" i="55"/>
  <c r="O59" i="55"/>
  <c r="N59" i="55"/>
  <c r="M59" i="55"/>
  <c r="Q51" i="55"/>
  <c r="P51" i="55"/>
  <c r="O51" i="55"/>
  <c r="N51" i="55"/>
  <c r="M51" i="55"/>
  <c r="Q43" i="55"/>
  <c r="P43" i="55"/>
  <c r="O43" i="55"/>
  <c r="N43" i="55"/>
  <c r="M43" i="55"/>
  <c r="Q35" i="55"/>
  <c r="P35" i="55"/>
  <c r="O35" i="55"/>
  <c r="N35" i="55"/>
  <c r="M35" i="55"/>
  <c r="Q27" i="55"/>
  <c r="P27" i="55"/>
  <c r="O27" i="55"/>
  <c r="N27" i="55"/>
  <c r="M27" i="55"/>
  <c r="Q19" i="55"/>
  <c r="P19" i="55"/>
  <c r="N19" i="55"/>
  <c r="O19" i="55"/>
  <c r="M19" i="55"/>
  <c r="Q11" i="55"/>
  <c r="P11" i="55"/>
  <c r="O11" i="55"/>
  <c r="N11" i="55"/>
  <c r="M11" i="55"/>
  <c r="L32" i="55"/>
  <c r="L24" i="55"/>
  <c r="L16" i="55"/>
  <c r="L8" i="55"/>
  <c r="L13" i="55"/>
  <c r="L21" i="55"/>
  <c r="L3" i="55"/>
  <c r="L29" i="55"/>
  <c r="L37" i="55"/>
  <c r="L45" i="55"/>
  <c r="L53" i="55"/>
  <c r="L61" i="55"/>
  <c r="L69" i="55"/>
  <c r="L77" i="55"/>
  <c r="L76" i="55"/>
  <c r="L68" i="55"/>
  <c r="L60" i="55"/>
  <c r="L52" i="55"/>
  <c r="L44" i="55"/>
  <c r="L36" i="55"/>
  <c r="L28" i="55"/>
  <c r="L20" i="55"/>
  <c r="L12" i="55"/>
  <c r="L4" i="55"/>
  <c r="L5" i="55"/>
  <c r="N25" i="55"/>
  <c r="Q6" i="55"/>
  <c r="O9" i="55"/>
  <c r="M25" i="55"/>
  <c r="N9" i="55"/>
  <c r="Q9" i="55"/>
  <c r="M9" i="55"/>
  <c r="N6" i="55"/>
  <c r="P6" i="55"/>
  <c r="N17" i="55"/>
  <c r="M6" i="55"/>
  <c r="O52" i="55"/>
  <c r="M52" i="55"/>
  <c r="Q52" i="55"/>
  <c r="P52" i="55"/>
  <c r="N52" i="55"/>
  <c r="N36" i="55"/>
  <c r="O36" i="55"/>
  <c r="Q36" i="55"/>
  <c r="P36" i="55"/>
  <c r="M36" i="55"/>
  <c r="O61" i="55"/>
  <c r="N61" i="55"/>
  <c r="M61" i="55"/>
  <c r="P61" i="55"/>
  <c r="Q61" i="55"/>
  <c r="P8" i="55"/>
  <c r="O8" i="55"/>
  <c r="N8" i="55"/>
  <c r="M8" i="55"/>
  <c r="Q8" i="55"/>
  <c r="O45" i="55"/>
  <c r="N45" i="55"/>
  <c r="M45" i="55"/>
  <c r="Q45" i="55"/>
  <c r="P45" i="55"/>
  <c r="N44" i="55"/>
  <c r="M44" i="55"/>
  <c r="O53" i="55"/>
  <c r="N53" i="55"/>
  <c r="Q53" i="55"/>
  <c r="M53" i="55"/>
  <c r="P53" i="55"/>
  <c r="P16" i="55"/>
  <c r="O16" i="55"/>
  <c r="N16" i="55"/>
  <c r="M16" i="55"/>
  <c r="Q16" i="55"/>
  <c r="O60" i="55"/>
  <c r="Q60" i="55"/>
  <c r="M60" i="55"/>
  <c r="P60" i="55"/>
  <c r="N60" i="55"/>
  <c r="O37" i="55"/>
  <c r="N37" i="55"/>
  <c r="M37" i="55"/>
  <c r="Q37" i="55"/>
  <c r="P37" i="55"/>
  <c r="P32" i="55"/>
  <c r="O32" i="55"/>
  <c r="N32" i="55"/>
  <c r="M32" i="55"/>
  <c r="Q32" i="55"/>
  <c r="N4" i="55"/>
  <c r="Q4" i="55"/>
  <c r="O4" i="55"/>
  <c r="P4" i="55"/>
  <c r="M4" i="55"/>
  <c r="M68" i="55"/>
  <c r="Q68" i="55"/>
  <c r="P68" i="55"/>
  <c r="O68" i="55"/>
  <c r="N68" i="55"/>
  <c r="O29" i="55"/>
  <c r="N29" i="55"/>
  <c r="M29" i="55"/>
  <c r="Q29" i="55"/>
  <c r="P29" i="55"/>
  <c r="O24" i="55"/>
  <c r="N24" i="55"/>
  <c r="M24" i="55"/>
  <c r="O12" i="55"/>
  <c r="N12" i="55"/>
  <c r="Q12" i="55"/>
  <c r="P12" i="55"/>
  <c r="M12" i="55"/>
  <c r="M76" i="55"/>
  <c r="P76" i="55"/>
  <c r="O76" i="55"/>
  <c r="N76" i="55"/>
  <c r="O3" i="55"/>
  <c r="P3" i="55"/>
  <c r="Q3" i="55"/>
  <c r="M3" i="55"/>
  <c r="N3" i="55"/>
  <c r="O5" i="55"/>
  <c r="N5" i="55"/>
  <c r="M5" i="55"/>
  <c r="Q5" i="55"/>
  <c r="P5" i="55"/>
  <c r="Q20" i="55"/>
  <c r="O20" i="55"/>
  <c r="N20" i="55"/>
  <c r="P20" i="55"/>
  <c r="M20" i="55"/>
  <c r="O77" i="55"/>
  <c r="N77" i="55"/>
  <c r="M77" i="55"/>
  <c r="P77" i="55"/>
  <c r="Q77" i="55"/>
  <c r="O21" i="55"/>
  <c r="N21" i="55"/>
  <c r="M21" i="55"/>
  <c r="Q21" i="55"/>
  <c r="P21" i="55"/>
  <c r="Q28" i="55"/>
  <c r="O28" i="55"/>
  <c r="N28" i="55"/>
  <c r="P28" i="55"/>
  <c r="M28" i="55"/>
  <c r="O69" i="55"/>
  <c r="N69" i="55"/>
  <c r="P69" i="55"/>
  <c r="M69" i="55"/>
  <c r="Q69" i="55"/>
  <c r="N13" i="55"/>
  <c r="M13" i="55"/>
  <c r="R3" i="57"/>
  <c r="R4" i="57"/>
  <c r="R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225" i="57"/>
  <c r="R226" i="57"/>
  <c r="R227" i="57"/>
  <c r="R228" i="57"/>
  <c r="R229" i="57"/>
  <c r="R230" i="57"/>
  <c r="R231" i="57"/>
  <c r="R232" i="57"/>
  <c r="R233" i="57"/>
  <c r="R234" i="57"/>
  <c r="R235" i="57"/>
  <c r="R236" i="57"/>
  <c r="R237" i="57"/>
  <c r="R238" i="57"/>
  <c r="R239" i="57"/>
  <c r="R240" i="57"/>
  <c r="R241" i="57"/>
  <c r="R242" i="57"/>
  <c r="R243" i="57"/>
  <c r="R244" i="57"/>
  <c r="R245" i="57"/>
  <c r="R246" i="57"/>
  <c r="R247" i="57"/>
  <c r="R248" i="57"/>
  <c r="R249" i="57"/>
  <c r="R250" i="57"/>
  <c r="R251" i="57"/>
  <c r="R252" i="57"/>
  <c r="R253" i="57"/>
  <c r="R254" i="57"/>
  <c r="R255" i="57"/>
  <c r="R256" i="57"/>
  <c r="R257" i="57"/>
  <c r="R258" i="57"/>
  <c r="R259" i="57"/>
  <c r="R260" i="57"/>
  <c r="R261" i="57"/>
  <c r="R262" i="57"/>
  <c r="R263" i="57"/>
  <c r="R264" i="57"/>
  <c r="R265" i="57"/>
  <c r="R266" i="57"/>
  <c r="R267" i="57"/>
  <c r="R268" i="57"/>
  <c r="R269" i="57"/>
  <c r="R270" i="57"/>
  <c r="R271" i="57"/>
  <c r="R272" i="57"/>
  <c r="R273" i="57"/>
  <c r="R274" i="57"/>
  <c r="R275" i="57"/>
  <c r="R276" i="57"/>
  <c r="R277" i="57"/>
  <c r="R278" i="57"/>
  <c r="R279" i="57"/>
  <c r="R280" i="57"/>
  <c r="R281" i="57"/>
  <c r="R282" i="57"/>
  <c r="R283" i="57"/>
  <c r="R284" i="57"/>
  <c r="R285" i="57"/>
  <c r="R286" i="57"/>
  <c r="R287" i="57"/>
  <c r="R288" i="57"/>
  <c r="R289" i="57"/>
  <c r="R290" i="57"/>
  <c r="R291" i="57"/>
  <c r="R292" i="57"/>
  <c r="R293" i="57"/>
  <c r="R294" i="57"/>
  <c r="R295" i="57"/>
  <c r="R296" i="57"/>
  <c r="R297" i="57"/>
  <c r="R298" i="57"/>
  <c r="R299" i="57"/>
  <c r="R300" i="57"/>
  <c r="R301" i="57"/>
  <c r="R302" i="57"/>
  <c r="R303" i="57"/>
  <c r="R304" i="57"/>
  <c r="R305" i="57"/>
  <c r="R306" i="57"/>
  <c r="R307" i="57"/>
  <c r="R308" i="57"/>
  <c r="R309" i="57"/>
  <c r="R310" i="57"/>
  <c r="R311" i="57"/>
  <c r="R312" i="57"/>
  <c r="R313" i="57"/>
  <c r="R314" i="57"/>
  <c r="R315" i="57"/>
  <c r="R316" i="57"/>
  <c r="R317" i="57"/>
  <c r="R318" i="57"/>
  <c r="R319" i="57"/>
  <c r="R320" i="57"/>
  <c r="R321" i="57"/>
  <c r="R322" i="57"/>
  <c r="R323" i="57"/>
  <c r="R324" i="57"/>
  <c r="R325" i="57"/>
  <c r="R326" i="57"/>
  <c r="R327" i="57"/>
  <c r="R328" i="57"/>
  <c r="R329" i="57"/>
  <c r="R330" i="57"/>
  <c r="R331" i="57"/>
  <c r="R332" i="57"/>
  <c r="R333" i="57"/>
  <c r="R334" i="57"/>
  <c r="R335" i="57"/>
  <c r="R336" i="57"/>
  <c r="R337" i="57"/>
  <c r="R338" i="57"/>
  <c r="R339" i="57"/>
  <c r="R340" i="57"/>
  <c r="R341" i="57"/>
  <c r="R342" i="57"/>
  <c r="R343" i="57"/>
  <c r="R344" i="57"/>
  <c r="R345" i="57"/>
  <c r="R346" i="57"/>
  <c r="R347" i="57"/>
  <c r="R348" i="57"/>
  <c r="R349" i="57"/>
  <c r="R350" i="57"/>
  <c r="R351" i="57"/>
  <c r="R352" i="57"/>
  <c r="R353" i="57"/>
  <c r="R354" i="57"/>
  <c r="R355" i="57"/>
  <c r="R356" i="57"/>
  <c r="R357" i="57"/>
  <c r="R358" i="57"/>
  <c r="R359" i="57"/>
  <c r="R360" i="57"/>
  <c r="R361" i="57"/>
  <c r="R362" i="57"/>
  <c r="R363" i="57"/>
  <c r="R364" i="57"/>
  <c r="R365" i="57"/>
  <c r="R366" i="57"/>
  <c r="R367" i="57"/>
  <c r="R368" i="57"/>
  <c r="R369" i="57"/>
  <c r="R370" i="57"/>
  <c r="R371" i="57"/>
  <c r="R372" i="57"/>
  <c r="R373" i="57"/>
  <c r="R374" i="57"/>
  <c r="R375" i="57"/>
  <c r="R376" i="57"/>
  <c r="R377" i="57"/>
  <c r="R378" i="57"/>
  <c r="R379" i="57"/>
  <c r="R380" i="57"/>
  <c r="R381" i="57"/>
  <c r="R382" i="57"/>
  <c r="R383" i="57"/>
  <c r="R384" i="57"/>
  <c r="R385" i="57"/>
  <c r="R386" i="57"/>
  <c r="R387" i="57"/>
  <c r="R388" i="57"/>
  <c r="R389" i="57"/>
  <c r="R390" i="57"/>
  <c r="R391" i="57"/>
  <c r="R392" i="57"/>
  <c r="R393" i="57"/>
  <c r="R394" i="57"/>
  <c r="R395" i="57"/>
  <c r="R396" i="57"/>
  <c r="R397" i="57"/>
  <c r="R398" i="57"/>
  <c r="R399" i="57"/>
  <c r="R400" i="57"/>
  <c r="R401" i="57"/>
  <c r="R402" i="57"/>
  <c r="R403" i="57"/>
  <c r="R404" i="57"/>
  <c r="R405" i="57"/>
  <c r="R406" i="57"/>
  <c r="R407" i="57"/>
  <c r="R408" i="57"/>
  <c r="R409" i="57"/>
  <c r="R410" i="57"/>
  <c r="R411" i="57"/>
  <c r="R412" i="57"/>
  <c r="R413" i="57"/>
  <c r="R414" i="57"/>
  <c r="R415" i="57"/>
  <c r="R416" i="57"/>
  <c r="R417" i="57"/>
  <c r="R418" i="57"/>
  <c r="R419" i="57"/>
  <c r="R420" i="57"/>
  <c r="R421" i="57"/>
  <c r="R422" i="57"/>
  <c r="R423" i="57"/>
  <c r="R424" i="57"/>
  <c r="R425" i="57"/>
  <c r="R426" i="57"/>
  <c r="R427" i="57"/>
  <c r="R428" i="57"/>
  <c r="R429" i="57"/>
  <c r="R430" i="57"/>
  <c r="R431" i="57"/>
  <c r="R432" i="57"/>
  <c r="R433" i="57"/>
  <c r="R434" i="57"/>
  <c r="R435" i="57"/>
  <c r="R436" i="57"/>
  <c r="R437" i="57"/>
  <c r="R438" i="57"/>
  <c r="R439" i="57"/>
  <c r="R440" i="57"/>
  <c r="R441" i="57"/>
  <c r="R442" i="57"/>
  <c r="R443" i="57"/>
  <c r="R444" i="57"/>
  <c r="R445" i="57"/>
  <c r="R446" i="57"/>
  <c r="R447" i="57"/>
  <c r="R448" i="57"/>
  <c r="R449" i="57"/>
  <c r="R450" i="57"/>
  <c r="R451" i="57"/>
  <c r="R452" i="57"/>
  <c r="R453" i="57"/>
  <c r="R454" i="57"/>
  <c r="R455" i="57"/>
  <c r="R456" i="57"/>
  <c r="R457" i="57"/>
  <c r="R458" i="57"/>
  <c r="R459" i="57"/>
  <c r="R460" i="57"/>
  <c r="R461" i="57"/>
  <c r="R462" i="57"/>
  <c r="R463" i="57"/>
  <c r="R464" i="57"/>
  <c r="R465" i="57"/>
  <c r="R466" i="57"/>
  <c r="R467" i="57"/>
  <c r="R468" i="57"/>
  <c r="R469" i="57"/>
  <c r="R470" i="57"/>
  <c r="R471" i="57"/>
  <c r="R472" i="57"/>
  <c r="R473" i="57"/>
  <c r="R474" i="57"/>
  <c r="R475" i="57"/>
  <c r="R476" i="57"/>
  <c r="R477" i="57"/>
  <c r="R478" i="57"/>
  <c r="R479" i="57"/>
  <c r="R480" i="57"/>
  <c r="R481" i="57"/>
  <c r="R482" i="57"/>
  <c r="R483" i="57"/>
  <c r="R484" i="57"/>
  <c r="R485" i="57"/>
  <c r="R486" i="57"/>
  <c r="R487" i="57"/>
  <c r="R488" i="57"/>
  <c r="R489" i="57"/>
  <c r="R490" i="57"/>
  <c r="R491" i="57"/>
  <c r="R492" i="57"/>
  <c r="R493" i="57"/>
  <c r="R494" i="57"/>
  <c r="R495" i="57"/>
  <c r="R496" i="57"/>
  <c r="R497" i="57"/>
  <c r="R498" i="57"/>
  <c r="R499" i="57"/>
  <c r="R500" i="57"/>
  <c r="R501" i="57"/>
  <c r="R502" i="57"/>
  <c r="R503" i="57"/>
  <c r="R504" i="57"/>
  <c r="R505" i="57"/>
  <c r="R506" i="57"/>
  <c r="R507" i="57"/>
  <c r="R508" i="57"/>
  <c r="R509" i="57"/>
  <c r="R510" i="57"/>
  <c r="R511" i="57"/>
  <c r="R512" i="57"/>
  <c r="R513" i="57"/>
  <c r="R514" i="57"/>
  <c r="R515" i="57"/>
  <c r="R516" i="57"/>
  <c r="R517" i="57"/>
  <c r="R518" i="57"/>
  <c r="R519" i="57"/>
  <c r="R520" i="57"/>
  <c r="R521" i="57"/>
  <c r="R522" i="57"/>
  <c r="R523" i="57"/>
  <c r="R524" i="57"/>
  <c r="R525" i="57"/>
  <c r="R526" i="57"/>
  <c r="R527" i="57"/>
  <c r="R528" i="57"/>
  <c r="R529" i="57"/>
  <c r="R530" i="57"/>
  <c r="R531" i="57"/>
  <c r="R532" i="57"/>
  <c r="R533" i="57"/>
  <c r="R534" i="57"/>
  <c r="R535" i="57"/>
  <c r="R536" i="57"/>
  <c r="R537" i="57"/>
  <c r="R538" i="57"/>
  <c r="R539" i="57"/>
  <c r="R540" i="57"/>
  <c r="R541" i="57"/>
  <c r="R542" i="57"/>
  <c r="R543" i="57"/>
  <c r="R544" i="57"/>
  <c r="R545" i="57"/>
  <c r="R546" i="57"/>
  <c r="R547" i="57"/>
  <c r="R548" i="57"/>
  <c r="R549" i="57"/>
  <c r="R550" i="57"/>
  <c r="R551" i="57"/>
  <c r="R552" i="57"/>
  <c r="R553" i="57"/>
  <c r="R554" i="57"/>
  <c r="R555" i="57"/>
  <c r="R556" i="57"/>
  <c r="R557" i="57"/>
  <c r="R558" i="57"/>
  <c r="R559" i="57"/>
  <c r="R560" i="57"/>
  <c r="R561" i="57"/>
  <c r="R562" i="57"/>
  <c r="R563" i="57"/>
  <c r="R564" i="57"/>
  <c r="R565" i="57"/>
  <c r="R566" i="57"/>
  <c r="R567" i="57"/>
  <c r="R568" i="57"/>
  <c r="R569" i="57"/>
  <c r="R570" i="57"/>
  <c r="R571" i="57"/>
  <c r="R572" i="57"/>
  <c r="R573" i="57"/>
  <c r="R574" i="57"/>
  <c r="R575" i="57"/>
  <c r="R576" i="57"/>
  <c r="R577" i="57"/>
  <c r="R578" i="57"/>
  <c r="R579" i="57"/>
  <c r="R580" i="57"/>
  <c r="R581" i="57"/>
  <c r="R582" i="57"/>
  <c r="R583" i="57"/>
  <c r="R584" i="57"/>
  <c r="R585" i="57"/>
  <c r="R586" i="57"/>
  <c r="R587" i="57"/>
  <c r="R588" i="57"/>
  <c r="R589" i="57"/>
  <c r="R590" i="57"/>
  <c r="R591" i="57"/>
  <c r="R592" i="57"/>
  <c r="R593" i="57"/>
  <c r="R594" i="57"/>
  <c r="R595" i="57"/>
  <c r="R596" i="57"/>
  <c r="R597" i="57"/>
  <c r="R598" i="57"/>
  <c r="R599" i="57"/>
  <c r="R600" i="57"/>
  <c r="R601" i="57"/>
  <c r="R602" i="57"/>
  <c r="R603" i="57"/>
  <c r="R604" i="57"/>
  <c r="R605" i="57"/>
  <c r="R606" i="57"/>
  <c r="R607" i="57"/>
  <c r="R608" i="57"/>
  <c r="R609" i="57"/>
  <c r="R610" i="57"/>
  <c r="R611" i="57"/>
  <c r="R612" i="57"/>
  <c r="R613" i="57"/>
  <c r="R614" i="57"/>
  <c r="R615" i="57"/>
  <c r="R616" i="57"/>
  <c r="R617" i="57"/>
  <c r="R618" i="57"/>
  <c r="R619" i="57"/>
  <c r="R620" i="57"/>
  <c r="R621" i="57"/>
  <c r="R622" i="57"/>
  <c r="R623" i="57"/>
  <c r="R624" i="57"/>
  <c r="R625" i="57"/>
  <c r="R626" i="57"/>
  <c r="R627" i="57"/>
  <c r="R628" i="57"/>
  <c r="R629" i="57"/>
  <c r="R630" i="57"/>
  <c r="R631" i="57"/>
  <c r="R632" i="57"/>
  <c r="R633" i="57"/>
  <c r="R634" i="57"/>
  <c r="R635" i="57"/>
  <c r="R636" i="57"/>
  <c r="R637" i="57"/>
  <c r="R638" i="57"/>
  <c r="R639" i="57"/>
  <c r="R640" i="57"/>
  <c r="R641" i="57"/>
  <c r="R642" i="57"/>
  <c r="R643" i="57"/>
  <c r="R644" i="57"/>
  <c r="R645" i="57"/>
  <c r="R646" i="57"/>
  <c r="R647" i="57"/>
  <c r="R648" i="57"/>
  <c r="R649" i="57"/>
  <c r="R650" i="57"/>
  <c r="R651" i="57"/>
  <c r="R652" i="57"/>
  <c r="R653" i="57"/>
  <c r="R654" i="57"/>
  <c r="R655" i="57"/>
  <c r="R656" i="57"/>
  <c r="R657" i="57"/>
  <c r="R658" i="57"/>
  <c r="R659" i="57"/>
  <c r="R660" i="57"/>
  <c r="R661" i="57"/>
  <c r="R662" i="57"/>
  <c r="R663" i="57"/>
  <c r="R664" i="57"/>
  <c r="R665" i="57"/>
  <c r="R666" i="57"/>
  <c r="R667" i="57"/>
  <c r="R668" i="57"/>
  <c r="R669" i="57"/>
  <c r="R670" i="57"/>
  <c r="R671" i="57"/>
  <c r="R672" i="57"/>
  <c r="R673" i="57"/>
  <c r="R674" i="57"/>
  <c r="R675" i="57"/>
  <c r="R676" i="57"/>
  <c r="R677" i="57"/>
  <c r="R678" i="57"/>
  <c r="R679" i="57"/>
  <c r="R680" i="57"/>
  <c r="R681" i="57"/>
  <c r="R682" i="57"/>
  <c r="R683" i="57"/>
  <c r="R684" i="57"/>
  <c r="R685" i="57"/>
  <c r="R686" i="57"/>
  <c r="R687" i="57"/>
  <c r="R688" i="57"/>
  <c r="R689" i="57"/>
  <c r="R690" i="57"/>
  <c r="R691" i="57"/>
  <c r="R692" i="57"/>
  <c r="R693" i="57"/>
  <c r="R694" i="57"/>
  <c r="R695" i="57"/>
  <c r="R696" i="57"/>
  <c r="R697" i="57"/>
  <c r="R698" i="57"/>
  <c r="R699" i="57"/>
  <c r="R700" i="57"/>
  <c r="R701" i="57"/>
  <c r="R702" i="57"/>
  <c r="R703" i="57"/>
  <c r="R704" i="57"/>
  <c r="R705" i="57"/>
  <c r="R706" i="57"/>
  <c r="R707" i="57"/>
  <c r="R708" i="57"/>
  <c r="R709" i="57"/>
  <c r="R710" i="57"/>
  <c r="R711" i="57"/>
  <c r="R712" i="57"/>
  <c r="R713" i="57"/>
  <c r="R714" i="57"/>
  <c r="R715" i="57"/>
  <c r="R716" i="57"/>
  <c r="R717" i="57"/>
  <c r="R718" i="57"/>
  <c r="R719" i="57"/>
  <c r="R720" i="57"/>
  <c r="R721" i="57"/>
  <c r="R722" i="57"/>
  <c r="R723" i="57"/>
  <c r="R724" i="57"/>
  <c r="R725" i="57"/>
  <c r="R726" i="57"/>
  <c r="R727" i="57"/>
  <c r="R728" i="57"/>
  <c r="R729" i="57"/>
  <c r="R730" i="57"/>
  <c r="R731" i="57"/>
  <c r="R732" i="57"/>
  <c r="R733" i="57"/>
  <c r="R734" i="57"/>
  <c r="R735" i="57"/>
  <c r="R736" i="57"/>
  <c r="R737" i="57"/>
  <c r="R738" i="57"/>
  <c r="R739" i="57"/>
  <c r="R740" i="57"/>
  <c r="R741" i="57"/>
  <c r="R742" i="57"/>
  <c r="R743" i="57"/>
  <c r="R744" i="57"/>
  <c r="R745" i="57"/>
  <c r="R746" i="57"/>
  <c r="R747" i="57"/>
  <c r="R748" i="57"/>
  <c r="R749" i="57"/>
  <c r="R750" i="57"/>
  <c r="R751" i="57"/>
  <c r="R752" i="57"/>
  <c r="R753" i="57"/>
  <c r="R754" i="57"/>
  <c r="R755" i="57"/>
  <c r="R756" i="57"/>
  <c r="R757" i="57"/>
  <c r="R758" i="57"/>
  <c r="R759" i="57"/>
  <c r="R760" i="57"/>
  <c r="R761" i="57"/>
  <c r="R762" i="57"/>
  <c r="R763" i="57"/>
  <c r="R764" i="57"/>
  <c r="R765" i="57"/>
  <c r="R766" i="57"/>
  <c r="R767" i="57"/>
  <c r="R768" i="57"/>
  <c r="R769" i="57"/>
  <c r="R770" i="57"/>
  <c r="R771" i="57"/>
  <c r="R772" i="57"/>
  <c r="R773" i="57"/>
  <c r="R774" i="57"/>
  <c r="R775" i="57"/>
  <c r="R776" i="57"/>
  <c r="R777" i="57"/>
  <c r="R778" i="57"/>
  <c r="R779" i="57"/>
  <c r="R780" i="57"/>
  <c r="R781" i="57"/>
  <c r="R782" i="57"/>
  <c r="R783" i="57"/>
  <c r="R784" i="57"/>
  <c r="R785" i="57"/>
  <c r="R786" i="57"/>
  <c r="R787" i="57"/>
  <c r="R788" i="57"/>
  <c r="R789" i="57"/>
  <c r="R790" i="57"/>
  <c r="R791" i="57"/>
  <c r="R792" i="57"/>
  <c r="R793" i="57"/>
  <c r="R794" i="57"/>
  <c r="R795" i="57"/>
  <c r="R796" i="57"/>
  <c r="R797" i="57"/>
  <c r="R798" i="57"/>
  <c r="R799" i="57"/>
  <c r="R800" i="57"/>
  <c r="R801" i="57"/>
  <c r="R802" i="57"/>
  <c r="R803" i="57"/>
  <c r="R804" i="57"/>
  <c r="R805" i="57"/>
  <c r="R806" i="57"/>
  <c r="R807" i="57"/>
  <c r="R808" i="57"/>
  <c r="R809" i="57"/>
  <c r="R810" i="57"/>
  <c r="R811" i="57"/>
  <c r="R812" i="57"/>
  <c r="R813" i="57"/>
  <c r="R814" i="57"/>
  <c r="R815" i="57"/>
  <c r="R816" i="57"/>
  <c r="R817" i="57"/>
  <c r="R818" i="57"/>
  <c r="R819" i="57"/>
  <c r="R820" i="57"/>
  <c r="R821" i="57"/>
  <c r="R822" i="57"/>
  <c r="R823" i="57"/>
  <c r="R824" i="57"/>
  <c r="R825" i="57"/>
  <c r="R826" i="57"/>
  <c r="R827" i="57"/>
  <c r="R828" i="57"/>
  <c r="R829" i="57"/>
  <c r="R830" i="57"/>
  <c r="R831" i="57"/>
  <c r="R832" i="57"/>
  <c r="R833" i="57"/>
  <c r="R834" i="57"/>
  <c r="R835" i="57"/>
  <c r="R836" i="57"/>
  <c r="R837" i="57"/>
  <c r="R838" i="57"/>
  <c r="R839" i="57"/>
  <c r="R840" i="57"/>
  <c r="R841" i="57"/>
  <c r="R842" i="57"/>
  <c r="R843" i="57"/>
  <c r="R844" i="57"/>
  <c r="R845" i="57"/>
  <c r="R846" i="57"/>
  <c r="R847" i="57"/>
  <c r="R848" i="57"/>
  <c r="R849" i="57"/>
  <c r="R850" i="57"/>
  <c r="R851" i="57"/>
  <c r="R852" i="57"/>
  <c r="R853" i="57"/>
  <c r="R854" i="57"/>
  <c r="R855" i="57"/>
  <c r="R856" i="57"/>
  <c r="R857" i="57"/>
  <c r="R858" i="57"/>
  <c r="R859" i="57"/>
  <c r="R860" i="57"/>
  <c r="R861" i="57"/>
  <c r="R862" i="57"/>
  <c r="R863" i="57"/>
  <c r="R864" i="57"/>
  <c r="R865" i="57"/>
  <c r="R866" i="57"/>
  <c r="R867" i="57"/>
  <c r="R868" i="57"/>
  <c r="R869" i="57"/>
  <c r="R870" i="57"/>
  <c r="R871" i="57"/>
  <c r="R872" i="57"/>
  <c r="R873" i="57"/>
  <c r="R874" i="57"/>
  <c r="R875" i="57"/>
  <c r="R876" i="57"/>
  <c r="R877" i="57"/>
  <c r="R878" i="57"/>
  <c r="R879" i="57"/>
  <c r="R880" i="57"/>
  <c r="R881" i="57"/>
  <c r="R882" i="57"/>
  <c r="R883" i="57"/>
  <c r="R884" i="57"/>
  <c r="R885" i="57"/>
  <c r="R886" i="57"/>
  <c r="R887" i="57"/>
  <c r="R888" i="57"/>
  <c r="R889" i="57"/>
  <c r="R890" i="57"/>
  <c r="R891" i="57"/>
  <c r="R892" i="57"/>
  <c r="R893" i="57"/>
  <c r="R894" i="57"/>
  <c r="R895" i="57"/>
  <c r="R896" i="57"/>
  <c r="R897" i="57"/>
  <c r="R898" i="57"/>
  <c r="R899" i="57"/>
  <c r="R900" i="57"/>
  <c r="R901" i="57"/>
  <c r="R902" i="57"/>
  <c r="R903" i="57"/>
  <c r="R904" i="57"/>
  <c r="R905" i="57"/>
  <c r="R906" i="57"/>
  <c r="R907" i="57"/>
  <c r="R908" i="57"/>
  <c r="R909" i="57"/>
  <c r="R910" i="57"/>
  <c r="R911" i="57"/>
  <c r="R912" i="57"/>
  <c r="R913" i="57"/>
  <c r="R914" i="57"/>
  <c r="R915" i="57"/>
  <c r="R916" i="57"/>
  <c r="R917" i="57"/>
  <c r="R918" i="57"/>
  <c r="R919" i="57"/>
  <c r="R920" i="57"/>
  <c r="R921" i="57"/>
  <c r="R922" i="57"/>
  <c r="R923" i="57"/>
  <c r="R924" i="57"/>
  <c r="R925" i="57"/>
  <c r="R926" i="57"/>
  <c r="R927" i="57"/>
  <c r="R928" i="57"/>
  <c r="R929" i="57"/>
  <c r="R930" i="57"/>
  <c r="R931" i="57"/>
  <c r="R932" i="57"/>
  <c r="R933" i="57"/>
  <c r="R934" i="57"/>
  <c r="R935" i="57"/>
  <c r="R936" i="57"/>
  <c r="R937" i="57"/>
  <c r="R938" i="57"/>
  <c r="R939" i="57"/>
  <c r="R940" i="57"/>
  <c r="R941" i="57"/>
  <c r="R942" i="57"/>
  <c r="R943" i="57"/>
  <c r="R944" i="57"/>
  <c r="R945" i="57"/>
  <c r="R946" i="57"/>
  <c r="R947" i="57"/>
  <c r="R948" i="57"/>
  <c r="R949" i="57"/>
  <c r="R950" i="57"/>
  <c r="R951" i="57"/>
  <c r="R952" i="57"/>
  <c r="R953" i="57"/>
  <c r="R954" i="57"/>
  <c r="R955" i="57"/>
  <c r="R956" i="57"/>
  <c r="R957" i="57"/>
  <c r="R958" i="57"/>
  <c r="R959" i="57"/>
  <c r="R960" i="57"/>
  <c r="R961" i="57"/>
  <c r="R962" i="57"/>
  <c r="R963" i="57"/>
  <c r="R964" i="57"/>
  <c r="R965" i="57"/>
  <c r="R966" i="57"/>
  <c r="R967" i="57"/>
  <c r="R968" i="57"/>
  <c r="R969" i="57"/>
  <c r="R970" i="57"/>
  <c r="R971" i="57"/>
  <c r="R972" i="57"/>
  <c r="R973" i="57"/>
  <c r="R974" i="57"/>
  <c r="R975" i="57"/>
  <c r="R976" i="57"/>
  <c r="R977" i="57"/>
  <c r="R978" i="57"/>
  <c r="R979" i="57"/>
  <c r="R980" i="57"/>
  <c r="R981" i="57"/>
  <c r="R982" i="57"/>
  <c r="R983" i="57"/>
  <c r="R984" i="57"/>
  <c r="R985" i="57"/>
  <c r="R986" i="57"/>
  <c r="R987" i="57"/>
  <c r="R988" i="57"/>
  <c r="R989" i="57"/>
  <c r="R990" i="57"/>
  <c r="R991" i="57"/>
  <c r="R992" i="57"/>
  <c r="R993" i="57"/>
  <c r="R994" i="57"/>
  <c r="R995" i="57"/>
  <c r="R996" i="57"/>
  <c r="R997" i="57"/>
  <c r="R998" i="57"/>
  <c r="R999" i="57"/>
  <c r="R1000" i="57"/>
  <c r="R1001" i="57"/>
  <c r="R1002" i="57"/>
  <c r="R1003" i="57"/>
  <c r="R1004" i="57"/>
  <c r="R1005" i="57"/>
  <c r="R1006" i="57"/>
  <c r="R1007" i="57"/>
  <c r="R1008" i="57"/>
  <c r="R1009" i="57"/>
  <c r="R1010" i="57"/>
  <c r="R1011" i="57"/>
  <c r="R1012" i="57"/>
  <c r="R1013" i="57"/>
  <c r="R1014" i="57"/>
  <c r="R1015" i="57"/>
  <c r="R1016" i="57"/>
  <c r="R1017" i="57"/>
  <c r="R1018" i="57"/>
  <c r="R1019" i="57"/>
  <c r="R1020" i="57"/>
  <c r="R1021" i="57"/>
  <c r="R1022" i="57"/>
  <c r="R1023" i="57"/>
  <c r="R1024" i="57"/>
  <c r="R1025" i="57"/>
  <c r="R1026" i="57"/>
  <c r="R1027" i="57"/>
  <c r="R1028" i="57"/>
  <c r="R1029" i="57"/>
  <c r="R1030" i="57"/>
  <c r="R1031" i="57"/>
  <c r="R1032" i="57"/>
  <c r="R1033" i="57"/>
  <c r="R1034" i="57"/>
  <c r="R1035" i="57"/>
  <c r="R1036" i="57"/>
  <c r="R1037" i="57"/>
  <c r="R1038" i="57"/>
  <c r="R1039" i="57"/>
  <c r="R1040" i="57"/>
  <c r="R1041" i="57"/>
  <c r="R1042" i="57"/>
  <c r="R1043" i="57"/>
  <c r="R1044" i="57"/>
  <c r="R1045" i="57"/>
  <c r="R1046" i="57"/>
  <c r="R1047" i="57"/>
  <c r="R1048" i="57"/>
  <c r="R1049" i="57"/>
  <c r="R1050" i="57"/>
  <c r="R1051" i="57"/>
  <c r="R1052" i="57"/>
  <c r="R1053" i="57"/>
  <c r="R1054" i="57"/>
  <c r="R1055" i="57"/>
  <c r="R1056" i="57"/>
  <c r="R1057" i="57"/>
  <c r="R1058" i="57"/>
  <c r="R1059" i="57"/>
  <c r="R1060" i="57"/>
  <c r="R1061" i="57"/>
  <c r="R1062" i="57"/>
  <c r="R1063" i="57"/>
  <c r="R1064" i="57"/>
  <c r="R1065" i="57"/>
  <c r="R1066" i="57"/>
  <c r="R1067" i="57"/>
  <c r="R1068" i="57"/>
  <c r="R1069" i="57"/>
  <c r="R1070" i="57"/>
  <c r="R1071" i="57"/>
  <c r="R1072" i="57"/>
  <c r="R1073" i="57"/>
  <c r="R1074" i="57"/>
  <c r="R1075" i="57"/>
  <c r="R1076" i="57"/>
  <c r="R1077" i="57"/>
  <c r="R1078" i="57"/>
  <c r="R1079" i="57"/>
  <c r="R1080" i="57"/>
  <c r="R1081" i="57"/>
  <c r="R1082" i="57"/>
  <c r="R1083" i="57"/>
  <c r="R1084" i="57"/>
  <c r="R1085" i="57"/>
  <c r="R1086" i="57"/>
  <c r="R1087" i="57"/>
  <c r="R1088" i="57"/>
  <c r="R1089" i="57"/>
  <c r="R1090" i="57"/>
  <c r="R1091" i="57"/>
  <c r="R1092" i="57"/>
  <c r="R1093" i="57"/>
  <c r="R1094" i="57"/>
  <c r="R1095" i="57"/>
  <c r="R1096" i="57"/>
  <c r="R1097" i="57"/>
  <c r="R1098" i="57"/>
  <c r="R1099" i="57"/>
  <c r="R1100" i="57"/>
  <c r="R1101" i="57"/>
  <c r="R1102" i="57"/>
  <c r="R1103" i="57"/>
  <c r="R1104" i="57"/>
  <c r="R1105" i="57"/>
  <c r="R1106" i="57"/>
  <c r="R1107" i="57"/>
  <c r="R1108" i="57"/>
  <c r="R1109" i="57"/>
  <c r="R1110" i="57"/>
  <c r="R1111" i="57"/>
  <c r="R1112" i="57"/>
  <c r="R1113" i="57"/>
  <c r="R1114" i="57"/>
  <c r="R1115" i="57"/>
  <c r="R1116" i="57"/>
  <c r="R1117" i="57"/>
  <c r="R1118" i="57"/>
  <c r="R1119" i="57"/>
  <c r="R1120" i="57"/>
  <c r="R1121" i="57"/>
  <c r="R1122" i="57"/>
  <c r="R1123" i="57"/>
  <c r="R1124" i="57"/>
  <c r="R1125" i="57"/>
  <c r="R1126" i="57"/>
  <c r="R1127" i="57"/>
  <c r="R1128" i="57"/>
  <c r="R1129" i="57"/>
  <c r="R1130" i="57"/>
  <c r="R1131" i="57"/>
  <c r="R1132" i="57"/>
  <c r="R1133" i="57"/>
  <c r="R1134" i="57"/>
  <c r="R1135" i="57"/>
  <c r="R1136" i="57"/>
  <c r="R2" i="57"/>
  <c r="AC53" i="55"/>
  <c r="AC31" i="55"/>
  <c r="R3" i="56"/>
  <c r="R4" i="56"/>
  <c r="R5" i="56"/>
  <c r="R6" i="56"/>
  <c r="R7" i="56"/>
  <c r="R8" i="56"/>
  <c r="R9" i="56"/>
  <c r="R10" i="56"/>
  <c r="R11" i="56"/>
  <c r="R12" i="56"/>
  <c r="R13" i="56"/>
  <c r="R14" i="56"/>
  <c r="R15" i="56"/>
  <c r="R16" i="56"/>
  <c r="R17" i="56"/>
  <c r="R18" i="56"/>
  <c r="R19" i="56"/>
  <c r="R20" i="56"/>
  <c r="R21" i="56"/>
  <c r="R22" i="56"/>
  <c r="R23" i="56"/>
  <c r="R24" i="56"/>
  <c r="R25" i="56"/>
  <c r="R26" i="56"/>
  <c r="R27" i="56"/>
  <c r="R28" i="56"/>
  <c r="R29" i="56"/>
  <c r="R30" i="56"/>
  <c r="R31" i="56"/>
  <c r="R32" i="56"/>
  <c r="R33" i="56"/>
  <c r="R34" i="56"/>
  <c r="R35" i="56"/>
  <c r="R36" i="56"/>
  <c r="R37" i="56"/>
  <c r="R38" i="56"/>
  <c r="R39" i="56"/>
  <c r="R40" i="56"/>
  <c r="R41" i="56"/>
  <c r="R42" i="56"/>
  <c r="R43" i="56"/>
  <c r="R44" i="56"/>
  <c r="R45" i="56"/>
  <c r="R46" i="56"/>
  <c r="R47" i="56"/>
  <c r="R48" i="56"/>
  <c r="R49" i="56"/>
  <c r="R50" i="56"/>
  <c r="R51" i="56"/>
  <c r="R52" i="56"/>
  <c r="R53" i="56"/>
  <c r="R54" i="56"/>
  <c r="R55" i="56"/>
  <c r="R56" i="56"/>
  <c r="R57" i="56"/>
  <c r="R58" i="56"/>
  <c r="R59" i="56"/>
  <c r="R60" i="56"/>
  <c r="R61" i="56"/>
  <c r="R62" i="56"/>
  <c r="R63" i="56"/>
  <c r="R64" i="56"/>
  <c r="R65" i="56"/>
  <c r="R66" i="56"/>
  <c r="R67" i="56"/>
  <c r="R68" i="56"/>
  <c r="R69" i="56"/>
  <c r="R70" i="56"/>
  <c r="R71" i="56"/>
  <c r="R72" i="56"/>
  <c r="R73" i="56"/>
  <c r="R74" i="56"/>
  <c r="R75" i="56"/>
  <c r="R76" i="56"/>
  <c r="R77" i="56"/>
  <c r="R78" i="56"/>
  <c r="R79" i="56"/>
  <c r="R80" i="56"/>
  <c r="R81" i="56"/>
  <c r="R82" i="56"/>
  <c r="R83" i="56"/>
  <c r="R84" i="56"/>
  <c r="R85" i="56"/>
  <c r="R86" i="56"/>
  <c r="R87" i="56"/>
  <c r="R88" i="56"/>
  <c r="R89" i="56"/>
  <c r="R90" i="56"/>
  <c r="R91" i="56"/>
  <c r="R92" i="56"/>
  <c r="R93" i="56"/>
  <c r="R94" i="56"/>
  <c r="R95" i="56"/>
  <c r="R96" i="56"/>
  <c r="R97" i="56"/>
  <c r="R98" i="56"/>
  <c r="R99" i="56"/>
  <c r="R100" i="56"/>
  <c r="R101" i="56"/>
  <c r="R102" i="56"/>
  <c r="R103" i="56"/>
  <c r="R104" i="56"/>
  <c r="R105" i="56"/>
  <c r="R106" i="56"/>
  <c r="R107" i="56"/>
  <c r="R108" i="56"/>
  <c r="R109" i="56"/>
  <c r="R110" i="56"/>
  <c r="R111" i="56"/>
  <c r="R112" i="56"/>
  <c r="R113" i="56"/>
  <c r="R114" i="56"/>
  <c r="R115" i="56"/>
  <c r="R116" i="56"/>
  <c r="R117" i="56"/>
  <c r="R118" i="56"/>
  <c r="R119" i="56"/>
  <c r="R120" i="56"/>
  <c r="R121" i="56"/>
  <c r="R122" i="56"/>
  <c r="R123" i="56"/>
  <c r="R124" i="56"/>
  <c r="R125" i="56"/>
  <c r="R126" i="56"/>
  <c r="R127" i="56"/>
  <c r="R128" i="56"/>
  <c r="R129" i="56"/>
  <c r="R130" i="56"/>
  <c r="R131" i="56"/>
  <c r="R132" i="56"/>
  <c r="R133" i="56"/>
  <c r="R134" i="56"/>
  <c r="R135" i="56"/>
  <c r="R136" i="56"/>
  <c r="R137" i="56"/>
  <c r="R138" i="56"/>
  <c r="R139" i="56"/>
  <c r="R140" i="56"/>
  <c r="R141" i="56"/>
  <c r="R142" i="56"/>
  <c r="R143" i="56"/>
  <c r="R144" i="56"/>
  <c r="R145" i="56"/>
  <c r="R146" i="56"/>
  <c r="R147" i="56"/>
  <c r="R148" i="56"/>
  <c r="R149" i="56"/>
  <c r="R150" i="56"/>
  <c r="R151" i="56"/>
  <c r="R152" i="56"/>
  <c r="R153" i="56"/>
  <c r="R154" i="56"/>
  <c r="R155" i="56"/>
  <c r="R156" i="56"/>
  <c r="R157" i="56"/>
  <c r="R158" i="56"/>
  <c r="R159" i="56"/>
  <c r="R160" i="56"/>
  <c r="R161" i="56"/>
  <c r="R162" i="56"/>
  <c r="R2" i="56"/>
  <c r="A4" i="55"/>
  <c r="R4" i="55"/>
  <c r="A5" i="55"/>
  <c r="S5" i="55"/>
  <c r="A6" i="55"/>
  <c r="R6" i="55"/>
  <c r="A7" i="55"/>
  <c r="R7" i="55"/>
  <c r="A8" i="55"/>
  <c r="U8" i="55"/>
  <c r="A9" i="55"/>
  <c r="R9" i="55"/>
  <c r="A10" i="55"/>
  <c r="R10" i="55"/>
  <c r="A11" i="55"/>
  <c r="V11" i="55"/>
  <c r="A12" i="55"/>
  <c r="U12" i="55"/>
  <c r="A13" i="55"/>
  <c r="S13" i="55"/>
  <c r="A14" i="55"/>
  <c r="R14" i="55"/>
  <c r="A15" i="55"/>
  <c r="R15" i="55"/>
  <c r="A16" i="55"/>
  <c r="U16" i="55"/>
  <c r="A17" i="55"/>
  <c r="R17" i="55"/>
  <c r="A18" i="55"/>
  <c r="R18" i="55"/>
  <c r="A19" i="55"/>
  <c r="V19" i="55"/>
  <c r="A20" i="55"/>
  <c r="U20" i="55"/>
  <c r="A21" i="55"/>
  <c r="S21" i="55"/>
  <c r="A22" i="55"/>
  <c r="R22" i="55"/>
  <c r="A23" i="55"/>
  <c r="R23" i="55"/>
  <c r="A24" i="55"/>
  <c r="U24" i="55"/>
  <c r="A25" i="55"/>
  <c r="R25" i="55"/>
  <c r="A26" i="55"/>
  <c r="R26" i="55"/>
  <c r="A27" i="55"/>
  <c r="V27" i="55"/>
  <c r="A28" i="55"/>
  <c r="U28" i="55"/>
  <c r="A29" i="55"/>
  <c r="S29" i="55"/>
  <c r="A30" i="55"/>
  <c r="R30" i="55"/>
  <c r="A31" i="55"/>
  <c r="R31" i="55"/>
  <c r="A32" i="55"/>
  <c r="U32" i="55"/>
  <c r="A33" i="55"/>
  <c r="R33" i="55"/>
  <c r="A34" i="55"/>
  <c r="S34" i="55"/>
  <c r="A35" i="55"/>
  <c r="V35" i="55"/>
  <c r="A36" i="55"/>
  <c r="R36" i="55"/>
  <c r="A37" i="55"/>
  <c r="S37" i="55"/>
  <c r="A38" i="55"/>
  <c r="R38" i="55"/>
  <c r="A39" i="55"/>
  <c r="R39" i="55"/>
  <c r="A40" i="55"/>
  <c r="U40" i="55"/>
  <c r="A41" i="55"/>
  <c r="R41" i="55"/>
  <c r="A42" i="55"/>
  <c r="S42" i="55"/>
  <c r="A43" i="55"/>
  <c r="V43" i="55"/>
  <c r="A44" i="55"/>
  <c r="R44" i="55"/>
  <c r="A45" i="55"/>
  <c r="T45" i="55"/>
  <c r="A46" i="55"/>
  <c r="R46" i="55"/>
  <c r="A47" i="55"/>
  <c r="R47" i="55"/>
  <c r="A48" i="55"/>
  <c r="U48" i="55"/>
  <c r="A49" i="55"/>
  <c r="R49" i="55"/>
  <c r="A50" i="55"/>
  <c r="S50" i="55"/>
  <c r="A51" i="55"/>
  <c r="V51" i="55"/>
  <c r="A52" i="55"/>
  <c r="R52" i="55"/>
  <c r="A53" i="55"/>
  <c r="T53" i="55"/>
  <c r="A54" i="55"/>
  <c r="R54" i="55"/>
  <c r="A55" i="55"/>
  <c r="R55" i="55"/>
  <c r="A56" i="55"/>
  <c r="U56" i="55"/>
  <c r="A57" i="55"/>
  <c r="R57" i="55"/>
  <c r="A58" i="55"/>
  <c r="S58" i="55"/>
  <c r="A59" i="55"/>
  <c r="V59" i="55"/>
  <c r="A60" i="55"/>
  <c r="R60" i="55"/>
  <c r="A61" i="55"/>
  <c r="T61" i="55"/>
  <c r="A62" i="55"/>
  <c r="R62" i="55"/>
  <c r="A63" i="55"/>
  <c r="R63" i="55"/>
  <c r="A64" i="55"/>
  <c r="U64" i="55"/>
  <c r="A65" i="55"/>
  <c r="R65" i="55"/>
  <c r="A66" i="55"/>
  <c r="S66" i="55"/>
  <c r="A67" i="55"/>
  <c r="V67" i="55"/>
  <c r="A68" i="55"/>
  <c r="R68" i="55"/>
  <c r="A69" i="55"/>
  <c r="T69" i="55"/>
  <c r="A70" i="55"/>
  <c r="R70" i="55"/>
  <c r="A71" i="55"/>
  <c r="R71" i="55"/>
  <c r="A72" i="55"/>
  <c r="U72" i="55"/>
  <c r="A73" i="55"/>
  <c r="R73" i="55"/>
  <c r="A74" i="55"/>
  <c r="S74" i="55"/>
  <c r="A75" i="55"/>
  <c r="V75" i="55"/>
  <c r="A76" i="55"/>
  <c r="R76" i="55"/>
  <c r="A77" i="55"/>
  <c r="T77" i="55"/>
  <c r="A78" i="55"/>
  <c r="R78" i="55"/>
  <c r="A79" i="55"/>
  <c r="R79" i="55"/>
  <c r="A80" i="55"/>
  <c r="U80" i="55"/>
  <c r="A81" i="55"/>
  <c r="R81" i="55"/>
  <c r="A82" i="55"/>
  <c r="S82" i="55"/>
  <c r="A83" i="55"/>
  <c r="V83" i="55"/>
  <c r="A3" i="55"/>
  <c r="S3" i="55"/>
  <c r="S64" i="55"/>
  <c r="R42" i="55"/>
  <c r="U19" i="55"/>
  <c r="W54" i="55"/>
  <c r="T64" i="55"/>
  <c r="R43" i="55"/>
  <c r="S22" i="55"/>
  <c r="W62" i="55"/>
  <c r="T80" i="55"/>
  <c r="R59" i="55"/>
  <c r="U38" i="55"/>
  <c r="V15" i="55"/>
  <c r="W46" i="55"/>
  <c r="S80" i="55"/>
  <c r="R58" i="55"/>
  <c r="S38" i="55"/>
  <c r="V14" i="55"/>
  <c r="W38" i="55"/>
  <c r="R75" i="55"/>
  <c r="U54" i="55"/>
  <c r="T32" i="55"/>
  <c r="T9" i="55"/>
  <c r="W30" i="55"/>
  <c r="R74" i="55"/>
  <c r="S54" i="55"/>
  <c r="S32" i="55"/>
  <c r="T8" i="55"/>
  <c r="W22" i="55"/>
  <c r="U70" i="55"/>
  <c r="T48" i="55"/>
  <c r="R27" i="55"/>
  <c r="W14" i="55"/>
  <c r="S70" i="55"/>
  <c r="S48" i="55"/>
  <c r="V25" i="55"/>
  <c r="W6" i="55"/>
  <c r="U83" i="55"/>
  <c r="V79" i="55"/>
  <c r="V73" i="55"/>
  <c r="U67" i="55"/>
  <c r="V63" i="55"/>
  <c r="V57" i="55"/>
  <c r="U51" i="55"/>
  <c r="V47" i="55"/>
  <c r="V41" i="55"/>
  <c r="U35" i="55"/>
  <c r="V31" i="55"/>
  <c r="T25" i="55"/>
  <c r="T19" i="55"/>
  <c r="U14" i="55"/>
  <c r="S8" i="55"/>
  <c r="X83" i="55"/>
  <c r="Y83" i="55"/>
  <c r="Z83" i="55"/>
  <c r="AA83" i="55"/>
  <c r="AB83" i="55"/>
  <c r="AL83" i="55"/>
  <c r="X75" i="55"/>
  <c r="Y75" i="55"/>
  <c r="Z75" i="55"/>
  <c r="AA75" i="55"/>
  <c r="AB75" i="55"/>
  <c r="AL75" i="55"/>
  <c r="X67" i="55"/>
  <c r="Y67" i="55"/>
  <c r="Z67" i="55"/>
  <c r="AA67" i="55"/>
  <c r="AB67" i="55"/>
  <c r="AL67" i="55"/>
  <c r="X59" i="55"/>
  <c r="Y59" i="55"/>
  <c r="Z59" i="55"/>
  <c r="AA59" i="55"/>
  <c r="AB59" i="55"/>
  <c r="AL59" i="55"/>
  <c r="X51" i="55"/>
  <c r="Y51" i="55"/>
  <c r="Z51" i="55"/>
  <c r="AA51" i="55"/>
  <c r="AB51" i="55"/>
  <c r="AL51" i="55"/>
  <c r="X43" i="55"/>
  <c r="Y43" i="55"/>
  <c r="Z43" i="55"/>
  <c r="AA43" i="55"/>
  <c r="AB43" i="55"/>
  <c r="AL43" i="55"/>
  <c r="X35" i="55"/>
  <c r="Y35" i="55"/>
  <c r="Z35" i="55"/>
  <c r="AA35" i="55"/>
  <c r="AB35" i="55"/>
  <c r="AL35" i="55"/>
  <c r="X27" i="55"/>
  <c r="Y27" i="55"/>
  <c r="Z27" i="55"/>
  <c r="AA27" i="55"/>
  <c r="AB27" i="55"/>
  <c r="AL27" i="55"/>
  <c r="X19" i="55"/>
  <c r="Y19" i="55"/>
  <c r="Z19" i="55"/>
  <c r="AA19" i="55"/>
  <c r="AB19" i="55"/>
  <c r="AL19" i="55"/>
  <c r="X11" i="55"/>
  <c r="Y11" i="55"/>
  <c r="Z11" i="55"/>
  <c r="AA11" i="55"/>
  <c r="AB11" i="55"/>
  <c r="AL11" i="55"/>
  <c r="X3" i="55"/>
  <c r="Y3" i="55"/>
  <c r="Z3" i="55"/>
  <c r="AA3" i="55"/>
  <c r="AB3" i="55"/>
  <c r="W77" i="55"/>
  <c r="W69" i="55"/>
  <c r="W61" i="55"/>
  <c r="W53" i="55"/>
  <c r="W45" i="55"/>
  <c r="W37" i="55"/>
  <c r="W29" i="55"/>
  <c r="W21" i="55"/>
  <c r="W13" i="55"/>
  <c r="W5" i="55"/>
  <c r="T83" i="55"/>
  <c r="AJ83" i="55"/>
  <c r="V78" i="55"/>
  <c r="T73" i="55"/>
  <c r="T67" i="55"/>
  <c r="V62" i="55"/>
  <c r="T57" i="55"/>
  <c r="T51" i="55"/>
  <c r="V46" i="55"/>
  <c r="T41" i="55"/>
  <c r="T35" i="55"/>
  <c r="AJ35" i="55"/>
  <c r="V30" i="55"/>
  <c r="T24" i="55"/>
  <c r="R19" i="55"/>
  <c r="AH19" i="55"/>
  <c r="S14" i="55"/>
  <c r="V7" i="55"/>
  <c r="X82" i="55"/>
  <c r="Y82" i="55"/>
  <c r="Z82" i="55"/>
  <c r="AA82" i="55"/>
  <c r="AB82" i="55"/>
  <c r="X74" i="55"/>
  <c r="X66" i="55"/>
  <c r="Y66" i="55"/>
  <c r="Z66" i="55"/>
  <c r="AA66" i="55"/>
  <c r="AB66" i="55"/>
  <c r="X58" i="55"/>
  <c r="Y58" i="55"/>
  <c r="Z58" i="55"/>
  <c r="AA58" i="55"/>
  <c r="AB58" i="55"/>
  <c r="X50" i="55"/>
  <c r="Y50" i="55"/>
  <c r="Z50" i="55"/>
  <c r="AA50" i="55"/>
  <c r="AB50" i="55"/>
  <c r="X42" i="55"/>
  <c r="Y42" i="55"/>
  <c r="Z42" i="55"/>
  <c r="AA42" i="55"/>
  <c r="AB42" i="55"/>
  <c r="X34" i="55"/>
  <c r="Y34" i="55"/>
  <c r="Z34" i="55"/>
  <c r="AA34" i="55"/>
  <c r="AB34" i="55"/>
  <c r="X26" i="55"/>
  <c r="Y26" i="55"/>
  <c r="Z26" i="55"/>
  <c r="AA26" i="55"/>
  <c r="AB26" i="55"/>
  <c r="X18" i="55"/>
  <c r="Y18" i="55"/>
  <c r="Z18" i="55"/>
  <c r="AA18" i="55"/>
  <c r="AB18" i="55"/>
  <c r="X10" i="55"/>
  <c r="Y10" i="55"/>
  <c r="Z10" i="55"/>
  <c r="AA10" i="55"/>
  <c r="AB10" i="55"/>
  <c r="W3" i="55"/>
  <c r="W76" i="55"/>
  <c r="W68" i="55"/>
  <c r="W60" i="55"/>
  <c r="W52" i="55"/>
  <c r="W44" i="55"/>
  <c r="W36" i="55"/>
  <c r="W28" i="55"/>
  <c r="W20" i="55"/>
  <c r="W12" i="55"/>
  <c r="W4" i="55"/>
  <c r="R83" i="55"/>
  <c r="AH83" i="55"/>
  <c r="U78" i="55"/>
  <c r="T72" i="55"/>
  <c r="R67" i="55"/>
  <c r="U62" i="55"/>
  <c r="T56" i="55"/>
  <c r="R51" i="55"/>
  <c r="U46" i="55"/>
  <c r="T40" i="55"/>
  <c r="R35" i="55"/>
  <c r="AH35" i="55"/>
  <c r="U30" i="55"/>
  <c r="S24" i="55"/>
  <c r="V17" i="55"/>
  <c r="U11" i="55"/>
  <c r="V6" i="55"/>
  <c r="X81" i="55"/>
  <c r="Y81" i="55"/>
  <c r="Z81" i="55"/>
  <c r="AA81" i="55"/>
  <c r="AB81" i="55"/>
  <c r="X73" i="55"/>
  <c r="AH73" i="55"/>
  <c r="X65" i="55"/>
  <c r="AH65" i="55"/>
  <c r="X57" i="55"/>
  <c r="Y57" i="55"/>
  <c r="Z57" i="55"/>
  <c r="AA57" i="55"/>
  <c r="AB57" i="55"/>
  <c r="X49" i="55"/>
  <c r="Y49" i="55"/>
  <c r="Z49" i="55"/>
  <c r="AA49" i="55"/>
  <c r="AB49" i="55"/>
  <c r="X41" i="55"/>
  <c r="Y41" i="55"/>
  <c r="Z41" i="55"/>
  <c r="AA41" i="55"/>
  <c r="AB41" i="55"/>
  <c r="X33" i="55"/>
  <c r="Y33" i="55"/>
  <c r="Z33" i="55"/>
  <c r="AA33" i="55"/>
  <c r="AB33" i="55"/>
  <c r="X25" i="55"/>
  <c r="Y25" i="55"/>
  <c r="Z25" i="55"/>
  <c r="AA25" i="55"/>
  <c r="AB25" i="55"/>
  <c r="X17" i="55"/>
  <c r="Y17" i="55"/>
  <c r="Z17" i="55"/>
  <c r="AA17" i="55"/>
  <c r="AB17" i="55"/>
  <c r="X9" i="55"/>
  <c r="Y9" i="55"/>
  <c r="Z9" i="55"/>
  <c r="AA9" i="55"/>
  <c r="AB9" i="55"/>
  <c r="W83" i="55"/>
  <c r="W75" i="55"/>
  <c r="W67" i="55"/>
  <c r="W59" i="55"/>
  <c r="W51" i="55"/>
  <c r="W43" i="55"/>
  <c r="W35" i="55"/>
  <c r="W27" i="55"/>
  <c r="W19" i="55"/>
  <c r="W11" i="55"/>
  <c r="X76" i="55"/>
  <c r="Y76" i="55"/>
  <c r="Z76" i="55"/>
  <c r="AA76" i="55"/>
  <c r="AB76" i="55"/>
  <c r="X68" i="55"/>
  <c r="Y68" i="55"/>
  <c r="Z68" i="55"/>
  <c r="AA68" i="55"/>
  <c r="AB68" i="55"/>
  <c r="X60" i="55"/>
  <c r="Y60" i="55"/>
  <c r="Z60" i="55"/>
  <c r="AA60" i="55"/>
  <c r="AB60" i="55"/>
  <c r="X52" i="55"/>
  <c r="Y52" i="55"/>
  <c r="Z52" i="55"/>
  <c r="AA52" i="55"/>
  <c r="AB52" i="55"/>
  <c r="X44" i="55"/>
  <c r="Y44" i="55"/>
  <c r="Z44" i="55"/>
  <c r="AA44" i="55"/>
  <c r="AB44" i="55"/>
  <c r="X36" i="55"/>
  <c r="Y36" i="55"/>
  <c r="Z36" i="55"/>
  <c r="AA36" i="55"/>
  <c r="AB36" i="55"/>
  <c r="X28" i="55"/>
  <c r="Y28" i="55"/>
  <c r="Z28" i="55"/>
  <c r="AA28" i="55"/>
  <c r="AB28" i="55"/>
  <c r="X20" i="55"/>
  <c r="Y20" i="55"/>
  <c r="Z20" i="55"/>
  <c r="AA20" i="55"/>
  <c r="AB20" i="55"/>
  <c r="X12" i="55"/>
  <c r="Y12" i="55"/>
  <c r="Z12" i="55"/>
  <c r="AA12" i="55"/>
  <c r="AB12" i="55"/>
  <c r="X4" i="55"/>
  <c r="Y4" i="55"/>
  <c r="Z4" i="55"/>
  <c r="AA4" i="55"/>
  <c r="AB4" i="55"/>
  <c r="W78" i="55"/>
  <c r="W70" i="55"/>
  <c r="R82" i="55"/>
  <c r="S78" i="55"/>
  <c r="S72" i="55"/>
  <c r="R66" i="55"/>
  <c r="AH66" i="55"/>
  <c r="S62" i="55"/>
  <c r="S56" i="55"/>
  <c r="R50" i="55"/>
  <c r="AH50" i="55"/>
  <c r="S46" i="55"/>
  <c r="S40" i="55"/>
  <c r="R34" i="55"/>
  <c r="S30" i="55"/>
  <c r="V23" i="55"/>
  <c r="T17" i="55"/>
  <c r="AJ17" i="55"/>
  <c r="T11" i="55"/>
  <c r="U6" i="55"/>
  <c r="X80" i="55"/>
  <c r="Y80" i="55"/>
  <c r="Z80" i="55"/>
  <c r="AA80" i="55"/>
  <c r="AB80" i="55"/>
  <c r="X72" i="55"/>
  <c r="Y72" i="55"/>
  <c r="Z72" i="55"/>
  <c r="AA72" i="55"/>
  <c r="AB72" i="55"/>
  <c r="X64" i="55"/>
  <c r="Y64" i="55"/>
  <c r="Z64" i="55"/>
  <c r="AA64" i="55"/>
  <c r="AB64" i="55"/>
  <c r="X56" i="55"/>
  <c r="Y56" i="55"/>
  <c r="Z56" i="55"/>
  <c r="AA56" i="55"/>
  <c r="AB56" i="55"/>
  <c r="X48" i="55"/>
  <c r="Y48" i="55"/>
  <c r="Z48" i="55"/>
  <c r="AA48" i="55"/>
  <c r="AB48" i="55"/>
  <c r="X40" i="55"/>
  <c r="Y40" i="55"/>
  <c r="Z40" i="55"/>
  <c r="AA40" i="55"/>
  <c r="AB40" i="55"/>
  <c r="X32" i="55"/>
  <c r="Y32" i="55"/>
  <c r="Z32" i="55"/>
  <c r="AA32" i="55"/>
  <c r="AB32" i="55"/>
  <c r="X24" i="55"/>
  <c r="Y24" i="55"/>
  <c r="Z24" i="55"/>
  <c r="AA24" i="55"/>
  <c r="AB24" i="55"/>
  <c r="X16" i="55"/>
  <c r="Y16" i="55"/>
  <c r="Z16" i="55"/>
  <c r="AA16" i="55"/>
  <c r="AB16" i="55"/>
  <c r="X8" i="55"/>
  <c r="Y8" i="55"/>
  <c r="Z8" i="55"/>
  <c r="AA8" i="55"/>
  <c r="AB8" i="55"/>
  <c r="W82" i="55"/>
  <c r="W74" i="55"/>
  <c r="Y74" i="55"/>
  <c r="Z74" i="55"/>
  <c r="AA74" i="55"/>
  <c r="AB74" i="55"/>
  <c r="W66" i="55"/>
  <c r="W58" i="55"/>
  <c r="W50" i="55"/>
  <c r="W42" i="55"/>
  <c r="W34" i="55"/>
  <c r="W26" i="55"/>
  <c r="W18" i="55"/>
  <c r="W10" i="55"/>
  <c r="R3" i="55"/>
  <c r="AH3" i="55"/>
  <c r="V81" i="55"/>
  <c r="AL81" i="55"/>
  <c r="U75" i="55"/>
  <c r="V71" i="55"/>
  <c r="V65" i="55"/>
  <c r="U59" i="55"/>
  <c r="V55" i="55"/>
  <c r="V49" i="55"/>
  <c r="U43" i="55"/>
  <c r="AK43" i="55"/>
  <c r="V39" i="55"/>
  <c r="V33" i="55"/>
  <c r="AL33" i="55"/>
  <c r="U27" i="55"/>
  <c r="AK27" i="55"/>
  <c r="V22" i="55"/>
  <c r="T16" i="55"/>
  <c r="AJ16" i="55"/>
  <c r="R11" i="55"/>
  <c r="AH11" i="55"/>
  <c r="S6" i="55"/>
  <c r="X79" i="55"/>
  <c r="Y79" i="55"/>
  <c r="Z79" i="55"/>
  <c r="AA79" i="55"/>
  <c r="AB79" i="55"/>
  <c r="X71" i="55"/>
  <c r="Y71" i="55"/>
  <c r="Z71" i="55"/>
  <c r="AA71" i="55"/>
  <c r="AB71" i="55"/>
  <c r="X63" i="55"/>
  <c r="Y63" i="55"/>
  <c r="Z63" i="55"/>
  <c r="AA63" i="55"/>
  <c r="AB63" i="55"/>
  <c r="X55" i="55"/>
  <c r="Y55" i="55"/>
  <c r="Z55" i="55"/>
  <c r="AA55" i="55"/>
  <c r="AB55" i="55"/>
  <c r="X47" i="55"/>
  <c r="Y47" i="55"/>
  <c r="Z47" i="55"/>
  <c r="AA47" i="55"/>
  <c r="AB47" i="55"/>
  <c r="X39" i="55"/>
  <c r="AH39" i="55"/>
  <c r="X31" i="55"/>
  <c r="Y31" i="55"/>
  <c r="Z31" i="55"/>
  <c r="AA31" i="55"/>
  <c r="AB31" i="55"/>
  <c r="X23" i="55"/>
  <c r="Y23" i="55"/>
  <c r="Z23" i="55"/>
  <c r="AA23" i="55"/>
  <c r="AB23" i="55"/>
  <c r="X15" i="55"/>
  <c r="Y15" i="55"/>
  <c r="Z15" i="55"/>
  <c r="AA15" i="55"/>
  <c r="AB15" i="55"/>
  <c r="X7" i="55"/>
  <c r="Y7" i="55"/>
  <c r="Z7" i="55"/>
  <c r="AA7" i="55"/>
  <c r="AB7" i="55"/>
  <c r="W81" i="55"/>
  <c r="W73" i="55"/>
  <c r="W65" i="55"/>
  <c r="W57" i="55"/>
  <c r="W49" i="55"/>
  <c r="W41" i="55"/>
  <c r="W33" i="55"/>
  <c r="W25" i="55"/>
  <c r="W17" i="55"/>
  <c r="W9" i="55"/>
  <c r="T81" i="55"/>
  <c r="AJ81" i="55"/>
  <c r="T75" i="55"/>
  <c r="V70" i="55"/>
  <c r="T65" i="55"/>
  <c r="T59" i="55"/>
  <c r="AJ59" i="55"/>
  <c r="V54" i="55"/>
  <c r="T49" i="55"/>
  <c r="T43" i="55"/>
  <c r="AJ43" i="55"/>
  <c r="V38" i="55"/>
  <c r="T33" i="55"/>
  <c r="AJ33" i="55"/>
  <c r="T27" i="55"/>
  <c r="AJ27" i="55"/>
  <c r="U22" i="55"/>
  <c r="S16" i="55"/>
  <c r="AI16" i="55"/>
  <c r="V9" i="55"/>
  <c r="X78" i="55"/>
  <c r="AH78" i="55"/>
  <c r="X70" i="55"/>
  <c r="Y70" i="55"/>
  <c r="Z70" i="55"/>
  <c r="AA70" i="55"/>
  <c r="AB70" i="55"/>
  <c r="X62" i="55"/>
  <c r="Y62" i="55"/>
  <c r="Z62" i="55"/>
  <c r="AA62" i="55"/>
  <c r="AB62" i="55"/>
  <c r="X54" i="55"/>
  <c r="Y54" i="55"/>
  <c r="Z54" i="55"/>
  <c r="AA54" i="55"/>
  <c r="AB54" i="55"/>
  <c r="X46" i="55"/>
  <c r="Y46" i="55"/>
  <c r="Z46" i="55"/>
  <c r="AA46" i="55"/>
  <c r="AB46" i="55"/>
  <c r="X38" i="55"/>
  <c r="Y38" i="55"/>
  <c r="Z38" i="55"/>
  <c r="AA38" i="55"/>
  <c r="AB38" i="55"/>
  <c r="X30" i="55"/>
  <c r="Y30" i="55"/>
  <c r="Z30" i="55"/>
  <c r="AA30" i="55"/>
  <c r="AB30" i="55"/>
  <c r="X22" i="55"/>
  <c r="Y22" i="55"/>
  <c r="Z22" i="55"/>
  <c r="AA22" i="55"/>
  <c r="AB22" i="55"/>
  <c r="X14" i="55"/>
  <c r="Y14" i="55"/>
  <c r="Z14" i="55"/>
  <c r="AA14" i="55"/>
  <c r="AB14" i="55"/>
  <c r="X6" i="55"/>
  <c r="Y6" i="55"/>
  <c r="Z6" i="55"/>
  <c r="AA6" i="55"/>
  <c r="AB6" i="55"/>
  <c r="W80" i="55"/>
  <c r="W72" i="55"/>
  <c r="W64" i="55"/>
  <c r="W56" i="55"/>
  <c r="W48" i="55"/>
  <c r="W40" i="55"/>
  <c r="W32" i="55"/>
  <c r="W24" i="55"/>
  <c r="W16" i="55"/>
  <c r="W8" i="55"/>
  <c r="X77" i="55"/>
  <c r="Y77" i="55"/>
  <c r="Z77" i="55"/>
  <c r="AA77" i="55"/>
  <c r="AB77" i="55"/>
  <c r="X69" i="55"/>
  <c r="Y69" i="55"/>
  <c r="Z69" i="55"/>
  <c r="AA69" i="55"/>
  <c r="AB69" i="55"/>
  <c r="X61" i="55"/>
  <c r="Y61" i="55"/>
  <c r="Z61" i="55"/>
  <c r="AA61" i="55"/>
  <c r="AB61" i="55"/>
  <c r="X53" i="55"/>
  <c r="Y53" i="55"/>
  <c r="Z53" i="55"/>
  <c r="AA53" i="55"/>
  <c r="AB53" i="55"/>
  <c r="X45" i="55"/>
  <c r="Y45" i="55"/>
  <c r="Z45" i="55"/>
  <c r="AA45" i="55"/>
  <c r="AB45" i="55"/>
  <c r="X37" i="55"/>
  <c r="Y37" i="55"/>
  <c r="Z37" i="55"/>
  <c r="AA37" i="55"/>
  <c r="AB37" i="55"/>
  <c r="X29" i="55"/>
  <c r="Y29" i="55"/>
  <c r="Z29" i="55"/>
  <c r="AA29" i="55"/>
  <c r="AB29" i="55"/>
  <c r="X21" i="55"/>
  <c r="Y21" i="55"/>
  <c r="Z21" i="55"/>
  <c r="AA21" i="55"/>
  <c r="AB21" i="55"/>
  <c r="X13" i="55"/>
  <c r="Y13" i="55"/>
  <c r="Z13" i="55"/>
  <c r="AA13" i="55"/>
  <c r="AB13" i="55"/>
  <c r="X5" i="55"/>
  <c r="Y5" i="55"/>
  <c r="Z5" i="55"/>
  <c r="AA5" i="55"/>
  <c r="AB5" i="55"/>
  <c r="W79" i="55"/>
  <c r="W71" i="55"/>
  <c r="W63" i="55"/>
  <c r="W55" i="55"/>
  <c r="W47" i="55"/>
  <c r="W39" i="55"/>
  <c r="W31" i="55"/>
  <c r="W23" i="55"/>
  <c r="W15" i="55"/>
  <c r="W7" i="55"/>
  <c r="S69" i="55"/>
  <c r="R61" i="55"/>
  <c r="R37" i="55"/>
  <c r="R21" i="55"/>
  <c r="AH21" i="55"/>
  <c r="R13" i="55"/>
  <c r="R5" i="55"/>
  <c r="S83" i="55"/>
  <c r="AI83" i="55"/>
  <c r="U81" i="55"/>
  <c r="AK81" i="55"/>
  <c r="R80" i="55"/>
  <c r="AH80" i="55"/>
  <c r="T78" i="55"/>
  <c r="V76" i="55"/>
  <c r="S75" i="55"/>
  <c r="AI75" i="55"/>
  <c r="U73" i="55"/>
  <c r="R72" i="55"/>
  <c r="AH72" i="55"/>
  <c r="T70" i="55"/>
  <c r="V68" i="55"/>
  <c r="AL68" i="55"/>
  <c r="S67" i="55"/>
  <c r="AI67" i="55"/>
  <c r="U65" i="55"/>
  <c r="R64" i="55"/>
  <c r="T62" i="55"/>
  <c r="AJ62" i="55"/>
  <c r="V60" i="55"/>
  <c r="AL60" i="55"/>
  <c r="S59" i="55"/>
  <c r="U57" i="55"/>
  <c r="R56" i="55"/>
  <c r="T54" i="55"/>
  <c r="AJ54" i="55"/>
  <c r="V52" i="55"/>
  <c r="AL52" i="55"/>
  <c r="S51" i="55"/>
  <c r="AI51" i="55"/>
  <c r="U49" i="55"/>
  <c r="AK49" i="55"/>
  <c r="R48" i="55"/>
  <c r="T46" i="55"/>
  <c r="V44" i="55"/>
  <c r="AL44" i="55"/>
  <c r="S43" i="55"/>
  <c r="AI43" i="55"/>
  <c r="U41" i="55"/>
  <c r="AK41" i="55"/>
  <c r="R40" i="55"/>
  <c r="AH40" i="55"/>
  <c r="T38" i="55"/>
  <c r="V36" i="55"/>
  <c r="S35" i="55"/>
  <c r="AI35" i="55"/>
  <c r="U33" i="55"/>
  <c r="AK33" i="55"/>
  <c r="R32" i="55"/>
  <c r="AH32" i="55"/>
  <c r="T30" i="55"/>
  <c r="V28" i="55"/>
  <c r="AL28" i="55"/>
  <c r="S27" i="55"/>
  <c r="AI27" i="55"/>
  <c r="U25" i="55"/>
  <c r="AK25" i="55"/>
  <c r="R24" i="55"/>
  <c r="AH24" i="55"/>
  <c r="T22" i="55"/>
  <c r="V20" i="55"/>
  <c r="S19" i="55"/>
  <c r="AI19" i="55"/>
  <c r="U17" i="55"/>
  <c r="AK17" i="55"/>
  <c r="R16" i="55"/>
  <c r="AH16" i="55"/>
  <c r="T14" i="55"/>
  <c r="AJ14" i="55"/>
  <c r="V12" i="55"/>
  <c r="S11" i="55"/>
  <c r="AI11" i="55"/>
  <c r="U9" i="55"/>
  <c r="R8" i="55"/>
  <c r="AH8" i="55"/>
  <c r="T6" i="55"/>
  <c r="V4" i="55"/>
  <c r="AL4" i="55"/>
  <c r="U60" i="55"/>
  <c r="AK60" i="55"/>
  <c r="S77" i="55"/>
  <c r="R45" i="55"/>
  <c r="AH45" i="55"/>
  <c r="U52" i="55"/>
  <c r="AK52" i="55"/>
  <c r="U44" i="55"/>
  <c r="AK44" i="55"/>
  <c r="U36" i="55"/>
  <c r="U3" i="55"/>
  <c r="AK3" i="55"/>
  <c r="V82" i="55"/>
  <c r="AL82" i="55"/>
  <c r="S81" i="55"/>
  <c r="AI81" i="55"/>
  <c r="U79" i="55"/>
  <c r="T76" i="55"/>
  <c r="AJ76" i="55"/>
  <c r="V74" i="55"/>
  <c r="S73" i="55"/>
  <c r="U71" i="55"/>
  <c r="T68" i="55"/>
  <c r="AJ68" i="55"/>
  <c r="V66" i="55"/>
  <c r="AL66" i="55"/>
  <c r="S65" i="55"/>
  <c r="U63" i="55"/>
  <c r="AK63" i="55"/>
  <c r="T60" i="55"/>
  <c r="AJ60" i="55"/>
  <c r="V58" i="55"/>
  <c r="AL58" i="55"/>
  <c r="S57" i="55"/>
  <c r="U55" i="55"/>
  <c r="AK55" i="55"/>
  <c r="T52" i="55"/>
  <c r="AJ52" i="55"/>
  <c r="V50" i="55"/>
  <c r="AL50" i="55"/>
  <c r="S49" i="55"/>
  <c r="AI49" i="55"/>
  <c r="U47" i="55"/>
  <c r="AK47" i="55"/>
  <c r="T44" i="55"/>
  <c r="AJ44" i="55"/>
  <c r="V42" i="55"/>
  <c r="AL42" i="55"/>
  <c r="S41" i="55"/>
  <c r="AI41" i="55"/>
  <c r="U39" i="55"/>
  <c r="T36" i="55"/>
  <c r="V34" i="55"/>
  <c r="AL34" i="55"/>
  <c r="S33" i="55"/>
  <c r="AI33" i="55"/>
  <c r="U31" i="55"/>
  <c r="T28" i="55"/>
  <c r="AJ28" i="55"/>
  <c r="V26" i="55"/>
  <c r="S25" i="55"/>
  <c r="AI25" i="55"/>
  <c r="U23" i="55"/>
  <c r="AK23" i="55"/>
  <c r="T20" i="55"/>
  <c r="V18" i="55"/>
  <c r="AL18" i="55"/>
  <c r="S17" i="55"/>
  <c r="AI17" i="55"/>
  <c r="U15" i="55"/>
  <c r="T12" i="55"/>
  <c r="AJ12" i="55"/>
  <c r="V10" i="55"/>
  <c r="AL10" i="55"/>
  <c r="S9" i="55"/>
  <c r="U7" i="55"/>
  <c r="T4" i="55"/>
  <c r="AJ4" i="55"/>
  <c r="S61" i="55"/>
  <c r="S45" i="55"/>
  <c r="AI45" i="55"/>
  <c r="R77" i="55"/>
  <c r="R69" i="55"/>
  <c r="R53" i="55"/>
  <c r="U76" i="55"/>
  <c r="AK76" i="55"/>
  <c r="AJ3" i="55"/>
  <c r="U82" i="55"/>
  <c r="AK82" i="55"/>
  <c r="T79" i="55"/>
  <c r="V77" i="55"/>
  <c r="S76" i="55"/>
  <c r="AI76" i="55"/>
  <c r="U74" i="55"/>
  <c r="T71" i="55"/>
  <c r="AJ71" i="55"/>
  <c r="V69" i="55"/>
  <c r="AL69" i="55"/>
  <c r="S68" i="55"/>
  <c r="AI68" i="55"/>
  <c r="U66" i="55"/>
  <c r="AK66" i="55"/>
  <c r="T63" i="55"/>
  <c r="AJ63" i="55"/>
  <c r="V61" i="55"/>
  <c r="S60" i="55"/>
  <c r="AI60" i="55"/>
  <c r="U58" i="55"/>
  <c r="AK58" i="55"/>
  <c r="T55" i="55"/>
  <c r="AJ55" i="55"/>
  <c r="V53" i="55"/>
  <c r="S52" i="55"/>
  <c r="AI52" i="55"/>
  <c r="U50" i="55"/>
  <c r="AK50" i="55"/>
  <c r="T47" i="55"/>
  <c r="AJ47" i="55"/>
  <c r="V45" i="55"/>
  <c r="AL45" i="55"/>
  <c r="S44" i="55"/>
  <c r="AI44" i="55"/>
  <c r="U42" i="55"/>
  <c r="T39" i="55"/>
  <c r="V37" i="55"/>
  <c r="AL37" i="55"/>
  <c r="S36" i="55"/>
  <c r="U34" i="55"/>
  <c r="AK34" i="55"/>
  <c r="T31" i="55"/>
  <c r="V29" i="55"/>
  <c r="AL29" i="55"/>
  <c r="S28" i="55"/>
  <c r="AI28" i="55"/>
  <c r="U26" i="55"/>
  <c r="T23" i="55"/>
  <c r="AJ23" i="55"/>
  <c r="V21" i="55"/>
  <c r="AL21" i="55"/>
  <c r="S20" i="55"/>
  <c r="U18" i="55"/>
  <c r="AK18" i="55"/>
  <c r="T15" i="55"/>
  <c r="V13" i="55"/>
  <c r="S12" i="55"/>
  <c r="AI12" i="55"/>
  <c r="U10" i="55"/>
  <c r="AK10" i="55"/>
  <c r="T7" i="55"/>
  <c r="AJ7" i="55"/>
  <c r="V5" i="55"/>
  <c r="AL5" i="55"/>
  <c r="S4" i="55"/>
  <c r="AI4" i="55"/>
  <c r="S53" i="55"/>
  <c r="V3" i="55"/>
  <c r="AL3" i="55"/>
  <c r="U68" i="55"/>
  <c r="AK68" i="55"/>
  <c r="U4" i="55"/>
  <c r="AK4" i="55"/>
  <c r="T82" i="55"/>
  <c r="AJ82" i="55"/>
  <c r="V80" i="55"/>
  <c r="AL80" i="55"/>
  <c r="S79" i="55"/>
  <c r="U77" i="55"/>
  <c r="T74" i="55"/>
  <c r="V72" i="55"/>
  <c r="AL72" i="55"/>
  <c r="S71" i="55"/>
  <c r="AI71" i="55"/>
  <c r="U69" i="55"/>
  <c r="T66" i="55"/>
  <c r="AJ66" i="55"/>
  <c r="V64" i="55"/>
  <c r="S63" i="55"/>
  <c r="AI63" i="55"/>
  <c r="U61" i="55"/>
  <c r="T58" i="55"/>
  <c r="AJ58" i="55"/>
  <c r="V56" i="55"/>
  <c r="AL56" i="55"/>
  <c r="S55" i="55"/>
  <c r="AI55" i="55"/>
  <c r="U53" i="55"/>
  <c r="AK53" i="55"/>
  <c r="T50" i="55"/>
  <c r="AJ50" i="55"/>
  <c r="V48" i="55"/>
  <c r="S47" i="55"/>
  <c r="AI47" i="55"/>
  <c r="U45" i="55"/>
  <c r="AK45" i="55"/>
  <c r="T42" i="55"/>
  <c r="V40" i="55"/>
  <c r="AL40" i="55"/>
  <c r="S39" i="55"/>
  <c r="U37" i="55"/>
  <c r="AK37" i="55"/>
  <c r="T34" i="55"/>
  <c r="AJ34" i="55"/>
  <c r="V32" i="55"/>
  <c r="AL32" i="55"/>
  <c r="S31" i="55"/>
  <c r="U29" i="55"/>
  <c r="AK29" i="55"/>
  <c r="R28" i="55"/>
  <c r="AH28" i="55"/>
  <c r="T26" i="55"/>
  <c r="V24" i="55"/>
  <c r="AL24" i="55"/>
  <c r="S23" i="55"/>
  <c r="AI23" i="55"/>
  <c r="U21" i="55"/>
  <c r="AK21" i="55"/>
  <c r="R20" i="55"/>
  <c r="T18" i="55"/>
  <c r="AJ18" i="55"/>
  <c r="V16" i="55"/>
  <c r="AL16" i="55"/>
  <c r="S15" i="55"/>
  <c r="U13" i="55"/>
  <c r="R12" i="55"/>
  <c r="AH12" i="55"/>
  <c r="T10" i="55"/>
  <c r="AJ10" i="55"/>
  <c r="V8" i="55"/>
  <c r="AL8" i="55"/>
  <c r="S7" i="55"/>
  <c r="AI7" i="55"/>
  <c r="U5" i="55"/>
  <c r="AK5" i="55"/>
  <c r="R29" i="55"/>
  <c r="AH29" i="55"/>
  <c r="T37" i="55"/>
  <c r="AJ37" i="55"/>
  <c r="T29" i="55"/>
  <c r="AJ29" i="55"/>
  <c r="S26" i="55"/>
  <c r="T21" i="55"/>
  <c r="AJ21" i="55"/>
  <c r="S18" i="55"/>
  <c r="AI18" i="55"/>
  <c r="T13" i="55"/>
  <c r="S10" i="55"/>
  <c r="AI10" i="55"/>
  <c r="T5" i="55"/>
  <c r="AJ5" i="55"/>
  <c r="AL64" i="55"/>
  <c r="AL36" i="55"/>
  <c r="AJ13" i="55"/>
  <c r="AK61" i="55"/>
  <c r="AI20" i="55"/>
  <c r="AL20" i="55"/>
  <c r="AI59" i="55"/>
  <c r="AI53" i="55"/>
  <c r="AJ6" i="55"/>
  <c r="AJ70" i="55"/>
  <c r="AJ51" i="55"/>
  <c r="AK7" i="55"/>
  <c r="AK71" i="55"/>
  <c r="AL49" i="55"/>
  <c r="AL53" i="55"/>
  <c r="AJ22" i="55"/>
  <c r="AH82" i="55"/>
  <c r="AL12" i="55"/>
  <c r="AL76" i="55"/>
  <c r="AH37" i="55"/>
  <c r="AH51" i="55"/>
  <c r="AJ49" i="55"/>
  <c r="AJ74" i="55"/>
  <c r="AH67" i="55"/>
  <c r="AH5" i="55"/>
  <c r="AL74" i="55"/>
  <c r="AH34" i="55"/>
  <c r="AK74" i="55"/>
  <c r="AH69" i="55"/>
  <c r="AJ38" i="55"/>
  <c r="AJ67" i="55"/>
  <c r="AK69" i="55"/>
  <c r="Y65" i="55"/>
  <c r="Z65" i="55"/>
  <c r="AA65" i="55"/>
  <c r="AB65" i="55"/>
  <c r="AL65" i="55"/>
  <c r="AI69" i="55"/>
  <c r="AH56" i="55"/>
  <c r="AI21" i="55"/>
  <c r="AK77" i="55"/>
  <c r="AI36" i="55"/>
  <c r="AI31" i="55"/>
  <c r="AI9" i="55"/>
  <c r="AK9" i="55"/>
  <c r="AH13" i="55"/>
  <c r="AH52" i="55"/>
  <c r="AK42" i="55"/>
  <c r="AH64" i="55"/>
  <c r="AJ75" i="55"/>
  <c r="AH10" i="55"/>
  <c r="AH77" i="55"/>
  <c r="AK31" i="55"/>
  <c r="AI77" i="55"/>
  <c r="AL38" i="55"/>
  <c r="AH54" i="55"/>
  <c r="AL13" i="55"/>
  <c r="AL77" i="55"/>
  <c r="Y73" i="55"/>
  <c r="Z73" i="55"/>
  <c r="AA73" i="55"/>
  <c r="AB73" i="55"/>
  <c r="AL73" i="55"/>
  <c r="AK11" i="55"/>
  <c r="AH31" i="55"/>
  <c r="AK13" i="55"/>
  <c r="AJ31" i="55"/>
  <c r="AK75" i="55"/>
  <c r="AJ11" i="55"/>
  <c r="AK8" i="55"/>
  <c r="AJ42" i="55"/>
  <c r="AJ36" i="55"/>
  <c r="AL9" i="55"/>
  <c r="AK72" i="55"/>
  <c r="AK36" i="55"/>
  <c r="AJ46" i="55"/>
  <c r="AL23" i="55"/>
  <c r="AJ72" i="55"/>
  <c r="AL7" i="55"/>
  <c r="AL31" i="55"/>
  <c r="AH27" i="55"/>
  <c r="AH58" i="55"/>
  <c r="AI22" i="55"/>
  <c r="AH41" i="55"/>
  <c r="AI79" i="55"/>
  <c r="AI57" i="55"/>
  <c r="AH48" i="55"/>
  <c r="AK22" i="55"/>
  <c r="AI6" i="55"/>
  <c r="AI30" i="55"/>
  <c r="AI72" i="55"/>
  <c r="AI14" i="55"/>
  <c r="AJ57" i="55"/>
  <c r="AK35" i="55"/>
  <c r="AL79" i="55"/>
  <c r="AJ48" i="55"/>
  <c r="AJ9" i="55"/>
  <c r="AI80" i="55"/>
  <c r="AH43" i="55"/>
  <c r="AI50" i="55"/>
  <c r="AH60" i="55"/>
  <c r="AI29" i="55"/>
  <c r="AI66" i="55"/>
  <c r="AH62" i="55"/>
  <c r="AK16" i="55"/>
  <c r="AK80" i="55"/>
  <c r="AH49" i="55"/>
  <c r="AH20" i="55"/>
  <c r="AL48" i="55"/>
  <c r="R86" i="55"/>
  <c r="AH53" i="55"/>
  <c r="AL26" i="55"/>
  <c r="AL70" i="55"/>
  <c r="AL55" i="55"/>
  <c r="AJ40" i="55"/>
  <c r="AL62" i="55"/>
  <c r="AL41" i="55"/>
  <c r="AK83" i="55"/>
  <c r="AK70" i="55"/>
  <c r="AJ32" i="55"/>
  <c r="AJ64" i="55"/>
  <c r="AH4" i="55"/>
  <c r="AH68" i="55"/>
  <c r="AI37" i="55"/>
  <c r="AH6" i="55"/>
  <c r="AH70" i="55"/>
  <c r="AH47" i="55"/>
  <c r="AK24" i="55"/>
  <c r="AH18" i="55"/>
  <c r="AH57" i="55"/>
  <c r="AK26" i="55"/>
  <c r="AK59" i="55"/>
  <c r="AI40" i="55"/>
  <c r="AK46" i="55"/>
  <c r="AJ24" i="55"/>
  <c r="AL47" i="55"/>
  <c r="AK54" i="55"/>
  <c r="AL15" i="55"/>
  <c r="AK12" i="55"/>
  <c r="AH76" i="55"/>
  <c r="AJ45" i="55"/>
  <c r="AH14" i="55"/>
  <c r="AH55" i="55"/>
  <c r="AK32" i="55"/>
  <c r="AI74" i="55"/>
  <c r="AK15" i="55"/>
  <c r="AK79" i="55"/>
  <c r="AH61" i="55"/>
  <c r="AL22" i="55"/>
  <c r="AI46" i="55"/>
  <c r="AL6" i="55"/>
  <c r="AL30" i="55"/>
  <c r="AI8" i="55"/>
  <c r="AK51" i="55"/>
  <c r="AL25" i="55"/>
  <c r="AJ8" i="55"/>
  <c r="AH75" i="55"/>
  <c r="AK38" i="55"/>
  <c r="AK19" i="55"/>
  <c r="AK20" i="55"/>
  <c r="AI3" i="55"/>
  <c r="AJ53" i="55"/>
  <c r="AH22" i="55"/>
  <c r="AI42" i="55"/>
  <c r="AH63" i="55"/>
  <c r="AK40" i="55"/>
  <c r="AH9" i="55"/>
  <c r="AL61" i="55"/>
  <c r="AL71" i="55"/>
  <c r="AK6" i="55"/>
  <c r="AJ56" i="55"/>
  <c r="AK14" i="55"/>
  <c r="AL57" i="55"/>
  <c r="AI48" i="55"/>
  <c r="AI32" i="55"/>
  <c r="AH59" i="55"/>
  <c r="AH42" i="55"/>
  <c r="AK28" i="55"/>
  <c r="AI58" i="55"/>
  <c r="AJ61" i="55"/>
  <c r="AH30" i="55"/>
  <c r="AH7" i="55"/>
  <c r="AH71" i="55"/>
  <c r="AK48" i="55"/>
  <c r="AH17" i="55"/>
  <c r="AH81" i="55"/>
  <c r="AK30" i="55"/>
  <c r="AI26" i="55"/>
  <c r="AJ26" i="55"/>
  <c r="AJ15" i="55"/>
  <c r="AJ79" i="55"/>
  <c r="AI61" i="55"/>
  <c r="AJ30" i="55"/>
  <c r="AI56" i="55"/>
  <c r="AL17" i="55"/>
  <c r="AK62" i="55"/>
  <c r="AJ41" i="55"/>
  <c r="AJ19" i="55"/>
  <c r="AL63" i="55"/>
  <c r="AI70" i="55"/>
  <c r="AI54" i="55"/>
  <c r="AL14" i="55"/>
  <c r="AJ80" i="55"/>
  <c r="AI64" i="55"/>
  <c r="AH36" i="55"/>
  <c r="AI5" i="55"/>
  <c r="AJ69" i="55"/>
  <c r="AH38" i="55"/>
  <c r="AH15" i="55"/>
  <c r="AH79" i="55"/>
  <c r="AK56" i="55"/>
  <c r="AH25" i="55"/>
  <c r="AI34" i="55"/>
  <c r="AI15" i="55"/>
  <c r="AJ20" i="55"/>
  <c r="AK57" i="55"/>
  <c r="AL54" i="55"/>
  <c r="AI62" i="55"/>
  <c r="AI24" i="55"/>
  <c r="AL46" i="55"/>
  <c r="AJ25" i="55"/>
  <c r="AK67" i="55"/>
  <c r="AH74" i="55"/>
  <c r="AI38" i="55"/>
  <c r="AH44" i="55"/>
  <c r="AI13" i="55"/>
  <c r="AJ77" i="55"/>
  <c r="AH46" i="55"/>
  <c r="AH23" i="55"/>
  <c r="AH26" i="55"/>
  <c r="AK64" i="55"/>
  <c r="AH33" i="55"/>
  <c r="AI82" i="55"/>
  <c r="Y78" i="55"/>
  <c r="Z78" i="55"/>
  <c r="AA78" i="55"/>
  <c r="AB78" i="55"/>
  <c r="AL78" i="55"/>
  <c r="Y39" i="55"/>
  <c r="Z39" i="55"/>
  <c r="AA39" i="55"/>
  <c r="AB39" i="55"/>
  <c r="AL39" i="55"/>
  <c r="T12" i="50"/>
  <c r="AJ65" i="55"/>
  <c r="AI65" i="55"/>
  <c r="AK65" i="55"/>
  <c r="AK73" i="55"/>
  <c r="AI73" i="55"/>
  <c r="AI39" i="55"/>
  <c r="AJ73" i="55"/>
  <c r="AI78" i="55"/>
  <c r="AK39" i="55"/>
  <c r="AJ78" i="55"/>
  <c r="AJ39" i="55"/>
  <c r="AK78" i="55"/>
  <c r="U5" i="54"/>
  <c r="V5" i="54"/>
  <c r="U6" i="54"/>
  <c r="V6" i="54"/>
  <c r="U7" i="54"/>
  <c r="V7" i="54"/>
  <c r="U8" i="54"/>
  <c r="V8" i="54"/>
  <c r="U9" i="54"/>
  <c r="V9" i="54"/>
  <c r="U10" i="54"/>
  <c r="V10" i="54"/>
  <c r="U11" i="54"/>
  <c r="V11" i="54"/>
  <c r="U12" i="54"/>
  <c r="V12" i="54"/>
  <c r="U13" i="54"/>
  <c r="V13" i="54"/>
  <c r="U14" i="54"/>
  <c r="V14" i="54"/>
  <c r="U15" i="54"/>
  <c r="V15" i="54"/>
  <c r="U16" i="54"/>
  <c r="V16" i="54"/>
  <c r="U17" i="54"/>
  <c r="V17" i="54"/>
  <c r="U18" i="54"/>
  <c r="V18" i="54"/>
  <c r="U19" i="54"/>
  <c r="V19" i="54"/>
  <c r="U20" i="54"/>
  <c r="V20" i="54"/>
  <c r="U21" i="54"/>
  <c r="V21" i="54"/>
  <c r="U22" i="54"/>
  <c r="V22" i="54"/>
  <c r="U23" i="54"/>
  <c r="V23" i="54"/>
  <c r="U24" i="54"/>
  <c r="V24" i="54"/>
  <c r="U25" i="54"/>
  <c r="V25" i="54"/>
  <c r="U26" i="54"/>
  <c r="V26" i="54"/>
  <c r="U27" i="54"/>
  <c r="V27" i="54"/>
  <c r="U28" i="54"/>
  <c r="V28" i="54"/>
  <c r="U29" i="54"/>
  <c r="V29" i="54"/>
  <c r="U30" i="54"/>
  <c r="V30" i="54"/>
  <c r="U31" i="54"/>
  <c r="V31" i="54"/>
  <c r="U32" i="54"/>
  <c r="V32" i="54"/>
  <c r="U33" i="54"/>
  <c r="V33" i="54"/>
  <c r="U34" i="54"/>
  <c r="V34" i="54"/>
  <c r="U35" i="54"/>
  <c r="V35" i="54"/>
  <c r="U36" i="54"/>
  <c r="V36" i="54"/>
  <c r="U37" i="54"/>
  <c r="V37" i="54"/>
  <c r="U38" i="54"/>
  <c r="V38" i="54"/>
  <c r="U39" i="54"/>
  <c r="V39" i="54"/>
  <c r="U40" i="54"/>
  <c r="V40" i="54"/>
  <c r="U41" i="54"/>
  <c r="V41" i="54"/>
  <c r="U42" i="54"/>
  <c r="V42" i="54"/>
  <c r="U43" i="54"/>
  <c r="V43" i="54"/>
  <c r="U44" i="54"/>
  <c r="V44" i="54"/>
  <c r="U45" i="54"/>
  <c r="V45" i="54"/>
  <c r="U46" i="54"/>
  <c r="V46" i="54"/>
  <c r="U47" i="54"/>
  <c r="V47" i="54"/>
  <c r="U48" i="54"/>
  <c r="V48" i="54"/>
  <c r="U49" i="54"/>
  <c r="V49" i="54"/>
  <c r="U50" i="54"/>
  <c r="V50" i="54"/>
  <c r="U51" i="54"/>
  <c r="V51" i="54"/>
  <c r="U52" i="54"/>
  <c r="V52" i="54"/>
  <c r="U53" i="54"/>
  <c r="V53" i="54"/>
  <c r="U54" i="54"/>
  <c r="V54" i="54"/>
  <c r="U55" i="54"/>
  <c r="V55" i="54"/>
  <c r="U56" i="54"/>
  <c r="V56" i="54"/>
  <c r="U57" i="54"/>
  <c r="V57" i="54"/>
  <c r="U58" i="54"/>
  <c r="V58" i="54"/>
  <c r="U59" i="54"/>
  <c r="V59" i="54"/>
  <c r="U60" i="54"/>
  <c r="V60" i="54"/>
  <c r="U61" i="54"/>
  <c r="V61" i="54"/>
  <c r="U62" i="54"/>
  <c r="V62" i="54"/>
  <c r="U63" i="54"/>
  <c r="V63" i="54"/>
  <c r="U64" i="54"/>
  <c r="V64" i="54"/>
  <c r="U65" i="54"/>
  <c r="V65" i="54"/>
  <c r="U66" i="54"/>
  <c r="V66" i="54"/>
  <c r="U67" i="54"/>
  <c r="V67" i="54"/>
  <c r="U68" i="54"/>
  <c r="V68" i="54"/>
  <c r="U69" i="54"/>
  <c r="V69" i="54"/>
  <c r="U70" i="54"/>
  <c r="V70" i="54"/>
  <c r="U71" i="54"/>
  <c r="V71" i="54"/>
  <c r="U72" i="54"/>
  <c r="V72" i="54"/>
  <c r="U73" i="54"/>
  <c r="V73" i="54"/>
  <c r="U74" i="54"/>
  <c r="V74" i="54"/>
  <c r="U75" i="54"/>
  <c r="V75" i="54"/>
  <c r="U76" i="54"/>
  <c r="V76" i="54"/>
  <c r="U77" i="54"/>
  <c r="V77" i="54"/>
  <c r="U78" i="54"/>
  <c r="V78" i="54"/>
  <c r="U79" i="54"/>
  <c r="V79" i="54"/>
  <c r="U80" i="54"/>
  <c r="V80" i="54"/>
  <c r="U81" i="54"/>
  <c r="V81" i="54"/>
  <c r="U82" i="54"/>
  <c r="V82" i="54"/>
  <c r="U83" i="54"/>
  <c r="V83" i="54"/>
  <c r="U84" i="54"/>
  <c r="V84" i="54"/>
  <c r="U85" i="54"/>
  <c r="V85" i="54"/>
  <c r="U86" i="54"/>
  <c r="V86" i="54"/>
  <c r="U87" i="54"/>
  <c r="V87" i="54"/>
  <c r="U88" i="54"/>
  <c r="V88" i="54"/>
  <c r="U89" i="54"/>
  <c r="V89" i="54"/>
  <c r="U90" i="54"/>
  <c r="V90" i="54"/>
  <c r="U91" i="54"/>
  <c r="V91" i="54"/>
  <c r="U92" i="54"/>
  <c r="V92" i="54"/>
  <c r="U93" i="54"/>
  <c r="V93" i="54"/>
  <c r="U94" i="54"/>
  <c r="V94" i="54"/>
  <c r="U95" i="54"/>
  <c r="V95" i="54"/>
  <c r="U96" i="54"/>
  <c r="V96" i="54"/>
  <c r="U97" i="54"/>
  <c r="V97" i="54"/>
  <c r="U98" i="54"/>
  <c r="V98" i="54"/>
  <c r="U99" i="54"/>
  <c r="V99" i="54"/>
  <c r="U100" i="54"/>
  <c r="V100" i="54"/>
  <c r="U101" i="54"/>
  <c r="V101" i="54"/>
  <c r="U102" i="54"/>
  <c r="V102" i="54"/>
  <c r="U103" i="54"/>
  <c r="V103" i="54"/>
  <c r="U104" i="54"/>
  <c r="V104" i="54"/>
  <c r="U105" i="54"/>
  <c r="V105" i="54"/>
  <c r="U106" i="54"/>
  <c r="V106" i="54"/>
  <c r="U107" i="54"/>
  <c r="V107" i="54"/>
  <c r="U108" i="54"/>
  <c r="V108" i="54"/>
  <c r="U109" i="54"/>
  <c r="V109" i="54"/>
  <c r="U110" i="54"/>
  <c r="V110" i="54"/>
  <c r="U111" i="54"/>
  <c r="V111" i="54"/>
  <c r="U112" i="54"/>
  <c r="V112" i="54"/>
  <c r="U113" i="54"/>
  <c r="V113" i="54"/>
  <c r="U114" i="54"/>
  <c r="V114" i="54"/>
  <c r="U115" i="54"/>
  <c r="V115" i="54"/>
  <c r="U116" i="54"/>
  <c r="V116" i="54"/>
  <c r="U117" i="54"/>
  <c r="V117" i="54"/>
  <c r="U118" i="54"/>
  <c r="V118" i="54"/>
  <c r="U119" i="54"/>
  <c r="V119" i="54"/>
  <c r="U120" i="54"/>
  <c r="V120" i="54"/>
  <c r="U121" i="54"/>
  <c r="V121" i="54"/>
  <c r="U122" i="54"/>
  <c r="V122" i="54"/>
  <c r="U123" i="54"/>
  <c r="V123" i="54"/>
  <c r="U124" i="54"/>
  <c r="V124" i="54"/>
  <c r="U125" i="54"/>
  <c r="V125" i="54"/>
  <c r="U126" i="54"/>
  <c r="V126" i="54"/>
  <c r="U127" i="54"/>
  <c r="V127" i="54"/>
  <c r="U128" i="54"/>
  <c r="V128" i="54"/>
  <c r="U129" i="54"/>
  <c r="V129" i="54"/>
  <c r="U130" i="54"/>
  <c r="V130" i="54"/>
  <c r="U131" i="54"/>
  <c r="V131" i="54"/>
  <c r="U132" i="54"/>
  <c r="V132" i="54"/>
  <c r="U133" i="54"/>
  <c r="V133" i="54"/>
  <c r="U134" i="54"/>
  <c r="V134" i="54"/>
  <c r="U135" i="54"/>
  <c r="V135" i="54"/>
  <c r="U136" i="54"/>
  <c r="V136" i="54"/>
  <c r="U137" i="54"/>
  <c r="V137" i="54"/>
  <c r="U138" i="54"/>
  <c r="V138" i="54"/>
  <c r="U139" i="54"/>
  <c r="V139" i="54"/>
  <c r="U140" i="54"/>
  <c r="V140" i="54"/>
  <c r="U141" i="54"/>
  <c r="V141" i="54"/>
  <c r="U142" i="54"/>
  <c r="V142" i="54"/>
  <c r="U143" i="54"/>
  <c r="V143" i="54"/>
  <c r="U144" i="54"/>
  <c r="V144" i="54"/>
  <c r="U145" i="54"/>
  <c r="V145" i="54"/>
  <c r="U146" i="54"/>
  <c r="V146" i="54"/>
  <c r="U147" i="54"/>
  <c r="V147" i="54"/>
  <c r="U148" i="54"/>
  <c r="V148" i="54"/>
  <c r="U149" i="54"/>
  <c r="V149" i="54"/>
  <c r="U150" i="54"/>
  <c r="V150" i="54"/>
  <c r="U151" i="54"/>
  <c r="V151" i="54"/>
  <c r="U152" i="54"/>
  <c r="V152" i="54"/>
  <c r="U153" i="54"/>
  <c r="V153" i="54"/>
  <c r="U154" i="54"/>
  <c r="V154" i="54"/>
  <c r="U155" i="54"/>
  <c r="V155" i="54"/>
  <c r="U156" i="54"/>
  <c r="V156" i="54"/>
  <c r="U157" i="54"/>
  <c r="V157" i="54"/>
  <c r="U158" i="54"/>
  <c r="V158" i="54"/>
  <c r="U159" i="54"/>
  <c r="V159" i="54"/>
  <c r="U160" i="54"/>
  <c r="V160" i="54"/>
  <c r="U161" i="54"/>
  <c r="V161" i="54"/>
  <c r="U162" i="54"/>
  <c r="V162" i="54"/>
  <c r="U163" i="54"/>
  <c r="V163" i="54"/>
  <c r="U164" i="54"/>
  <c r="V164" i="54"/>
  <c r="U165" i="54"/>
  <c r="V165" i="54"/>
  <c r="U166" i="54"/>
  <c r="V166" i="54"/>
  <c r="U167" i="54"/>
  <c r="V167" i="54"/>
  <c r="U168" i="54"/>
  <c r="V168" i="54"/>
  <c r="U169" i="54"/>
  <c r="V169" i="54"/>
  <c r="U170" i="54"/>
  <c r="V170" i="54"/>
  <c r="U171" i="54"/>
  <c r="V171" i="54"/>
  <c r="U172" i="54"/>
  <c r="V172" i="54"/>
  <c r="U173" i="54"/>
  <c r="V173" i="54"/>
  <c r="U174" i="54"/>
  <c r="V174" i="54"/>
  <c r="U175" i="54"/>
  <c r="V175" i="54"/>
  <c r="U176" i="54"/>
  <c r="V176" i="54"/>
  <c r="U177" i="54"/>
  <c r="V177" i="54"/>
  <c r="U178" i="54"/>
  <c r="V178" i="54"/>
  <c r="U179" i="54"/>
  <c r="V179" i="54"/>
  <c r="U180" i="54"/>
  <c r="V180" i="54"/>
  <c r="U181" i="54"/>
  <c r="V181" i="54"/>
  <c r="U182" i="54"/>
  <c r="V182" i="54"/>
  <c r="U183" i="54"/>
  <c r="V183" i="54"/>
  <c r="U184" i="54"/>
  <c r="V184" i="54"/>
  <c r="U185" i="54"/>
  <c r="V185" i="54"/>
  <c r="U186" i="54"/>
  <c r="V186" i="54"/>
  <c r="U187" i="54"/>
  <c r="V187" i="54"/>
  <c r="U188" i="54"/>
  <c r="V188" i="54"/>
  <c r="U189" i="54"/>
  <c r="V189" i="54"/>
  <c r="U190" i="54"/>
  <c r="V190" i="54"/>
  <c r="U191" i="54"/>
  <c r="V191" i="54"/>
  <c r="U192" i="54"/>
  <c r="V192" i="54"/>
  <c r="U193" i="54"/>
  <c r="V193" i="54"/>
  <c r="U194" i="54"/>
  <c r="V194" i="54"/>
  <c r="U195" i="54"/>
  <c r="V195" i="54"/>
  <c r="U196" i="54"/>
  <c r="V196" i="54"/>
  <c r="U197" i="54"/>
  <c r="V197" i="54"/>
  <c r="U198" i="54"/>
  <c r="V198" i="54"/>
  <c r="U199" i="54"/>
  <c r="V199" i="54"/>
  <c r="U200" i="54"/>
  <c r="V200" i="54"/>
  <c r="U201" i="54"/>
  <c r="V201" i="54"/>
  <c r="U202" i="54"/>
  <c r="V202" i="54"/>
  <c r="U203" i="54"/>
  <c r="V203" i="54"/>
  <c r="U204" i="54"/>
  <c r="V204" i="54"/>
  <c r="U205" i="54"/>
  <c r="V205" i="54"/>
  <c r="U206" i="54"/>
  <c r="V206" i="54"/>
  <c r="U207" i="54"/>
  <c r="V207" i="54"/>
  <c r="U208" i="54"/>
  <c r="V208" i="54"/>
  <c r="U209" i="54"/>
  <c r="V209" i="54"/>
  <c r="U210" i="54"/>
  <c r="V210" i="54"/>
  <c r="U211" i="54"/>
  <c r="V211" i="54"/>
  <c r="U212" i="54"/>
  <c r="V212" i="54"/>
  <c r="U213" i="54"/>
  <c r="V213" i="54"/>
  <c r="U214" i="54"/>
  <c r="V214" i="54"/>
  <c r="U215" i="54"/>
  <c r="V215" i="54"/>
  <c r="U216" i="54"/>
  <c r="V216" i="54"/>
  <c r="U217" i="54"/>
  <c r="V217" i="54"/>
  <c r="U218" i="54"/>
  <c r="V218" i="54"/>
  <c r="U219" i="54"/>
  <c r="V219" i="54"/>
  <c r="U220" i="54"/>
  <c r="V220" i="54"/>
  <c r="U221" i="54"/>
  <c r="V221" i="54"/>
  <c r="U222" i="54"/>
  <c r="V222" i="54"/>
  <c r="U223" i="54"/>
  <c r="V223" i="54"/>
  <c r="U224" i="54"/>
  <c r="V224" i="54"/>
  <c r="U225" i="54"/>
  <c r="V225" i="54"/>
  <c r="U226" i="54"/>
  <c r="V226" i="54"/>
  <c r="U227" i="54"/>
  <c r="V227" i="54"/>
  <c r="U228" i="54"/>
  <c r="V228" i="54"/>
  <c r="U229" i="54"/>
  <c r="V229" i="54"/>
  <c r="U230" i="54"/>
  <c r="V230" i="54"/>
  <c r="U231" i="54"/>
  <c r="V231" i="54"/>
  <c r="U232" i="54"/>
  <c r="V232" i="54"/>
  <c r="U233" i="54"/>
  <c r="V233" i="54"/>
  <c r="U234" i="54"/>
  <c r="V234" i="54"/>
  <c r="U235" i="54"/>
  <c r="V235" i="54"/>
  <c r="U236" i="54"/>
  <c r="V236" i="54"/>
  <c r="U237" i="54"/>
  <c r="V237" i="54"/>
  <c r="U238" i="54"/>
  <c r="V238" i="54"/>
  <c r="U239" i="54"/>
  <c r="V239" i="54"/>
  <c r="U240" i="54"/>
  <c r="V240" i="54"/>
  <c r="U241" i="54"/>
  <c r="V241" i="54"/>
  <c r="U242" i="54"/>
  <c r="V242" i="54"/>
  <c r="U243" i="54"/>
  <c r="V243" i="54"/>
  <c r="U244" i="54"/>
  <c r="V244" i="54"/>
  <c r="U245" i="54"/>
  <c r="V245" i="54"/>
  <c r="U246" i="54"/>
  <c r="V246" i="54"/>
  <c r="U247" i="54"/>
  <c r="V247" i="54"/>
  <c r="U248" i="54"/>
  <c r="V248" i="54"/>
  <c r="U249" i="54"/>
  <c r="V249" i="54"/>
  <c r="U250" i="54"/>
  <c r="V250" i="54"/>
  <c r="U251" i="54"/>
  <c r="V251" i="54"/>
  <c r="U252" i="54"/>
  <c r="V252" i="54"/>
  <c r="U253" i="54"/>
  <c r="V253" i="54"/>
  <c r="U254" i="54"/>
  <c r="V254" i="54"/>
  <c r="U255" i="54"/>
  <c r="V255" i="54"/>
  <c r="U256" i="54"/>
  <c r="V256" i="54"/>
  <c r="U257" i="54"/>
  <c r="V257" i="54"/>
  <c r="U258" i="54"/>
  <c r="V258" i="54"/>
  <c r="U259" i="54"/>
  <c r="V259" i="54"/>
  <c r="U260" i="54"/>
  <c r="V260" i="54"/>
  <c r="U261" i="54"/>
  <c r="V261" i="54"/>
  <c r="U262" i="54"/>
  <c r="V262" i="54"/>
  <c r="U263" i="54"/>
  <c r="V263" i="54"/>
  <c r="U264" i="54"/>
  <c r="V264" i="54"/>
  <c r="U265" i="54"/>
  <c r="V265" i="54"/>
  <c r="U266" i="54"/>
  <c r="V266" i="54"/>
  <c r="U267" i="54"/>
  <c r="V267" i="54"/>
  <c r="U268" i="54"/>
  <c r="V268" i="54"/>
  <c r="U269" i="54"/>
  <c r="V269" i="54"/>
  <c r="U270" i="54"/>
  <c r="V270" i="54"/>
  <c r="U271" i="54"/>
  <c r="V271" i="54"/>
  <c r="U272" i="54"/>
  <c r="V272" i="54"/>
  <c r="U273" i="54"/>
  <c r="V273" i="54"/>
  <c r="U274" i="54"/>
  <c r="V274" i="54"/>
  <c r="U275" i="54"/>
  <c r="V275" i="54"/>
  <c r="U276" i="54"/>
  <c r="V276" i="54"/>
  <c r="U277" i="54"/>
  <c r="V277" i="54"/>
  <c r="U278" i="54"/>
  <c r="V278" i="54"/>
  <c r="U279" i="54"/>
  <c r="V279" i="54"/>
  <c r="U280" i="54"/>
  <c r="V280" i="54"/>
  <c r="U281" i="54"/>
  <c r="V281" i="54"/>
  <c r="U282" i="54"/>
  <c r="V282" i="54"/>
  <c r="U283" i="54"/>
  <c r="V283" i="54"/>
  <c r="U284" i="54"/>
  <c r="V284" i="54"/>
  <c r="U285" i="54"/>
  <c r="V285" i="54"/>
  <c r="U286" i="54"/>
  <c r="V286" i="54"/>
  <c r="U287" i="54"/>
  <c r="V287" i="54"/>
  <c r="U288" i="54"/>
  <c r="V288" i="54"/>
  <c r="U289" i="54"/>
  <c r="V289" i="54"/>
  <c r="U290" i="54"/>
  <c r="V290" i="54"/>
  <c r="U291" i="54"/>
  <c r="V291" i="54"/>
  <c r="U292" i="54"/>
  <c r="V292" i="54"/>
  <c r="U293" i="54"/>
  <c r="V293" i="54"/>
  <c r="U294" i="54"/>
  <c r="V294" i="54"/>
  <c r="U295" i="54"/>
  <c r="V295" i="54"/>
  <c r="U296" i="54"/>
  <c r="V296" i="54"/>
  <c r="U297" i="54"/>
  <c r="V297" i="54"/>
  <c r="U298" i="54"/>
  <c r="V298" i="54"/>
  <c r="U299" i="54"/>
  <c r="V299" i="54"/>
  <c r="U300" i="54"/>
  <c r="V300" i="54"/>
  <c r="U301" i="54"/>
  <c r="V301" i="54"/>
  <c r="U302" i="54"/>
  <c r="V302" i="54"/>
  <c r="U303" i="54"/>
  <c r="V303" i="54"/>
  <c r="U304" i="54"/>
  <c r="V304" i="54"/>
  <c r="U305" i="54"/>
  <c r="V305" i="54"/>
  <c r="U306" i="54"/>
  <c r="V306" i="54"/>
  <c r="U307" i="54"/>
  <c r="V307" i="54"/>
  <c r="U308" i="54"/>
  <c r="V308" i="54"/>
  <c r="U309" i="54"/>
  <c r="V309" i="54"/>
  <c r="U310" i="54"/>
  <c r="V310" i="54"/>
  <c r="U311" i="54"/>
  <c r="V311" i="54"/>
  <c r="U312" i="54"/>
  <c r="V312" i="54"/>
  <c r="U313" i="54"/>
  <c r="V313" i="54"/>
  <c r="U314" i="54"/>
  <c r="V314" i="54"/>
  <c r="U315" i="54"/>
  <c r="V315" i="54"/>
  <c r="U316" i="54"/>
  <c r="V316" i="54"/>
  <c r="U317" i="54"/>
  <c r="V317" i="54"/>
  <c r="U318" i="54"/>
  <c r="V318" i="54"/>
  <c r="U319" i="54"/>
  <c r="V319" i="54"/>
  <c r="U320" i="54"/>
  <c r="V320" i="54"/>
  <c r="U321" i="54"/>
  <c r="V321" i="54"/>
  <c r="U322" i="54"/>
  <c r="V322" i="54"/>
  <c r="U323" i="54"/>
  <c r="V323" i="54"/>
  <c r="U324" i="54"/>
  <c r="V324" i="54"/>
  <c r="U325" i="54"/>
  <c r="V325" i="54"/>
  <c r="U326" i="54"/>
  <c r="V326" i="54"/>
  <c r="U327" i="54"/>
  <c r="V327" i="54"/>
  <c r="U328" i="54"/>
  <c r="V328" i="54"/>
  <c r="U329" i="54"/>
  <c r="V329" i="54"/>
  <c r="U330" i="54"/>
  <c r="V330" i="54"/>
  <c r="U331" i="54"/>
  <c r="V331" i="54"/>
  <c r="U332" i="54"/>
  <c r="V332" i="54"/>
  <c r="U333" i="54"/>
  <c r="V333" i="54"/>
  <c r="U334" i="54"/>
  <c r="V334" i="54"/>
  <c r="U335" i="54"/>
  <c r="V335" i="54"/>
  <c r="U336" i="54"/>
  <c r="V336" i="54"/>
  <c r="U337" i="54"/>
  <c r="V337" i="54"/>
  <c r="U338" i="54"/>
  <c r="V338" i="54"/>
  <c r="U339" i="54"/>
  <c r="V339" i="54"/>
  <c r="U340" i="54"/>
  <c r="V340" i="54"/>
  <c r="U341" i="54"/>
  <c r="V341" i="54"/>
  <c r="U342" i="54"/>
  <c r="V342" i="54"/>
  <c r="U343" i="54"/>
  <c r="V343" i="54"/>
  <c r="U344" i="54"/>
  <c r="V344" i="54"/>
  <c r="U345" i="54"/>
  <c r="V345" i="54"/>
  <c r="U346" i="54"/>
  <c r="V346" i="54"/>
  <c r="U347" i="54"/>
  <c r="V347" i="54"/>
  <c r="U348" i="54"/>
  <c r="V348" i="54"/>
  <c r="U349" i="54"/>
  <c r="V349" i="54"/>
  <c r="U350" i="54"/>
  <c r="V350" i="54"/>
  <c r="U351" i="54"/>
  <c r="V351" i="54"/>
  <c r="U352" i="54"/>
  <c r="V352" i="54"/>
  <c r="U353" i="54"/>
  <c r="V353" i="54"/>
  <c r="U354" i="54"/>
  <c r="V354" i="54"/>
  <c r="U355" i="54"/>
  <c r="V355" i="54"/>
  <c r="U356" i="54"/>
  <c r="V356" i="54"/>
  <c r="U357" i="54"/>
  <c r="V357" i="54"/>
  <c r="U358" i="54"/>
  <c r="V358" i="54"/>
  <c r="U359" i="54"/>
  <c r="V359" i="54"/>
  <c r="U360" i="54"/>
  <c r="V360" i="54"/>
  <c r="U361" i="54"/>
  <c r="V361" i="54"/>
  <c r="U362" i="54"/>
  <c r="V362" i="54"/>
  <c r="U363" i="54"/>
  <c r="V363" i="54"/>
  <c r="U364" i="54"/>
  <c r="V364" i="54"/>
  <c r="U365" i="54"/>
  <c r="V365" i="54"/>
  <c r="U366" i="54"/>
  <c r="V366" i="54"/>
  <c r="U367" i="54"/>
  <c r="V367" i="54"/>
  <c r="U368" i="54"/>
  <c r="V368" i="54"/>
  <c r="U369" i="54"/>
  <c r="V369" i="54"/>
  <c r="U370" i="54"/>
  <c r="V370" i="54"/>
  <c r="U371" i="54"/>
  <c r="V371" i="54"/>
  <c r="U372" i="54"/>
  <c r="V372" i="54"/>
  <c r="U373" i="54"/>
  <c r="V373" i="54"/>
  <c r="U374" i="54"/>
  <c r="V374" i="54"/>
  <c r="U375" i="54"/>
  <c r="V375" i="54"/>
  <c r="U376" i="54"/>
  <c r="V376" i="54"/>
  <c r="U377" i="54"/>
  <c r="V377" i="54"/>
  <c r="U378" i="54"/>
  <c r="V378" i="54"/>
  <c r="U379" i="54"/>
  <c r="V379" i="54"/>
  <c r="U380" i="54"/>
  <c r="V380" i="54"/>
  <c r="U381" i="54"/>
  <c r="V381" i="54"/>
  <c r="U382" i="54"/>
  <c r="V382" i="54"/>
  <c r="U383" i="54"/>
  <c r="V383" i="54"/>
  <c r="U384" i="54"/>
  <c r="V384" i="54"/>
  <c r="U385" i="54"/>
  <c r="V385" i="54"/>
  <c r="U386" i="54"/>
  <c r="V386" i="54"/>
  <c r="U387" i="54"/>
  <c r="V387" i="54"/>
  <c r="U388" i="54"/>
  <c r="V388" i="54"/>
  <c r="U389" i="54"/>
  <c r="V389" i="54"/>
  <c r="U390" i="54"/>
  <c r="V390" i="54"/>
  <c r="U391" i="54"/>
  <c r="V391" i="54"/>
  <c r="U392" i="54"/>
  <c r="V392" i="54"/>
  <c r="U393" i="54"/>
  <c r="V393" i="54"/>
  <c r="U394" i="54"/>
  <c r="V394" i="54"/>
  <c r="U395" i="54"/>
  <c r="V395" i="54"/>
  <c r="U396" i="54"/>
  <c r="V396" i="54"/>
  <c r="U397" i="54"/>
  <c r="V397" i="54"/>
  <c r="U398" i="54"/>
  <c r="V398" i="54"/>
  <c r="U399" i="54"/>
  <c r="V399" i="54"/>
  <c r="U400" i="54"/>
  <c r="V400" i="54"/>
  <c r="U401" i="54"/>
  <c r="V401" i="54"/>
  <c r="U402" i="54"/>
  <c r="V402" i="54"/>
  <c r="U403" i="54"/>
  <c r="V403" i="54"/>
  <c r="U404" i="54"/>
  <c r="V404" i="54"/>
  <c r="U405" i="54"/>
  <c r="V405" i="54"/>
  <c r="U406" i="54"/>
  <c r="V406" i="54"/>
  <c r="U407" i="54"/>
  <c r="V407" i="54"/>
  <c r="U408" i="54"/>
  <c r="V408" i="54"/>
  <c r="U409" i="54"/>
  <c r="V409" i="54"/>
  <c r="U410" i="54"/>
  <c r="V410" i="54"/>
  <c r="U411" i="54"/>
  <c r="V411" i="54"/>
  <c r="U412" i="54"/>
  <c r="V412" i="54"/>
  <c r="U413" i="54"/>
  <c r="V413" i="54"/>
  <c r="U414" i="54"/>
  <c r="V414" i="54"/>
  <c r="U415" i="54"/>
  <c r="V415" i="54"/>
  <c r="U416" i="54"/>
  <c r="V416" i="54"/>
  <c r="U417" i="54"/>
  <c r="V417" i="54"/>
  <c r="U418" i="54"/>
  <c r="V418" i="54"/>
  <c r="U419" i="54"/>
  <c r="V419" i="54"/>
  <c r="U420" i="54"/>
  <c r="V420" i="54"/>
  <c r="U421" i="54"/>
  <c r="V421" i="54"/>
  <c r="U422" i="54"/>
  <c r="V422" i="54"/>
  <c r="U423" i="54"/>
  <c r="V423" i="54"/>
  <c r="U424" i="54"/>
  <c r="V424" i="54"/>
  <c r="U425" i="54"/>
  <c r="V425" i="54"/>
  <c r="U426" i="54"/>
  <c r="V426" i="54"/>
  <c r="U427" i="54"/>
  <c r="V427" i="54"/>
  <c r="U428" i="54"/>
  <c r="V428" i="54"/>
  <c r="U429" i="54"/>
  <c r="V429" i="54"/>
  <c r="U430" i="54"/>
  <c r="V430" i="54"/>
  <c r="U431" i="54"/>
  <c r="V431" i="54"/>
  <c r="U432" i="54"/>
  <c r="V432" i="54"/>
  <c r="U433" i="54"/>
  <c r="V433" i="54"/>
  <c r="U434" i="54"/>
  <c r="V434" i="54"/>
  <c r="U435" i="54"/>
  <c r="V435" i="54"/>
  <c r="U436" i="54"/>
  <c r="V436" i="54"/>
  <c r="U437" i="54"/>
  <c r="V437" i="54"/>
  <c r="U438" i="54"/>
  <c r="V438" i="54"/>
  <c r="U439" i="54"/>
  <c r="V439" i="54"/>
  <c r="U440" i="54"/>
  <c r="V440" i="54"/>
  <c r="U441" i="54"/>
  <c r="V441" i="54"/>
  <c r="U442" i="54"/>
  <c r="V442" i="54"/>
  <c r="U443" i="54"/>
  <c r="V443" i="54"/>
  <c r="U444" i="54"/>
  <c r="V444" i="54"/>
  <c r="U445" i="54"/>
  <c r="V445" i="54"/>
  <c r="U446" i="54"/>
  <c r="V446" i="54"/>
  <c r="U447" i="54"/>
  <c r="V447" i="54"/>
  <c r="U448" i="54"/>
  <c r="V448" i="54"/>
  <c r="U449" i="54"/>
  <c r="V449" i="54"/>
  <c r="U450" i="54"/>
  <c r="V450" i="54"/>
  <c r="U451" i="54"/>
  <c r="V451" i="54"/>
  <c r="U452" i="54"/>
  <c r="V452" i="54"/>
  <c r="U453" i="54"/>
  <c r="V453" i="54"/>
  <c r="U454" i="54"/>
  <c r="V454" i="54"/>
  <c r="U455" i="54"/>
  <c r="V455" i="54"/>
  <c r="U456" i="54"/>
  <c r="V456" i="54"/>
  <c r="U457" i="54"/>
  <c r="V457" i="54"/>
  <c r="U458" i="54"/>
  <c r="V458" i="54"/>
  <c r="U459" i="54"/>
  <c r="V459" i="54"/>
  <c r="U460" i="54"/>
  <c r="V460" i="54"/>
  <c r="U461" i="54"/>
  <c r="V461" i="54"/>
  <c r="U462" i="54"/>
  <c r="V462" i="54"/>
  <c r="U463" i="54"/>
  <c r="V463" i="54"/>
  <c r="U464" i="54"/>
  <c r="V464" i="54"/>
  <c r="U465" i="54"/>
  <c r="V465" i="54"/>
  <c r="U466" i="54"/>
  <c r="V466" i="54"/>
  <c r="U467" i="54"/>
  <c r="V467" i="54"/>
  <c r="U468" i="54"/>
  <c r="V468" i="54"/>
  <c r="U469" i="54"/>
  <c r="V469" i="54"/>
  <c r="U470" i="54"/>
  <c r="V470" i="54"/>
  <c r="U471" i="54"/>
  <c r="V471" i="54"/>
  <c r="U472" i="54"/>
  <c r="V472" i="54"/>
  <c r="U473" i="54"/>
  <c r="V473" i="54"/>
  <c r="U474" i="54"/>
  <c r="V474" i="54"/>
  <c r="U475" i="54"/>
  <c r="V475" i="54"/>
  <c r="U476" i="54"/>
  <c r="V476" i="54"/>
  <c r="U477" i="54"/>
  <c r="V477" i="54"/>
  <c r="U478" i="54"/>
  <c r="V478" i="54"/>
  <c r="U479" i="54"/>
  <c r="V479" i="54"/>
  <c r="U480" i="54"/>
  <c r="V480" i="54"/>
  <c r="U481" i="54"/>
  <c r="V481" i="54"/>
  <c r="U482" i="54"/>
  <c r="V482" i="54"/>
  <c r="U483" i="54"/>
  <c r="V483" i="54"/>
  <c r="U484" i="54"/>
  <c r="V484" i="54"/>
  <c r="U485" i="54"/>
  <c r="V485" i="54"/>
  <c r="U486" i="54"/>
  <c r="V486" i="54"/>
  <c r="U487" i="54"/>
  <c r="V487" i="54"/>
  <c r="U488" i="54"/>
  <c r="V488" i="54"/>
  <c r="U489" i="54"/>
  <c r="V489" i="54"/>
  <c r="U490" i="54"/>
  <c r="V490" i="54"/>
  <c r="U491" i="54"/>
  <c r="V491" i="54"/>
  <c r="U492" i="54"/>
  <c r="V492" i="54"/>
  <c r="U493" i="54"/>
  <c r="V493" i="54"/>
  <c r="U494" i="54"/>
  <c r="V494" i="54"/>
  <c r="U495" i="54"/>
  <c r="V495" i="54"/>
  <c r="U496" i="54"/>
  <c r="V496" i="54"/>
  <c r="U497" i="54"/>
  <c r="V497" i="54"/>
  <c r="U498" i="54"/>
  <c r="V498" i="54"/>
  <c r="U499" i="54"/>
  <c r="V499" i="54"/>
  <c r="U500" i="54"/>
  <c r="V500" i="54"/>
  <c r="U501" i="54"/>
  <c r="V501" i="54"/>
  <c r="U502" i="54"/>
  <c r="V502" i="54"/>
  <c r="U503" i="54"/>
  <c r="V503" i="54"/>
  <c r="U504" i="54"/>
  <c r="V504" i="54"/>
  <c r="U505" i="54"/>
  <c r="V505" i="54"/>
  <c r="U506" i="54"/>
  <c r="V506" i="54"/>
  <c r="U507" i="54"/>
  <c r="V507" i="54"/>
  <c r="U508" i="54"/>
  <c r="V508" i="54"/>
  <c r="U509" i="54"/>
  <c r="V509" i="54"/>
  <c r="U510" i="54"/>
  <c r="V510" i="54"/>
  <c r="U511" i="54"/>
  <c r="V511" i="54"/>
  <c r="U512" i="54"/>
  <c r="V512" i="54"/>
  <c r="U513" i="54"/>
  <c r="V513" i="54"/>
  <c r="U514" i="54"/>
  <c r="V514" i="54"/>
  <c r="U515" i="54"/>
  <c r="V515" i="54"/>
  <c r="U516" i="54"/>
  <c r="V516" i="54"/>
  <c r="U517" i="54"/>
  <c r="V517" i="54"/>
  <c r="U518" i="54"/>
  <c r="V518" i="54"/>
  <c r="U519" i="54"/>
  <c r="V519" i="54"/>
  <c r="U520" i="54"/>
  <c r="V520" i="54"/>
  <c r="U521" i="54"/>
  <c r="V521" i="54"/>
  <c r="U522" i="54"/>
  <c r="V522" i="54"/>
  <c r="U523" i="54"/>
  <c r="V523" i="54"/>
  <c r="U524" i="54"/>
  <c r="V524" i="54"/>
  <c r="U525" i="54"/>
  <c r="V525" i="54"/>
  <c r="U526" i="54"/>
  <c r="V526" i="54"/>
  <c r="U527" i="54"/>
  <c r="V527" i="54"/>
  <c r="U528" i="54"/>
  <c r="V528" i="54"/>
  <c r="U529" i="54"/>
  <c r="V529" i="54"/>
  <c r="U530" i="54"/>
  <c r="V530" i="54"/>
  <c r="U531" i="54"/>
  <c r="V531" i="54"/>
  <c r="U532" i="54"/>
  <c r="V532" i="54"/>
  <c r="U533" i="54"/>
  <c r="V533" i="54"/>
  <c r="U534" i="54"/>
  <c r="V534" i="54"/>
  <c r="U535" i="54"/>
  <c r="V535" i="54"/>
  <c r="U536" i="54"/>
  <c r="V536" i="54"/>
  <c r="U537" i="54"/>
  <c r="V537" i="54"/>
  <c r="U538" i="54"/>
  <c r="V538" i="54"/>
  <c r="U539" i="54"/>
  <c r="V539" i="54"/>
  <c r="U540" i="54"/>
  <c r="V540" i="54"/>
  <c r="U541" i="54"/>
  <c r="V541" i="54"/>
  <c r="U542" i="54"/>
  <c r="V542" i="54"/>
  <c r="U543" i="54"/>
  <c r="V543" i="54"/>
  <c r="U544" i="54"/>
  <c r="V544" i="54"/>
  <c r="U545" i="54"/>
  <c r="V545" i="54"/>
  <c r="U546" i="54"/>
  <c r="V546" i="54"/>
  <c r="U547" i="54"/>
  <c r="V547" i="54"/>
  <c r="U548" i="54"/>
  <c r="V548" i="54"/>
  <c r="U549" i="54"/>
  <c r="V549" i="54"/>
  <c r="U550" i="54"/>
  <c r="V550" i="54"/>
  <c r="U551" i="54"/>
  <c r="V551" i="54"/>
  <c r="U552" i="54"/>
  <c r="V552" i="54"/>
  <c r="U553" i="54"/>
  <c r="V553" i="54"/>
  <c r="U554" i="54"/>
  <c r="V554" i="54"/>
  <c r="U555" i="54"/>
  <c r="V555" i="54"/>
  <c r="U556" i="54"/>
  <c r="V556" i="54"/>
  <c r="U557" i="54"/>
  <c r="V557" i="54"/>
  <c r="U558" i="54"/>
  <c r="V558" i="54"/>
  <c r="U559" i="54"/>
  <c r="V559" i="54"/>
  <c r="U560" i="54"/>
  <c r="V560" i="54"/>
  <c r="U561" i="54"/>
  <c r="V561" i="54"/>
  <c r="U562" i="54"/>
  <c r="V562" i="54"/>
  <c r="U563" i="54"/>
  <c r="V563" i="54"/>
  <c r="U564" i="54"/>
  <c r="V564" i="54"/>
  <c r="U565" i="54"/>
  <c r="V565" i="54"/>
  <c r="U566" i="54"/>
  <c r="V566" i="54"/>
  <c r="U567" i="54"/>
  <c r="V567" i="54"/>
  <c r="U568" i="54"/>
  <c r="V568" i="54"/>
  <c r="U569" i="54"/>
  <c r="V569" i="54"/>
  <c r="U570" i="54"/>
  <c r="V570" i="54"/>
  <c r="U571" i="54"/>
  <c r="V571" i="54"/>
  <c r="U572" i="54"/>
  <c r="V572" i="54"/>
  <c r="U573" i="54"/>
  <c r="V573" i="54"/>
  <c r="U574" i="54"/>
  <c r="V574" i="54"/>
  <c r="U575" i="54"/>
  <c r="V575" i="54"/>
  <c r="U576" i="54"/>
  <c r="V576" i="54"/>
  <c r="U577" i="54"/>
  <c r="V577" i="54"/>
  <c r="U578" i="54"/>
  <c r="V578" i="54"/>
  <c r="U579" i="54"/>
  <c r="V579" i="54"/>
  <c r="U580" i="54"/>
  <c r="V580" i="54"/>
  <c r="U581" i="54"/>
  <c r="V581" i="54"/>
  <c r="U582" i="54"/>
  <c r="V582" i="54"/>
  <c r="U583" i="54"/>
  <c r="V583" i="54"/>
  <c r="U584" i="54"/>
  <c r="V584" i="54"/>
  <c r="U585" i="54"/>
  <c r="V585" i="54"/>
  <c r="U586" i="54"/>
  <c r="V586" i="54"/>
  <c r="U587" i="54"/>
  <c r="V587" i="54"/>
  <c r="U588" i="54"/>
  <c r="V588" i="54"/>
  <c r="U589" i="54"/>
  <c r="V589" i="54"/>
  <c r="U590" i="54"/>
  <c r="V590" i="54"/>
  <c r="U591" i="54"/>
  <c r="V591" i="54"/>
  <c r="U592" i="54"/>
  <c r="V592" i="54"/>
  <c r="U593" i="54"/>
  <c r="V593" i="54"/>
  <c r="U594" i="54"/>
  <c r="V594" i="54"/>
  <c r="U595" i="54"/>
  <c r="V595" i="54"/>
  <c r="U596" i="54"/>
  <c r="V596" i="54"/>
  <c r="U597" i="54"/>
  <c r="V597" i="54"/>
  <c r="U598" i="54"/>
  <c r="V598" i="54"/>
  <c r="U599" i="54"/>
  <c r="V599" i="54"/>
  <c r="U600" i="54"/>
  <c r="V600" i="54"/>
  <c r="U601" i="54"/>
  <c r="V601" i="54"/>
  <c r="U602" i="54"/>
  <c r="V602" i="54"/>
  <c r="U603" i="54"/>
  <c r="V603" i="54"/>
  <c r="U604" i="54"/>
  <c r="V604" i="54"/>
  <c r="U605" i="54"/>
  <c r="V605" i="54"/>
  <c r="U606" i="54"/>
  <c r="V606" i="54"/>
  <c r="U607" i="54"/>
  <c r="V607" i="54"/>
  <c r="U608" i="54"/>
  <c r="V608" i="54"/>
  <c r="U609" i="54"/>
  <c r="V609" i="54"/>
  <c r="U610" i="54"/>
  <c r="V610" i="54"/>
  <c r="U611" i="54"/>
  <c r="V611" i="54"/>
  <c r="U612" i="54"/>
  <c r="V612" i="54"/>
  <c r="U613" i="54"/>
  <c r="V613" i="54"/>
  <c r="U614" i="54"/>
  <c r="V614" i="54"/>
  <c r="U615" i="54"/>
  <c r="V615" i="54"/>
  <c r="U616" i="54"/>
  <c r="V616" i="54"/>
  <c r="U617" i="54"/>
  <c r="V617" i="54"/>
  <c r="U618" i="54"/>
  <c r="V618" i="54"/>
  <c r="U619" i="54"/>
  <c r="V619" i="54"/>
  <c r="U620" i="54"/>
  <c r="V620" i="54"/>
  <c r="U621" i="54"/>
  <c r="V621" i="54"/>
  <c r="U622" i="54"/>
  <c r="V622" i="54"/>
  <c r="U623" i="54"/>
  <c r="V623" i="54"/>
  <c r="U624" i="54"/>
  <c r="V624" i="54"/>
  <c r="U625" i="54"/>
  <c r="V625" i="54"/>
  <c r="U626" i="54"/>
  <c r="V626" i="54"/>
  <c r="U627" i="54"/>
  <c r="V627" i="54"/>
  <c r="U628" i="54"/>
  <c r="V628" i="54"/>
  <c r="U629" i="54"/>
  <c r="V629" i="54"/>
  <c r="U630" i="54"/>
  <c r="V630" i="54"/>
  <c r="U631" i="54"/>
  <c r="V631" i="54"/>
  <c r="U632" i="54"/>
  <c r="V632" i="54"/>
  <c r="U633" i="54"/>
  <c r="V633" i="54"/>
  <c r="U634" i="54"/>
  <c r="V634" i="54"/>
  <c r="U635" i="54"/>
  <c r="V635" i="54"/>
  <c r="U636" i="54"/>
  <c r="V636" i="54"/>
  <c r="U637" i="54"/>
  <c r="V637" i="54"/>
  <c r="U638" i="54"/>
  <c r="V638" i="54"/>
  <c r="U639" i="54"/>
  <c r="V639" i="54"/>
  <c r="U640" i="54"/>
  <c r="V640" i="54"/>
  <c r="U641" i="54"/>
  <c r="V641" i="54"/>
  <c r="U642" i="54"/>
  <c r="V642" i="54"/>
  <c r="U643" i="54"/>
  <c r="V643" i="54"/>
  <c r="U644" i="54"/>
  <c r="V644" i="54"/>
  <c r="U645" i="54"/>
  <c r="V645" i="54"/>
  <c r="U646" i="54"/>
  <c r="V646" i="54"/>
  <c r="U647" i="54"/>
  <c r="V647" i="54"/>
  <c r="U648" i="54"/>
  <c r="V648" i="54"/>
  <c r="U649" i="54"/>
  <c r="V649" i="54"/>
  <c r="U650" i="54"/>
  <c r="V650" i="54"/>
  <c r="U651" i="54"/>
  <c r="V651" i="54"/>
  <c r="U652" i="54"/>
  <c r="V652" i="54"/>
  <c r="U653" i="54"/>
  <c r="V653" i="54"/>
  <c r="U654" i="54"/>
  <c r="V654" i="54"/>
  <c r="U655" i="54"/>
  <c r="V655" i="54"/>
  <c r="U656" i="54"/>
  <c r="V656" i="54"/>
  <c r="U657" i="54"/>
  <c r="V657" i="54"/>
  <c r="U658" i="54"/>
  <c r="V658" i="54"/>
  <c r="U659" i="54"/>
  <c r="V659" i="54"/>
  <c r="U660" i="54"/>
  <c r="V660" i="54"/>
  <c r="U661" i="54"/>
  <c r="V661" i="54"/>
  <c r="U662" i="54"/>
  <c r="V662" i="54"/>
  <c r="U663" i="54"/>
  <c r="V663" i="54"/>
  <c r="U664" i="54"/>
  <c r="V664" i="54"/>
  <c r="U665" i="54"/>
  <c r="V665" i="54"/>
  <c r="U666" i="54"/>
  <c r="V666" i="54"/>
  <c r="U667" i="54"/>
  <c r="V667" i="54"/>
  <c r="U668" i="54"/>
  <c r="V668" i="54"/>
  <c r="U669" i="54"/>
  <c r="V669" i="54"/>
  <c r="U670" i="54"/>
  <c r="V670" i="54"/>
  <c r="U671" i="54"/>
  <c r="V671" i="54"/>
  <c r="U672" i="54"/>
  <c r="V672" i="54"/>
  <c r="U673" i="54"/>
  <c r="V673" i="54"/>
  <c r="U674" i="54"/>
  <c r="V674" i="54"/>
  <c r="U675" i="54"/>
  <c r="V675" i="54"/>
  <c r="U676" i="54"/>
  <c r="V676" i="54"/>
  <c r="U677" i="54"/>
  <c r="V677" i="54"/>
  <c r="U678" i="54"/>
  <c r="V678" i="54"/>
  <c r="U679" i="54"/>
  <c r="V679" i="54"/>
  <c r="U680" i="54"/>
  <c r="V680" i="54"/>
  <c r="U681" i="54"/>
  <c r="V681" i="54"/>
  <c r="U682" i="54"/>
  <c r="V682" i="54"/>
  <c r="U683" i="54"/>
  <c r="V683" i="54"/>
  <c r="U684" i="54"/>
  <c r="V684" i="54"/>
  <c r="U685" i="54"/>
  <c r="V685" i="54"/>
  <c r="U686" i="54"/>
  <c r="V686" i="54"/>
  <c r="U687" i="54"/>
  <c r="V687" i="54"/>
  <c r="U688" i="54"/>
  <c r="V688" i="54"/>
  <c r="U689" i="54"/>
  <c r="V689" i="54"/>
  <c r="U690" i="54"/>
  <c r="V690" i="54"/>
  <c r="U691" i="54"/>
  <c r="V691" i="54"/>
  <c r="U692" i="54"/>
  <c r="V692" i="54"/>
  <c r="U693" i="54"/>
  <c r="V693" i="54"/>
  <c r="U694" i="54"/>
  <c r="V694" i="54"/>
  <c r="U695" i="54"/>
  <c r="V695" i="54"/>
  <c r="U696" i="54"/>
  <c r="V696" i="54"/>
  <c r="U697" i="54"/>
  <c r="V697" i="54"/>
  <c r="U698" i="54"/>
  <c r="V698" i="54"/>
  <c r="U699" i="54"/>
  <c r="V699" i="54"/>
  <c r="U700" i="54"/>
  <c r="V700" i="54"/>
  <c r="U701" i="54"/>
  <c r="V701" i="54"/>
  <c r="U702" i="54"/>
  <c r="V702" i="54"/>
  <c r="U703" i="54"/>
  <c r="V703" i="54"/>
  <c r="U704" i="54"/>
  <c r="V704" i="54"/>
  <c r="U705" i="54"/>
  <c r="V705" i="54"/>
  <c r="U706" i="54"/>
  <c r="V706" i="54"/>
  <c r="U707" i="54"/>
  <c r="V707" i="54"/>
  <c r="U708" i="54"/>
  <c r="V708" i="54"/>
  <c r="U709" i="54"/>
  <c r="V709" i="54"/>
  <c r="U710" i="54"/>
  <c r="V710" i="54"/>
  <c r="U711" i="54"/>
  <c r="V711" i="54"/>
  <c r="U712" i="54"/>
  <c r="V712" i="54"/>
  <c r="U713" i="54"/>
  <c r="V713" i="54"/>
  <c r="U714" i="54"/>
  <c r="V714" i="54"/>
  <c r="U715" i="54"/>
  <c r="V715" i="54"/>
  <c r="U716" i="54"/>
  <c r="V716" i="54"/>
  <c r="U717" i="54"/>
  <c r="V717" i="54"/>
  <c r="U718" i="54"/>
  <c r="V718" i="54"/>
  <c r="U719" i="54"/>
  <c r="V719" i="54"/>
  <c r="U720" i="54"/>
  <c r="V720" i="54"/>
  <c r="U721" i="54"/>
  <c r="V721" i="54"/>
  <c r="U722" i="54"/>
  <c r="V722" i="54"/>
  <c r="U723" i="54"/>
  <c r="V723" i="54"/>
  <c r="U724" i="54"/>
  <c r="V724" i="54"/>
  <c r="U725" i="54"/>
  <c r="V725" i="54"/>
  <c r="U726" i="54"/>
  <c r="V726" i="54"/>
  <c r="U727" i="54"/>
  <c r="V727" i="54"/>
  <c r="U728" i="54"/>
  <c r="V728" i="54"/>
  <c r="U729" i="54"/>
  <c r="V729" i="54"/>
  <c r="U730" i="54"/>
  <c r="V730" i="54"/>
  <c r="U731" i="54"/>
  <c r="V731" i="54"/>
  <c r="U732" i="54"/>
  <c r="V732" i="54"/>
  <c r="U733" i="54"/>
  <c r="V733" i="54"/>
  <c r="U734" i="54"/>
  <c r="V734" i="54"/>
  <c r="U735" i="54"/>
  <c r="V735" i="54"/>
  <c r="U736" i="54"/>
  <c r="V736" i="54"/>
  <c r="U737" i="54"/>
  <c r="V737" i="54"/>
  <c r="U738" i="54"/>
  <c r="V738" i="54"/>
  <c r="U739" i="54"/>
  <c r="V739" i="54"/>
  <c r="U740" i="54"/>
  <c r="V740" i="54"/>
  <c r="U741" i="54"/>
  <c r="V741" i="54"/>
  <c r="U742" i="54"/>
  <c r="V742" i="54"/>
  <c r="U743" i="54"/>
  <c r="V743" i="54"/>
  <c r="U744" i="54"/>
  <c r="V744" i="54"/>
  <c r="U745" i="54"/>
  <c r="V745" i="54"/>
  <c r="U746" i="54"/>
  <c r="V746" i="54"/>
  <c r="U747" i="54"/>
  <c r="V747" i="54"/>
  <c r="U748" i="54"/>
  <c r="V748" i="54"/>
  <c r="U749" i="54"/>
  <c r="V749" i="54"/>
  <c r="U750" i="54"/>
  <c r="V750" i="54"/>
  <c r="U751" i="54"/>
  <c r="V751" i="54"/>
  <c r="U752" i="54"/>
  <c r="V752" i="54"/>
  <c r="U753" i="54"/>
  <c r="V753" i="54"/>
  <c r="U754" i="54"/>
  <c r="V754" i="54"/>
  <c r="U755" i="54"/>
  <c r="V755" i="54"/>
  <c r="U756" i="54"/>
  <c r="V756" i="54"/>
  <c r="U757" i="54"/>
  <c r="V757" i="54"/>
  <c r="U758" i="54"/>
  <c r="V758" i="54"/>
  <c r="U759" i="54"/>
  <c r="V759" i="54"/>
  <c r="U760" i="54"/>
  <c r="V760" i="54"/>
  <c r="U761" i="54"/>
  <c r="V761" i="54"/>
  <c r="U762" i="54"/>
  <c r="V762" i="54"/>
  <c r="U763" i="54"/>
  <c r="V763" i="54"/>
  <c r="U764" i="54"/>
  <c r="V764" i="54"/>
  <c r="U765" i="54"/>
  <c r="V765" i="54"/>
  <c r="U766" i="54"/>
  <c r="V766" i="54"/>
  <c r="U767" i="54"/>
  <c r="V767" i="54"/>
  <c r="U768" i="54"/>
  <c r="V768" i="54"/>
  <c r="U769" i="54"/>
  <c r="V769" i="54"/>
  <c r="U770" i="54"/>
  <c r="V770" i="54"/>
  <c r="U771" i="54"/>
  <c r="V771" i="54"/>
  <c r="U772" i="54"/>
  <c r="V772" i="54"/>
  <c r="U773" i="54"/>
  <c r="V773" i="54"/>
  <c r="U774" i="54"/>
  <c r="V774" i="54"/>
  <c r="U775" i="54"/>
  <c r="V775" i="54"/>
  <c r="U776" i="54"/>
  <c r="V776" i="54"/>
  <c r="U777" i="54"/>
  <c r="V777" i="54"/>
  <c r="U778" i="54"/>
  <c r="V778" i="54"/>
  <c r="U779" i="54"/>
  <c r="V779" i="54"/>
  <c r="U780" i="54"/>
  <c r="V780" i="54"/>
  <c r="U781" i="54"/>
  <c r="V781" i="54"/>
  <c r="U782" i="54"/>
  <c r="V782" i="54"/>
  <c r="U783" i="54"/>
  <c r="V783" i="54"/>
  <c r="U784" i="54"/>
  <c r="V784" i="54"/>
  <c r="U785" i="54"/>
  <c r="V785" i="54"/>
  <c r="U786" i="54"/>
  <c r="V786" i="54"/>
  <c r="U787" i="54"/>
  <c r="V787" i="54"/>
  <c r="U788" i="54"/>
  <c r="V788" i="54"/>
  <c r="U789" i="54"/>
  <c r="V789" i="54"/>
  <c r="U790" i="54"/>
  <c r="V790" i="54"/>
  <c r="U791" i="54"/>
  <c r="V791" i="54"/>
  <c r="U792" i="54"/>
  <c r="V792" i="54"/>
  <c r="U793" i="54"/>
  <c r="V793" i="54"/>
  <c r="U794" i="54"/>
  <c r="V794" i="54"/>
  <c r="U795" i="54"/>
  <c r="V795" i="54"/>
  <c r="U796" i="54"/>
  <c r="V796" i="54"/>
  <c r="U797" i="54"/>
  <c r="V797" i="54"/>
  <c r="U798" i="54"/>
  <c r="V798" i="54"/>
  <c r="U799" i="54"/>
  <c r="V799" i="54"/>
  <c r="U800" i="54"/>
  <c r="V800" i="54"/>
  <c r="U801" i="54"/>
  <c r="V801" i="54"/>
  <c r="U802" i="54"/>
  <c r="V802" i="54"/>
  <c r="U803" i="54"/>
  <c r="V803" i="54"/>
  <c r="U804" i="54"/>
  <c r="V804" i="54"/>
  <c r="U805" i="54"/>
  <c r="V805" i="54"/>
  <c r="U806" i="54"/>
  <c r="V806" i="54"/>
  <c r="U807" i="54"/>
  <c r="V807" i="54"/>
  <c r="U808" i="54"/>
  <c r="V808" i="54"/>
  <c r="U809" i="54"/>
  <c r="V809" i="54"/>
  <c r="U810" i="54"/>
  <c r="V810" i="54"/>
  <c r="U811" i="54"/>
  <c r="V811" i="54"/>
  <c r="U812" i="54"/>
  <c r="V812" i="54"/>
  <c r="U813" i="54"/>
  <c r="V813" i="54"/>
  <c r="U814" i="54"/>
  <c r="V814" i="54"/>
  <c r="V4" i="54"/>
  <c r="U4" i="54"/>
  <c r="T1" i="54"/>
  <c r="S1" i="54"/>
  <c r="AQ35" i="50"/>
  <c r="AP35" i="50"/>
  <c r="U11" i="50"/>
  <c r="D23" i="50"/>
  <c r="I69" i="50"/>
  <c r="I64" i="50"/>
  <c r="I59" i="50"/>
  <c r="K59" i="50"/>
  <c r="I58" i="50"/>
  <c r="J64" i="50"/>
  <c r="J59" i="50"/>
  <c r="I57" i="50"/>
  <c r="U17" i="37"/>
  <c r="T74" i="41"/>
  <c r="T75" i="41"/>
  <c r="T76" i="41"/>
  <c r="T77" i="41"/>
  <c r="T78" i="41"/>
  <c r="T79" i="41"/>
  <c r="T80" i="41"/>
  <c r="T81" i="41"/>
  <c r="T82" i="41"/>
  <c r="T73" i="41"/>
  <c r="S74" i="41"/>
  <c r="S75" i="41"/>
  <c r="S76" i="41"/>
  <c r="S77" i="41"/>
  <c r="S78" i="41"/>
  <c r="S79" i="41"/>
  <c r="S80" i="41"/>
  <c r="S81" i="41"/>
  <c r="S82" i="41"/>
  <c r="S73" i="41"/>
  <c r="Q75" i="41"/>
  <c r="Q76" i="41"/>
  <c r="Q77" i="41"/>
  <c r="Q78" i="41"/>
  <c r="Q79" i="41"/>
  <c r="Q80" i="41"/>
  <c r="Q81" i="41"/>
  <c r="Q82" i="41"/>
  <c r="Q73" i="41"/>
  <c r="M43" i="41"/>
  <c r="Q101" i="41"/>
  <c r="R101" i="41"/>
  <c r="Q102" i="41"/>
  <c r="R102" i="41"/>
  <c r="Q103" i="41"/>
  <c r="R103" i="41"/>
  <c r="Q104" i="41"/>
  <c r="R104" i="41"/>
  <c r="R100" i="41"/>
  <c r="Q100" i="41"/>
  <c r="T83" i="41"/>
  <c r="Q83" i="41"/>
  <c r="F44" i="41"/>
  <c r="T11" i="50"/>
  <c r="J43" i="41"/>
  <c r="E13" i="41"/>
  <c r="E14" i="41"/>
  <c r="E15" i="41"/>
  <c r="E16" i="41"/>
  <c r="E17" i="41"/>
  <c r="D18" i="41"/>
  <c r="E18" i="41"/>
  <c r="F18" i="41"/>
  <c r="G18" i="41"/>
  <c r="H18" i="41"/>
  <c r="D19" i="41"/>
  <c r="E19" i="41"/>
  <c r="F19" i="41"/>
  <c r="G19" i="41"/>
  <c r="H19" i="41"/>
  <c r="I19" i="41"/>
  <c r="J19" i="41"/>
  <c r="K19" i="41"/>
  <c r="L19" i="41"/>
  <c r="M19" i="41"/>
  <c r="N19" i="41"/>
  <c r="O19" i="41"/>
  <c r="F17" i="41"/>
  <c r="G17" i="41"/>
  <c r="H17" i="41"/>
  <c r="I17" i="41"/>
  <c r="J17" i="41"/>
  <c r="K17" i="41"/>
  <c r="L17" i="41"/>
  <c r="M17" i="41"/>
  <c r="N17" i="41"/>
  <c r="O17" i="41"/>
  <c r="S83" i="41"/>
  <c r="Q74" i="41"/>
  <c r="F13" i="41"/>
  <c r="F14" i="41"/>
  <c r="F15" i="41"/>
  <c r="F16" i="41"/>
  <c r="G13" i="41"/>
  <c r="G14" i="41"/>
  <c r="G15" i="41"/>
  <c r="G16" i="41"/>
  <c r="H13" i="41"/>
  <c r="H14" i="41"/>
  <c r="H15" i="41"/>
  <c r="H16" i="41"/>
  <c r="I13" i="41"/>
  <c r="I14" i="41"/>
  <c r="I15" i="41"/>
  <c r="I16" i="41"/>
  <c r="Q29" i="41"/>
  <c r="D13" i="41"/>
  <c r="D14" i="41"/>
  <c r="D15" i="41"/>
  <c r="D16" i="41"/>
  <c r="D17" i="41"/>
  <c r="J13" i="41"/>
  <c r="J14" i="41"/>
  <c r="J15" i="41"/>
  <c r="J16" i="41"/>
  <c r="K13" i="41"/>
  <c r="K14" i="41"/>
  <c r="K15" i="41"/>
  <c r="K16" i="41"/>
  <c r="L13" i="41"/>
  <c r="L14" i="41"/>
  <c r="L15" i="41"/>
  <c r="L16" i="41"/>
  <c r="M13" i="41"/>
  <c r="M14" i="41"/>
  <c r="M15" i="41"/>
  <c r="M16" i="41"/>
  <c r="N13" i="41"/>
  <c r="N14" i="41"/>
  <c r="N15" i="41"/>
  <c r="N16" i="41"/>
  <c r="O13" i="41"/>
  <c r="O14" i="41"/>
  <c r="O15" i="41"/>
  <c r="O16" i="41"/>
  <c r="D24" i="50"/>
  <c r="J55" i="50"/>
  <c r="BZ264" i="37"/>
  <c r="BZ272" i="37"/>
  <c r="U247" i="37"/>
  <c r="N45" i="41"/>
  <c r="L43" i="41"/>
  <c r="N43" i="41"/>
  <c r="O43" i="41"/>
  <c r="N44" i="41"/>
  <c r="O44" i="41"/>
  <c r="O45" i="41"/>
  <c r="N46" i="41"/>
  <c r="O46" i="41"/>
  <c r="N47" i="41"/>
  <c r="O47" i="41"/>
  <c r="M44" i="41"/>
  <c r="M45" i="41"/>
  <c r="M46" i="41"/>
  <c r="M47" i="41"/>
  <c r="F43" i="41"/>
  <c r="G43" i="41"/>
  <c r="H43" i="41"/>
  <c r="I43" i="41"/>
  <c r="K43" i="41"/>
  <c r="G44" i="41"/>
  <c r="H44" i="41"/>
  <c r="I44" i="41"/>
  <c r="J44" i="41"/>
  <c r="K44" i="41"/>
  <c r="L44" i="41"/>
  <c r="F45" i="41"/>
  <c r="G45" i="41"/>
  <c r="H45" i="41"/>
  <c r="I45" i="41"/>
  <c r="J45" i="41"/>
  <c r="K45" i="41"/>
  <c r="L45" i="41"/>
  <c r="F46" i="41"/>
  <c r="G46" i="41"/>
  <c r="H46" i="41"/>
  <c r="I46" i="41"/>
  <c r="J46" i="41"/>
  <c r="K46" i="41"/>
  <c r="L46" i="41"/>
  <c r="F47" i="41"/>
  <c r="G47" i="41"/>
  <c r="H47" i="41"/>
  <c r="I47" i="41"/>
  <c r="J47" i="41"/>
  <c r="K47" i="41"/>
  <c r="L47" i="41"/>
  <c r="E44" i="41"/>
  <c r="E45" i="41"/>
  <c r="E46" i="41"/>
  <c r="E47" i="41"/>
  <c r="E43" i="41"/>
  <c r="D44" i="41"/>
  <c r="D45" i="41"/>
  <c r="D46" i="41"/>
  <c r="D47" i="41"/>
  <c r="D43" i="41"/>
  <c r="U29" i="37"/>
  <c r="D22" i="50"/>
  <c r="J54" i="50"/>
  <c r="Q185" i="39"/>
  <c r="P185" i="39"/>
  <c r="O185" i="39"/>
  <c r="N185" i="39"/>
  <c r="M185" i="39"/>
  <c r="L185" i="39"/>
  <c r="K185" i="39"/>
  <c r="J185" i="39"/>
  <c r="I185" i="39"/>
  <c r="H185" i="39"/>
  <c r="G185" i="39"/>
  <c r="E185" i="39"/>
  <c r="Q184" i="39"/>
  <c r="P184" i="39"/>
  <c r="O184" i="39"/>
  <c r="N184" i="39"/>
  <c r="M184" i="39"/>
  <c r="L184" i="39"/>
  <c r="K184" i="39"/>
  <c r="J184" i="39"/>
  <c r="I184" i="39"/>
  <c r="H184" i="39"/>
  <c r="G184" i="39"/>
  <c r="E184" i="39"/>
  <c r="Q176" i="39"/>
  <c r="P176" i="39"/>
  <c r="O176" i="39"/>
  <c r="N176" i="39"/>
  <c r="M176" i="39"/>
  <c r="L176" i="39"/>
  <c r="K176" i="39"/>
  <c r="J176" i="39"/>
  <c r="I176" i="39"/>
  <c r="H176" i="39"/>
  <c r="G176" i="39"/>
  <c r="F176" i="39"/>
  <c r="E176" i="39"/>
  <c r="D176" i="39"/>
  <c r="C176" i="39"/>
  <c r="B176" i="39"/>
  <c r="Q175" i="39"/>
  <c r="P175" i="39"/>
  <c r="O175" i="39"/>
  <c r="N175" i="39"/>
  <c r="M175" i="39"/>
  <c r="L175" i="39"/>
  <c r="K175" i="39"/>
  <c r="J175" i="39"/>
  <c r="I175" i="39"/>
  <c r="G175" i="39"/>
  <c r="F175" i="39"/>
  <c r="D175" i="39"/>
  <c r="C175" i="39"/>
  <c r="B175" i="39"/>
  <c r="Q174" i="39"/>
  <c r="P174" i="39"/>
  <c r="O174" i="39"/>
  <c r="N174" i="39"/>
  <c r="M174" i="39"/>
  <c r="L174" i="39"/>
  <c r="K174" i="39"/>
  <c r="J174" i="39"/>
  <c r="I174" i="39"/>
  <c r="H174" i="39"/>
  <c r="G174" i="39"/>
  <c r="F174" i="39"/>
  <c r="D174" i="39"/>
  <c r="C174" i="39"/>
  <c r="B174" i="39"/>
  <c r="Q173" i="39"/>
  <c r="P173" i="39"/>
  <c r="O173" i="39"/>
  <c r="N173" i="39"/>
  <c r="M173" i="39"/>
  <c r="L173" i="39"/>
  <c r="K173" i="39"/>
  <c r="J173" i="39"/>
  <c r="I173" i="39"/>
  <c r="H173" i="39"/>
  <c r="G173" i="39"/>
  <c r="F173" i="39"/>
  <c r="E173" i="39"/>
  <c r="Q172" i="39"/>
  <c r="P172" i="39"/>
  <c r="O172" i="39"/>
  <c r="N172" i="39"/>
  <c r="M172" i="39"/>
  <c r="L172" i="39"/>
  <c r="K172" i="39"/>
  <c r="J172" i="39"/>
  <c r="I172" i="39"/>
  <c r="H172" i="39"/>
  <c r="G172" i="39"/>
  <c r="F172" i="39"/>
  <c r="E172" i="39"/>
  <c r="D172" i="39"/>
  <c r="C172" i="39"/>
  <c r="B172" i="39"/>
  <c r="Q171" i="39"/>
  <c r="P171" i="39"/>
  <c r="O171" i="39"/>
  <c r="N171" i="39"/>
  <c r="M171" i="39"/>
  <c r="L171" i="39"/>
  <c r="K171" i="39"/>
  <c r="J171" i="39"/>
  <c r="I171" i="39"/>
  <c r="H171" i="39"/>
  <c r="G171" i="39"/>
  <c r="F171" i="39"/>
  <c r="Q170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C170" i="39"/>
  <c r="B170" i="39"/>
  <c r="Q169" i="39"/>
  <c r="P169" i="39"/>
  <c r="O169" i="39"/>
  <c r="N169" i="39"/>
  <c r="M169" i="39"/>
  <c r="L169" i="39"/>
  <c r="K169" i="39"/>
  <c r="J169" i="39"/>
  <c r="I169" i="39"/>
  <c r="H169" i="39"/>
  <c r="G169" i="39"/>
  <c r="F169" i="39"/>
  <c r="Q168" i="39"/>
  <c r="P168" i="39"/>
  <c r="O168" i="39"/>
  <c r="N168" i="39"/>
  <c r="M168" i="39"/>
  <c r="L168" i="39"/>
  <c r="K168" i="39"/>
  <c r="J168" i="39"/>
  <c r="I168" i="39"/>
  <c r="H168" i="39"/>
  <c r="G168" i="39"/>
  <c r="F168" i="39"/>
  <c r="E168" i="39"/>
  <c r="D168" i="39"/>
  <c r="C168" i="39"/>
  <c r="B168" i="39"/>
  <c r="Q167" i="39"/>
  <c r="P167" i="39"/>
  <c r="O167" i="39"/>
  <c r="N167" i="39"/>
  <c r="M167" i="39"/>
  <c r="L167" i="39"/>
  <c r="K167" i="39"/>
  <c r="J167" i="39"/>
  <c r="I167" i="39"/>
  <c r="H167" i="39"/>
  <c r="G167" i="39"/>
  <c r="F167" i="39"/>
  <c r="Q166" i="39"/>
  <c r="P166" i="39"/>
  <c r="O166" i="39"/>
  <c r="N166" i="39"/>
  <c r="M166" i="39"/>
  <c r="L166" i="39"/>
  <c r="K166" i="39"/>
  <c r="J166" i="39"/>
  <c r="I166" i="39"/>
  <c r="H166" i="39"/>
  <c r="G166" i="39"/>
  <c r="F166" i="39"/>
  <c r="Q165" i="39"/>
  <c r="P165" i="39"/>
  <c r="O165" i="39"/>
  <c r="N165" i="39"/>
  <c r="M165" i="39"/>
  <c r="L165" i="39"/>
  <c r="K165" i="39"/>
  <c r="J165" i="39"/>
  <c r="I165" i="39"/>
  <c r="H165" i="39"/>
  <c r="G165" i="39"/>
  <c r="F165" i="39"/>
  <c r="Q151" i="39"/>
  <c r="P151" i="39"/>
  <c r="O151" i="39"/>
  <c r="N151" i="39"/>
  <c r="M151" i="39"/>
  <c r="L151" i="39"/>
  <c r="K151" i="39"/>
  <c r="J151" i="39"/>
  <c r="I151" i="39"/>
  <c r="H151" i="39"/>
  <c r="G151" i="39"/>
  <c r="F151" i="39"/>
  <c r="E151" i="39"/>
  <c r="D151" i="39"/>
  <c r="C151" i="39"/>
  <c r="B151" i="39"/>
  <c r="Q150" i="39"/>
  <c r="P150" i="39"/>
  <c r="O150" i="39"/>
  <c r="N150" i="39"/>
  <c r="M150" i="39"/>
  <c r="L150" i="39"/>
  <c r="K150" i="39"/>
  <c r="J150" i="39"/>
  <c r="I150" i="39"/>
  <c r="H150" i="39"/>
  <c r="G150" i="39"/>
  <c r="F150" i="39"/>
  <c r="E150" i="39"/>
  <c r="D150" i="39"/>
  <c r="C150" i="39"/>
  <c r="B150" i="39"/>
  <c r="Q149" i="39"/>
  <c r="P149" i="39"/>
  <c r="O149" i="39"/>
  <c r="N149" i="39"/>
  <c r="M149" i="39"/>
  <c r="L149" i="39"/>
  <c r="K149" i="39"/>
  <c r="J149" i="39"/>
  <c r="I149" i="39"/>
  <c r="H149" i="39"/>
  <c r="G149" i="39"/>
  <c r="F149" i="39"/>
  <c r="E149" i="39"/>
  <c r="D149" i="39"/>
  <c r="C149" i="39"/>
  <c r="B149" i="39"/>
  <c r="Q148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C148" i="39"/>
  <c r="B148" i="39"/>
  <c r="Q147" i="39"/>
  <c r="P147" i="39"/>
  <c r="O147" i="39"/>
  <c r="N147" i="39"/>
  <c r="M147" i="39"/>
  <c r="L147" i="39"/>
  <c r="K147" i="39"/>
  <c r="J147" i="39"/>
  <c r="I147" i="39"/>
  <c r="H147" i="39"/>
  <c r="G147" i="39"/>
  <c r="F147" i="39"/>
  <c r="E147" i="39"/>
  <c r="D147" i="39"/>
  <c r="C147" i="39"/>
  <c r="B147" i="39"/>
  <c r="Q146" i="39"/>
  <c r="P146" i="39"/>
  <c r="O146" i="39"/>
  <c r="N146" i="39"/>
  <c r="M146" i="39"/>
  <c r="L146" i="39"/>
  <c r="K146" i="39"/>
  <c r="J146" i="39"/>
  <c r="I146" i="39"/>
  <c r="H146" i="39"/>
  <c r="G146" i="39"/>
  <c r="F146" i="39"/>
  <c r="E146" i="39"/>
  <c r="D146" i="39"/>
  <c r="C146" i="39"/>
  <c r="B146" i="39"/>
  <c r="Q145" i="39"/>
  <c r="P145" i="39"/>
  <c r="O145" i="39"/>
  <c r="N145" i="39"/>
  <c r="M145" i="39"/>
  <c r="L145" i="39"/>
  <c r="K145" i="39"/>
  <c r="J145" i="39"/>
  <c r="I145" i="39"/>
  <c r="H145" i="39"/>
  <c r="G145" i="39"/>
  <c r="F145" i="39"/>
  <c r="E145" i="39"/>
  <c r="D145" i="39"/>
  <c r="C145" i="39"/>
  <c r="B145" i="39"/>
  <c r="Q144" i="39"/>
  <c r="Q153" i="39"/>
  <c r="P144" i="39"/>
  <c r="O144" i="39"/>
  <c r="O153" i="39"/>
  <c r="N144" i="39"/>
  <c r="N154" i="39"/>
  <c r="M144" i="39"/>
  <c r="L144" i="39"/>
  <c r="K144" i="39"/>
  <c r="J144" i="39"/>
  <c r="I144" i="39"/>
  <c r="H144" i="39"/>
  <c r="G144" i="39"/>
  <c r="F144" i="39"/>
  <c r="F153" i="39"/>
  <c r="E144" i="39"/>
  <c r="E154" i="39"/>
  <c r="D144" i="39"/>
  <c r="D153" i="39"/>
  <c r="C144" i="39"/>
  <c r="B144" i="39"/>
  <c r="Q134" i="39"/>
  <c r="P134" i="39"/>
  <c r="O134" i="39"/>
  <c r="N134" i="39"/>
  <c r="M134" i="39"/>
  <c r="L134" i="39"/>
  <c r="K134" i="39"/>
  <c r="J134" i="39"/>
  <c r="I134" i="39"/>
  <c r="H134" i="39"/>
  <c r="G134" i="39"/>
  <c r="F134" i="39"/>
  <c r="E134" i="39"/>
  <c r="D134" i="39"/>
  <c r="C134" i="39"/>
  <c r="B134" i="39"/>
  <c r="Q133" i="39"/>
  <c r="P133" i="39"/>
  <c r="O133" i="39"/>
  <c r="N133" i="39"/>
  <c r="M133" i="39"/>
  <c r="L133" i="39"/>
  <c r="K133" i="39"/>
  <c r="J133" i="39"/>
  <c r="I133" i="39"/>
  <c r="H133" i="39"/>
  <c r="G133" i="39"/>
  <c r="F133" i="39"/>
  <c r="E133" i="39"/>
  <c r="D133" i="39"/>
  <c r="C133" i="39"/>
  <c r="B133" i="39"/>
  <c r="Q132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C132" i="39"/>
  <c r="B132" i="39"/>
  <c r="Q131" i="39"/>
  <c r="P131" i="39"/>
  <c r="O131" i="39"/>
  <c r="N131" i="39"/>
  <c r="M131" i="39"/>
  <c r="L131" i="39"/>
  <c r="K131" i="39"/>
  <c r="J131" i="39"/>
  <c r="I131" i="39"/>
  <c r="H131" i="39"/>
  <c r="G131" i="39"/>
  <c r="F131" i="39"/>
  <c r="E131" i="39"/>
  <c r="D131" i="39"/>
  <c r="C131" i="39"/>
  <c r="B131" i="39"/>
  <c r="Q130" i="39"/>
  <c r="P130" i="39"/>
  <c r="O130" i="39"/>
  <c r="N130" i="39"/>
  <c r="M130" i="39"/>
  <c r="L130" i="39"/>
  <c r="K130" i="39"/>
  <c r="J130" i="39"/>
  <c r="I130" i="39"/>
  <c r="H130" i="39"/>
  <c r="G130" i="39"/>
  <c r="F130" i="39"/>
  <c r="E130" i="39"/>
  <c r="D130" i="39"/>
  <c r="C130" i="39"/>
  <c r="B130" i="39"/>
  <c r="Q129" i="39"/>
  <c r="P129" i="39"/>
  <c r="O129" i="39"/>
  <c r="N129" i="39"/>
  <c r="M129" i="39"/>
  <c r="L129" i="39"/>
  <c r="K129" i="39"/>
  <c r="J129" i="39"/>
  <c r="I129" i="39"/>
  <c r="H129" i="39"/>
  <c r="G129" i="39"/>
  <c r="F129" i="39"/>
  <c r="E129" i="39"/>
  <c r="D129" i="39"/>
  <c r="C129" i="39"/>
  <c r="B129" i="39"/>
  <c r="Q128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C128" i="39"/>
  <c r="B128" i="39"/>
  <c r="Q127" i="39"/>
  <c r="Q136" i="39"/>
  <c r="P127" i="39"/>
  <c r="O127" i="39"/>
  <c r="O137" i="39"/>
  <c r="N127" i="39"/>
  <c r="M127" i="39"/>
  <c r="L127" i="39"/>
  <c r="K127" i="39"/>
  <c r="J127" i="39"/>
  <c r="I127" i="39"/>
  <c r="H127" i="39"/>
  <c r="G127" i="39"/>
  <c r="G136" i="39"/>
  <c r="F127" i="39"/>
  <c r="F136" i="39"/>
  <c r="E127" i="39"/>
  <c r="E136" i="39"/>
  <c r="D127" i="39"/>
  <c r="C127" i="39"/>
  <c r="B127" i="39"/>
  <c r="B136" i="39"/>
  <c r="Q118" i="39"/>
  <c r="P118" i="39"/>
  <c r="O118" i="39"/>
  <c r="N118" i="39"/>
  <c r="M118" i="39"/>
  <c r="L118" i="39"/>
  <c r="K118" i="39"/>
  <c r="J118" i="39"/>
  <c r="I118" i="39"/>
  <c r="H118" i="39"/>
  <c r="G118" i="39"/>
  <c r="F118" i="39"/>
  <c r="E118" i="39"/>
  <c r="D118" i="39"/>
  <c r="C118" i="39"/>
  <c r="B118" i="39"/>
  <c r="Q117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C117" i="39"/>
  <c r="B117" i="39"/>
  <c r="Q116" i="39"/>
  <c r="P116" i="39"/>
  <c r="O116" i="39"/>
  <c r="N116" i="39"/>
  <c r="M116" i="39"/>
  <c r="L116" i="39"/>
  <c r="K116" i="39"/>
  <c r="J116" i="39"/>
  <c r="I116" i="39"/>
  <c r="H116" i="39"/>
  <c r="G116" i="39"/>
  <c r="F116" i="39"/>
  <c r="E116" i="39"/>
  <c r="D116" i="39"/>
  <c r="C116" i="39"/>
  <c r="B116" i="39"/>
  <c r="Q115" i="39"/>
  <c r="P115" i="39"/>
  <c r="O115" i="39"/>
  <c r="N115" i="39"/>
  <c r="M115" i="39"/>
  <c r="L115" i="39"/>
  <c r="K115" i="39"/>
  <c r="J115" i="39"/>
  <c r="I115" i="39"/>
  <c r="H115" i="39"/>
  <c r="G115" i="39"/>
  <c r="F115" i="39"/>
  <c r="E115" i="39"/>
  <c r="D115" i="39"/>
  <c r="C115" i="39"/>
  <c r="B115" i="39"/>
  <c r="Q114" i="39"/>
  <c r="P114" i="39"/>
  <c r="O114" i="39"/>
  <c r="N114" i="39"/>
  <c r="M114" i="39"/>
  <c r="L114" i="39"/>
  <c r="K114" i="39"/>
  <c r="J114" i="39"/>
  <c r="I114" i="39"/>
  <c r="H114" i="39"/>
  <c r="G114" i="39"/>
  <c r="F114" i="39"/>
  <c r="E114" i="39"/>
  <c r="D114" i="39"/>
  <c r="C114" i="39"/>
  <c r="B114" i="39"/>
  <c r="Q113" i="39"/>
  <c r="P113" i="39"/>
  <c r="O113" i="39"/>
  <c r="N113" i="39"/>
  <c r="M113" i="39"/>
  <c r="L113" i="39"/>
  <c r="K113" i="39"/>
  <c r="J113" i="39"/>
  <c r="I113" i="39"/>
  <c r="H113" i="39"/>
  <c r="G113" i="39"/>
  <c r="F113" i="39"/>
  <c r="E113" i="39"/>
  <c r="D113" i="39"/>
  <c r="C113" i="39"/>
  <c r="B113" i="39"/>
  <c r="Q112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C112" i="39"/>
  <c r="B112" i="39"/>
  <c r="Q111" i="39"/>
  <c r="P111" i="39"/>
  <c r="O111" i="39"/>
  <c r="N111" i="39"/>
  <c r="N120" i="39"/>
  <c r="M111" i="39"/>
  <c r="L111" i="39"/>
  <c r="K111" i="39"/>
  <c r="J111" i="39"/>
  <c r="I111" i="39"/>
  <c r="H111" i="39"/>
  <c r="G111" i="39"/>
  <c r="F111" i="39"/>
  <c r="E111" i="39"/>
  <c r="D111" i="39"/>
  <c r="C111" i="39"/>
  <c r="B111" i="39"/>
  <c r="Q102" i="39"/>
  <c r="P102" i="39"/>
  <c r="O102" i="39"/>
  <c r="N102" i="39"/>
  <c r="M102" i="39"/>
  <c r="L102" i="39"/>
  <c r="K102" i="39"/>
  <c r="J102" i="39"/>
  <c r="I102" i="39"/>
  <c r="H102" i="39"/>
  <c r="G102" i="39"/>
  <c r="F102" i="39"/>
  <c r="E102" i="39"/>
  <c r="D102" i="39"/>
  <c r="C102" i="39"/>
  <c r="B102" i="39"/>
  <c r="Q101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C101" i="39"/>
  <c r="B101" i="39"/>
  <c r="Q100" i="39"/>
  <c r="P100" i="39"/>
  <c r="O100" i="39"/>
  <c r="N100" i="39"/>
  <c r="M100" i="39"/>
  <c r="L100" i="39"/>
  <c r="K100" i="39"/>
  <c r="J100" i="39"/>
  <c r="I100" i="39"/>
  <c r="H100" i="39"/>
  <c r="G100" i="39"/>
  <c r="F100" i="39"/>
  <c r="E100" i="39"/>
  <c r="D100" i="39"/>
  <c r="C100" i="39"/>
  <c r="B100" i="39"/>
  <c r="Q99" i="39"/>
  <c r="P99" i="39"/>
  <c r="O99" i="39"/>
  <c r="N99" i="39"/>
  <c r="M99" i="39"/>
  <c r="L99" i="39"/>
  <c r="K99" i="39"/>
  <c r="J99" i="39"/>
  <c r="I99" i="39"/>
  <c r="H99" i="39"/>
  <c r="G99" i="39"/>
  <c r="F99" i="39"/>
  <c r="E99" i="39"/>
  <c r="D99" i="39"/>
  <c r="C99" i="39"/>
  <c r="B99" i="39"/>
  <c r="Q98" i="39"/>
  <c r="P98" i="39"/>
  <c r="O98" i="39"/>
  <c r="N98" i="39"/>
  <c r="M98" i="39"/>
  <c r="L98" i="39"/>
  <c r="K98" i="39"/>
  <c r="J98" i="39"/>
  <c r="I98" i="39"/>
  <c r="H98" i="39"/>
  <c r="G98" i="39"/>
  <c r="F98" i="39"/>
  <c r="E98" i="39"/>
  <c r="D98" i="39"/>
  <c r="C98" i="39"/>
  <c r="B98" i="39"/>
  <c r="Q97" i="39"/>
  <c r="P97" i="39"/>
  <c r="O97" i="39"/>
  <c r="N97" i="39"/>
  <c r="M97" i="39"/>
  <c r="L97" i="39"/>
  <c r="K97" i="39"/>
  <c r="J97" i="39"/>
  <c r="I97" i="39"/>
  <c r="H97" i="39"/>
  <c r="G97" i="39"/>
  <c r="F97" i="39"/>
  <c r="E97" i="39"/>
  <c r="D97" i="39"/>
  <c r="C97" i="39"/>
  <c r="B97" i="39"/>
  <c r="Q96" i="39"/>
  <c r="P96" i="39"/>
  <c r="O96" i="39"/>
  <c r="N96" i="39"/>
  <c r="M96" i="39"/>
  <c r="L96" i="39"/>
  <c r="K96" i="39"/>
  <c r="J96" i="39"/>
  <c r="I96" i="39"/>
  <c r="H96" i="39"/>
  <c r="G96" i="39"/>
  <c r="F96" i="39"/>
  <c r="E96" i="39"/>
  <c r="D96" i="39"/>
  <c r="C96" i="39"/>
  <c r="B96" i="39"/>
  <c r="Q95" i="39"/>
  <c r="P95" i="39"/>
  <c r="O95" i="39"/>
  <c r="N95" i="39"/>
  <c r="N104" i="39"/>
  <c r="M95" i="39"/>
  <c r="L95" i="39"/>
  <c r="K95" i="39"/>
  <c r="J95" i="39"/>
  <c r="I95" i="39"/>
  <c r="H95" i="39"/>
  <c r="G95" i="39"/>
  <c r="F95" i="39"/>
  <c r="E95" i="39"/>
  <c r="D95" i="39"/>
  <c r="C95" i="39"/>
  <c r="B95" i="39"/>
  <c r="B105" i="39"/>
  <c r="Q86" i="39"/>
  <c r="P86" i="39"/>
  <c r="O86" i="39"/>
  <c r="N86" i="39"/>
  <c r="M86" i="39"/>
  <c r="L86" i="39"/>
  <c r="K86" i="39"/>
  <c r="J86" i="39"/>
  <c r="I86" i="39"/>
  <c r="H86" i="39"/>
  <c r="G86" i="39"/>
  <c r="F86" i="39"/>
  <c r="E86" i="39"/>
  <c r="D86" i="39"/>
  <c r="C86" i="39"/>
  <c r="B86" i="39"/>
  <c r="Q85" i="39"/>
  <c r="P85" i="39"/>
  <c r="O85" i="39"/>
  <c r="N85" i="39"/>
  <c r="M85" i="39"/>
  <c r="L85" i="39"/>
  <c r="K85" i="39"/>
  <c r="J85" i="39"/>
  <c r="I85" i="39"/>
  <c r="H85" i="39"/>
  <c r="G85" i="39"/>
  <c r="F85" i="39"/>
  <c r="E85" i="39"/>
  <c r="D85" i="39"/>
  <c r="C85" i="39"/>
  <c r="B85" i="39"/>
  <c r="Q84" i="39"/>
  <c r="P84" i="39"/>
  <c r="O84" i="39"/>
  <c r="N84" i="39"/>
  <c r="M84" i="39"/>
  <c r="L84" i="39"/>
  <c r="K84" i="39"/>
  <c r="J84" i="39"/>
  <c r="I84" i="39"/>
  <c r="H84" i="39"/>
  <c r="G84" i="39"/>
  <c r="F84" i="39"/>
  <c r="E84" i="39"/>
  <c r="D84" i="39"/>
  <c r="C84" i="39"/>
  <c r="B84" i="39"/>
  <c r="Q83" i="39"/>
  <c r="P83" i="39"/>
  <c r="O83" i="39"/>
  <c r="N83" i="39"/>
  <c r="M83" i="39"/>
  <c r="L83" i="39"/>
  <c r="K83" i="39"/>
  <c r="J83" i="39"/>
  <c r="I83" i="39"/>
  <c r="H83" i="39"/>
  <c r="G83" i="39"/>
  <c r="F83" i="39"/>
  <c r="E83" i="39"/>
  <c r="D83" i="39"/>
  <c r="C83" i="39"/>
  <c r="B83" i="39"/>
  <c r="Q82" i="39"/>
  <c r="P82" i="39"/>
  <c r="O82" i="39"/>
  <c r="N82" i="39"/>
  <c r="M82" i="39"/>
  <c r="L82" i="39"/>
  <c r="K82" i="39"/>
  <c r="J82" i="39"/>
  <c r="I82" i="39"/>
  <c r="H82" i="39"/>
  <c r="G82" i="39"/>
  <c r="F82" i="39"/>
  <c r="E82" i="39"/>
  <c r="D82" i="39"/>
  <c r="C82" i="39"/>
  <c r="B82" i="39"/>
  <c r="Q81" i="39"/>
  <c r="P81" i="39"/>
  <c r="O81" i="39"/>
  <c r="N81" i="39"/>
  <c r="M81" i="39"/>
  <c r="L81" i="39"/>
  <c r="K81" i="39"/>
  <c r="J81" i="39"/>
  <c r="I81" i="39"/>
  <c r="H81" i="39"/>
  <c r="G81" i="39"/>
  <c r="F81" i="39"/>
  <c r="E81" i="39"/>
  <c r="D81" i="39"/>
  <c r="C81" i="39"/>
  <c r="B81" i="39"/>
  <c r="Q80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C80" i="39"/>
  <c r="B80" i="39"/>
  <c r="Q79" i="39"/>
  <c r="P79" i="39"/>
  <c r="O79" i="39"/>
  <c r="N79" i="39"/>
  <c r="N88" i="39"/>
  <c r="M79" i="39"/>
  <c r="L79" i="39"/>
  <c r="K79" i="39"/>
  <c r="J79" i="39"/>
  <c r="I79" i="39"/>
  <c r="H79" i="39"/>
  <c r="G79" i="39"/>
  <c r="F79" i="39"/>
  <c r="E79" i="39"/>
  <c r="D79" i="39"/>
  <c r="C79" i="39"/>
  <c r="B79" i="39"/>
  <c r="Q54" i="39"/>
  <c r="P54" i="39"/>
  <c r="O54" i="39"/>
  <c r="N54" i="39"/>
  <c r="M54" i="39"/>
  <c r="L54" i="39"/>
  <c r="K54" i="39"/>
  <c r="J54" i="39"/>
  <c r="I54" i="39"/>
  <c r="H54" i="39"/>
  <c r="G54" i="39"/>
  <c r="F54" i="39"/>
  <c r="E54" i="39"/>
  <c r="D54" i="39"/>
  <c r="C54" i="39"/>
  <c r="B54" i="39"/>
  <c r="Q53" i="39"/>
  <c r="P53" i="39"/>
  <c r="O53" i="39"/>
  <c r="N53" i="39"/>
  <c r="M53" i="39"/>
  <c r="L53" i="39"/>
  <c r="K53" i="39"/>
  <c r="J53" i="39"/>
  <c r="I53" i="39"/>
  <c r="H53" i="39"/>
  <c r="G53" i="39"/>
  <c r="F53" i="39"/>
  <c r="E53" i="39"/>
  <c r="D53" i="39"/>
  <c r="C53" i="39"/>
  <c r="B53" i="39"/>
  <c r="Q52" i="39"/>
  <c r="P52" i="39"/>
  <c r="O52" i="39"/>
  <c r="N52" i="39"/>
  <c r="M52" i="39"/>
  <c r="L52" i="39"/>
  <c r="K52" i="39"/>
  <c r="J52" i="39"/>
  <c r="I52" i="39"/>
  <c r="H52" i="39"/>
  <c r="G52" i="39"/>
  <c r="F52" i="39"/>
  <c r="E52" i="39"/>
  <c r="D52" i="39"/>
  <c r="C52" i="39"/>
  <c r="B52" i="39"/>
  <c r="Q51" i="39"/>
  <c r="P51" i="39"/>
  <c r="O51" i="39"/>
  <c r="N51" i="39"/>
  <c r="M51" i="39"/>
  <c r="L51" i="39"/>
  <c r="K51" i="39"/>
  <c r="J51" i="39"/>
  <c r="I51" i="39"/>
  <c r="H51" i="39"/>
  <c r="G51" i="39"/>
  <c r="F51" i="39"/>
  <c r="E51" i="39"/>
  <c r="D51" i="39"/>
  <c r="C51" i="39"/>
  <c r="B51" i="39"/>
  <c r="Q50" i="39"/>
  <c r="P50" i="39"/>
  <c r="O50" i="39"/>
  <c r="N50" i="39"/>
  <c r="M50" i="39"/>
  <c r="L50" i="39"/>
  <c r="K50" i="39"/>
  <c r="J50" i="39"/>
  <c r="I50" i="39"/>
  <c r="H50" i="39"/>
  <c r="G50" i="39"/>
  <c r="F50" i="39"/>
  <c r="E50" i="39"/>
  <c r="D50" i="39"/>
  <c r="C50" i="39"/>
  <c r="B50" i="39"/>
  <c r="Q49" i="39"/>
  <c r="P49" i="39"/>
  <c r="O49" i="39"/>
  <c r="N49" i="39"/>
  <c r="M49" i="39"/>
  <c r="L49" i="39"/>
  <c r="K49" i="39"/>
  <c r="J49" i="39"/>
  <c r="I49" i="39"/>
  <c r="H49" i="39"/>
  <c r="G49" i="39"/>
  <c r="F49" i="39"/>
  <c r="E49" i="39"/>
  <c r="D49" i="39"/>
  <c r="C49" i="39"/>
  <c r="B49" i="39"/>
  <c r="Q48" i="39"/>
  <c r="P48" i="39"/>
  <c r="O48" i="39"/>
  <c r="N48" i="39"/>
  <c r="M48" i="39"/>
  <c r="L48" i="39"/>
  <c r="K48" i="39"/>
  <c r="J48" i="39"/>
  <c r="I48" i="39"/>
  <c r="H48" i="39"/>
  <c r="G48" i="39"/>
  <c r="F48" i="39"/>
  <c r="E48" i="39"/>
  <c r="D48" i="39"/>
  <c r="C48" i="39"/>
  <c r="B48" i="39"/>
  <c r="Q47" i="39"/>
  <c r="P47" i="39"/>
  <c r="O47" i="39"/>
  <c r="N47" i="39"/>
  <c r="M47" i="39"/>
  <c r="L47" i="39"/>
  <c r="K47" i="39"/>
  <c r="J47" i="39"/>
  <c r="I47" i="39"/>
  <c r="H47" i="39"/>
  <c r="G47" i="39"/>
  <c r="F47" i="39"/>
  <c r="E47" i="39"/>
  <c r="D47" i="39"/>
  <c r="C47" i="39"/>
  <c r="B47" i="39"/>
  <c r="Q38" i="39"/>
  <c r="P38" i="39"/>
  <c r="O38" i="39"/>
  <c r="N38" i="39"/>
  <c r="M38" i="39"/>
  <c r="L38" i="39"/>
  <c r="K38" i="39"/>
  <c r="J38" i="39"/>
  <c r="I38" i="39"/>
  <c r="H38" i="39"/>
  <c r="G38" i="39"/>
  <c r="F38" i="39"/>
  <c r="E38" i="39"/>
  <c r="D38" i="39"/>
  <c r="C38" i="39"/>
  <c r="B38" i="39"/>
  <c r="Q37" i="39"/>
  <c r="P37" i="39"/>
  <c r="O37" i="39"/>
  <c r="N37" i="39"/>
  <c r="M37" i="39"/>
  <c r="L37" i="39"/>
  <c r="K37" i="39"/>
  <c r="J37" i="39"/>
  <c r="I37" i="39"/>
  <c r="H37" i="39"/>
  <c r="G37" i="39"/>
  <c r="F37" i="39"/>
  <c r="E37" i="39"/>
  <c r="D37" i="39"/>
  <c r="C37" i="39"/>
  <c r="B37" i="39"/>
  <c r="Q36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Q31" i="39"/>
  <c r="P31" i="39"/>
  <c r="P64" i="39"/>
  <c r="O31" i="39"/>
  <c r="N31" i="39"/>
  <c r="N64" i="39"/>
  <c r="M31" i="39"/>
  <c r="L31" i="39"/>
  <c r="K31" i="39"/>
  <c r="J31" i="39"/>
  <c r="J64" i="39"/>
  <c r="I31" i="39"/>
  <c r="H31" i="39"/>
  <c r="G31" i="39"/>
  <c r="F31" i="39"/>
  <c r="E31" i="39"/>
  <c r="D31" i="39"/>
  <c r="C31" i="39"/>
  <c r="B31" i="39"/>
  <c r="B5" i="39"/>
  <c r="B20" i="39"/>
  <c r="B6" i="39"/>
  <c r="B166" i="39"/>
  <c r="B7" i="39"/>
  <c r="B167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C16" i="39"/>
  <c r="B16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B12" i="39"/>
  <c r="Q11" i="39"/>
  <c r="P11" i="39"/>
  <c r="O11" i="39"/>
  <c r="N11" i="39"/>
  <c r="M11" i="39"/>
  <c r="L11" i="39"/>
  <c r="K11" i="39"/>
  <c r="J11" i="39"/>
  <c r="I11" i="39"/>
  <c r="H11" i="39"/>
  <c r="G11" i="39"/>
  <c r="F11" i="39"/>
  <c r="E11" i="39"/>
  <c r="D11" i="39"/>
  <c r="C11" i="39"/>
  <c r="B11" i="39"/>
  <c r="Q10" i="39"/>
  <c r="P10" i="39"/>
  <c r="O10" i="39"/>
  <c r="N10" i="39"/>
  <c r="M10" i="39"/>
  <c r="L10" i="39"/>
  <c r="K10" i="39"/>
  <c r="J10" i="39"/>
  <c r="I10" i="39"/>
  <c r="H10" i="39"/>
  <c r="G10" i="39"/>
  <c r="F10" i="39"/>
  <c r="E10" i="39"/>
  <c r="D10" i="39"/>
  <c r="C10" i="39"/>
  <c r="B10" i="39"/>
  <c r="Q9" i="39"/>
  <c r="P9" i="39"/>
  <c r="O9" i="39"/>
  <c r="N9" i="39"/>
  <c r="M9" i="39"/>
  <c r="L9" i="39"/>
  <c r="K9" i="39"/>
  <c r="J9" i="39"/>
  <c r="I9" i="39"/>
  <c r="I8" i="39"/>
  <c r="I21" i="39"/>
  <c r="H9" i="39"/>
  <c r="G9" i="39"/>
  <c r="F9" i="39"/>
  <c r="E9" i="39"/>
  <c r="D9" i="39"/>
  <c r="C9" i="39"/>
  <c r="B9" i="39"/>
  <c r="Q8" i="39"/>
  <c r="Q21" i="39"/>
  <c r="P8" i="39"/>
  <c r="P21" i="39"/>
  <c r="O8" i="39"/>
  <c r="O21" i="39"/>
  <c r="N8" i="39"/>
  <c r="N21" i="39"/>
  <c r="M8" i="39"/>
  <c r="M21" i="39"/>
  <c r="L8" i="39"/>
  <c r="L21" i="39"/>
  <c r="K8" i="39"/>
  <c r="K21" i="39"/>
  <c r="J8" i="39"/>
  <c r="J21" i="39"/>
  <c r="H8" i="39"/>
  <c r="H21" i="39"/>
  <c r="G8" i="39"/>
  <c r="G21" i="39"/>
  <c r="F8" i="39"/>
  <c r="F21" i="39"/>
  <c r="E8" i="39"/>
  <c r="E21" i="39"/>
  <c r="D8" i="39"/>
  <c r="D21" i="39"/>
  <c r="C8" i="39"/>
  <c r="C21" i="39"/>
  <c r="B8" i="39"/>
  <c r="Q7" i="39"/>
  <c r="Q18" i="39"/>
  <c r="P7" i="39"/>
  <c r="P18" i="39"/>
  <c r="O7" i="39"/>
  <c r="O18" i="39"/>
  <c r="N7" i="39"/>
  <c r="N18" i="39"/>
  <c r="M7" i="39"/>
  <c r="M18" i="39"/>
  <c r="L7" i="39"/>
  <c r="L18" i="39"/>
  <c r="K7" i="39"/>
  <c r="K18" i="39"/>
  <c r="J7" i="39"/>
  <c r="J18" i="39"/>
  <c r="I7" i="39"/>
  <c r="I18" i="39"/>
  <c r="H7" i="39"/>
  <c r="H18" i="39"/>
  <c r="G7" i="39"/>
  <c r="G18" i="39"/>
  <c r="F7" i="39"/>
  <c r="F18" i="39"/>
  <c r="E7" i="39"/>
  <c r="E167" i="39"/>
  <c r="D7" i="39"/>
  <c r="D167" i="39"/>
  <c r="C7" i="39"/>
  <c r="C167" i="39"/>
  <c r="Q6" i="39"/>
  <c r="Q19" i="39"/>
  <c r="P6" i="39"/>
  <c r="P19" i="39"/>
  <c r="O6" i="39"/>
  <c r="O19" i="39"/>
  <c r="N6" i="39"/>
  <c r="N19" i="39"/>
  <c r="M6" i="39"/>
  <c r="M19" i="39"/>
  <c r="L6" i="39"/>
  <c r="L19" i="39"/>
  <c r="K6" i="39"/>
  <c r="K19" i="39"/>
  <c r="J6" i="39"/>
  <c r="J19" i="39"/>
  <c r="I6" i="39"/>
  <c r="I19" i="39"/>
  <c r="H6" i="39"/>
  <c r="H19" i="39"/>
  <c r="G6" i="39"/>
  <c r="G19" i="39"/>
  <c r="F6" i="39"/>
  <c r="F19" i="39"/>
  <c r="E6" i="39"/>
  <c r="E166" i="39"/>
  <c r="D6" i="39"/>
  <c r="D166" i="39"/>
  <c r="C6" i="39"/>
  <c r="C19" i="39"/>
  <c r="Q5" i="39"/>
  <c r="P5" i="39"/>
  <c r="P20" i="39"/>
  <c r="O5" i="39"/>
  <c r="O20" i="39"/>
  <c r="N5" i="39"/>
  <c r="N20" i="39"/>
  <c r="M5" i="39"/>
  <c r="M20" i="39"/>
  <c r="L5" i="39"/>
  <c r="L20" i="39"/>
  <c r="K5" i="39"/>
  <c r="K20" i="39"/>
  <c r="J5" i="39"/>
  <c r="I5" i="39"/>
  <c r="I20" i="39"/>
  <c r="H5" i="39"/>
  <c r="H20" i="39"/>
  <c r="G5" i="39"/>
  <c r="G20" i="39"/>
  <c r="F5" i="39"/>
  <c r="F20" i="39"/>
  <c r="E5" i="39"/>
  <c r="E165" i="39"/>
  <c r="D5" i="39"/>
  <c r="D165" i="39"/>
  <c r="C5" i="39"/>
  <c r="F216" i="39"/>
  <c r="V18" i="41"/>
  <c r="V17" i="41"/>
  <c r="V16" i="41"/>
  <c r="W16" i="41"/>
  <c r="V15" i="41"/>
  <c r="W15" i="41"/>
  <c r="V14" i="41"/>
  <c r="V13" i="41"/>
  <c r="W13" i="41"/>
  <c r="V12" i="41"/>
  <c r="V11" i="41"/>
  <c r="AS180" i="37"/>
  <c r="U180" i="37"/>
  <c r="P180" i="37"/>
  <c r="P13" i="37"/>
  <c r="P26" i="37"/>
  <c r="P192" i="37"/>
  <c r="P56" i="37"/>
  <c r="P157" i="37"/>
  <c r="P174" i="37"/>
  <c r="P31" i="37"/>
  <c r="P17" i="37"/>
  <c r="P24" i="37"/>
  <c r="P65" i="37"/>
  <c r="P87" i="37"/>
  <c r="P202" i="37"/>
  <c r="P95" i="37"/>
  <c r="P229" i="37"/>
  <c r="P104" i="37"/>
  <c r="P181" i="37"/>
  <c r="P228" i="37"/>
  <c r="P122" i="37"/>
  <c r="P178" i="37"/>
  <c r="P128" i="37"/>
  <c r="P134" i="37"/>
  <c r="P233" i="37"/>
  <c r="P135" i="37"/>
  <c r="P230" i="37"/>
  <c r="P231" i="37"/>
  <c r="P175" i="37"/>
  <c r="P200" i="37"/>
  <c r="P244" i="37"/>
  <c r="P245" i="37"/>
  <c r="AQ13" i="37"/>
  <c r="AR13" i="37"/>
  <c r="AS13" i="37"/>
  <c r="AI13" i="37"/>
  <c r="U12" i="37"/>
  <c r="U27" i="37"/>
  <c r="AQ122" i="37"/>
  <c r="AR122" i="37"/>
  <c r="AS122" i="37"/>
  <c r="AI122" i="37"/>
  <c r="AQ87" i="37"/>
  <c r="AR87" i="37"/>
  <c r="AS87" i="37"/>
  <c r="AI87" i="37"/>
  <c r="AQ225" i="37"/>
  <c r="AR225" i="37"/>
  <c r="AS225" i="37"/>
  <c r="AQ226" i="37"/>
  <c r="AR226" i="37"/>
  <c r="AS226" i="37"/>
  <c r="AQ227" i="37"/>
  <c r="AR227" i="37"/>
  <c r="AS227" i="37"/>
  <c r="AQ228" i="37"/>
  <c r="AR228" i="37"/>
  <c r="AS228" i="37"/>
  <c r="AQ229" i="37"/>
  <c r="AR229" i="37"/>
  <c r="AS229" i="37"/>
  <c r="AQ230" i="37"/>
  <c r="AR230" i="37"/>
  <c r="AS230" i="37"/>
  <c r="AQ231" i="37"/>
  <c r="AR231" i="37"/>
  <c r="AS231" i="37"/>
  <c r="AQ232" i="37"/>
  <c r="AR232" i="37"/>
  <c r="AS232" i="37"/>
  <c r="AQ233" i="37"/>
  <c r="AR233" i="37"/>
  <c r="AS233" i="37"/>
  <c r="AQ234" i="37"/>
  <c r="AR234" i="37"/>
  <c r="AS234" i="37"/>
  <c r="AQ235" i="37"/>
  <c r="AR235" i="37"/>
  <c r="AS235" i="37"/>
  <c r="AQ236" i="37"/>
  <c r="AR236" i="37"/>
  <c r="AS236" i="37"/>
  <c r="AQ237" i="37"/>
  <c r="AR237" i="37"/>
  <c r="AS237" i="37"/>
  <c r="AQ238" i="37"/>
  <c r="AR238" i="37"/>
  <c r="AS238" i="37"/>
  <c r="AQ239" i="37"/>
  <c r="AR239" i="37"/>
  <c r="AS239" i="37"/>
  <c r="AQ240" i="37"/>
  <c r="AR240" i="37"/>
  <c r="AS240" i="37"/>
  <c r="AQ241" i="37"/>
  <c r="AR241" i="37"/>
  <c r="AS241" i="37"/>
  <c r="AQ242" i="37"/>
  <c r="AR242" i="37"/>
  <c r="AS242" i="37"/>
  <c r="AQ243" i="37"/>
  <c r="AR243" i="37"/>
  <c r="AS243" i="37"/>
  <c r="AQ244" i="37"/>
  <c r="AR244" i="37"/>
  <c r="AS244" i="37"/>
  <c r="AQ245" i="37"/>
  <c r="AR245" i="37"/>
  <c r="AS245" i="37"/>
  <c r="AQ246" i="37"/>
  <c r="AR246" i="37"/>
  <c r="AS246" i="37"/>
  <c r="AQ247" i="37"/>
  <c r="AR247" i="37"/>
  <c r="AS247" i="37"/>
  <c r="AQ248" i="37"/>
  <c r="AR248" i="37"/>
  <c r="AS248" i="37"/>
  <c r="AQ249" i="37"/>
  <c r="AR249" i="37"/>
  <c r="AS249" i="37"/>
  <c r="AQ250" i="37"/>
  <c r="AR250" i="37"/>
  <c r="AS250" i="37"/>
  <c r="AQ251" i="37"/>
  <c r="AR251" i="37"/>
  <c r="AS251" i="37"/>
  <c r="AQ252" i="37"/>
  <c r="AR252" i="37"/>
  <c r="AS252" i="37"/>
  <c r="AQ253" i="37"/>
  <c r="AR253" i="37"/>
  <c r="AS253" i="37"/>
  <c r="AQ254" i="37"/>
  <c r="AR254" i="37"/>
  <c r="AS254" i="37"/>
  <c r="AQ255" i="37"/>
  <c r="AR255" i="37"/>
  <c r="AS255" i="37"/>
  <c r="AQ256" i="37"/>
  <c r="AR256" i="37"/>
  <c r="AS256" i="37"/>
  <c r="U248" i="37"/>
  <c r="U3" i="37"/>
  <c r="U256" i="37"/>
  <c r="U156" i="37"/>
  <c r="U246" i="37"/>
  <c r="U201" i="37"/>
  <c r="U255" i="37"/>
  <c r="U254" i="37"/>
  <c r="U253" i="37"/>
  <c r="U243" i="37"/>
  <c r="U242" i="37"/>
  <c r="U241" i="37"/>
  <c r="U239" i="37"/>
  <c r="U165" i="37"/>
  <c r="U238" i="37"/>
  <c r="U159" i="37"/>
  <c r="U237" i="37"/>
  <c r="U236" i="37"/>
  <c r="U252" i="37"/>
  <c r="U94" i="37"/>
  <c r="U188" i="37"/>
  <c r="U187" i="37"/>
  <c r="U186" i="37"/>
  <c r="U184" i="37"/>
  <c r="U35" i="37"/>
  <c r="U232" i="37"/>
  <c r="U48" i="37"/>
  <c r="U34" i="37"/>
  <c r="U251" i="37"/>
  <c r="U65" i="37"/>
  <c r="U250" i="37"/>
  <c r="U200" i="37"/>
  <c r="U224" i="37"/>
  <c r="CA265" i="37"/>
  <c r="U226" i="37"/>
  <c r="CA267" i="37"/>
  <c r="CA275" i="37"/>
  <c r="U225" i="37"/>
  <c r="CA266" i="37"/>
  <c r="AQ8" i="37"/>
  <c r="AR8" i="37"/>
  <c r="AS8" i="37"/>
  <c r="AQ2" i="37"/>
  <c r="AQ224" i="37"/>
  <c r="AR224" i="37"/>
  <c r="AS224" i="37"/>
  <c r="AQ223" i="37"/>
  <c r="AR223" i="37"/>
  <c r="AS223" i="37"/>
  <c r="AQ222" i="37"/>
  <c r="AR222" i="37"/>
  <c r="AS222" i="37"/>
  <c r="AQ221" i="37"/>
  <c r="AR221" i="37"/>
  <c r="AS221" i="37"/>
  <c r="AQ220" i="37"/>
  <c r="AR220" i="37"/>
  <c r="AS220" i="37"/>
  <c r="AQ219" i="37"/>
  <c r="AR219" i="37"/>
  <c r="AS219" i="37"/>
  <c r="AQ218" i="37"/>
  <c r="AR218" i="37"/>
  <c r="AS218" i="37"/>
  <c r="AQ217" i="37"/>
  <c r="AQ216" i="37"/>
  <c r="AR216" i="37"/>
  <c r="AS216" i="37"/>
  <c r="AQ215" i="37"/>
  <c r="AR215" i="37"/>
  <c r="AS215" i="37"/>
  <c r="AQ214" i="37"/>
  <c r="AR214" i="37"/>
  <c r="AS214" i="37"/>
  <c r="AQ213" i="37"/>
  <c r="AQ212" i="37"/>
  <c r="AQ211" i="37"/>
  <c r="AR211" i="37"/>
  <c r="AS211" i="37"/>
  <c r="AQ210" i="37"/>
  <c r="AR210" i="37"/>
  <c r="AS210" i="37"/>
  <c r="AQ209" i="37"/>
  <c r="AQ208" i="37"/>
  <c r="AR208" i="37"/>
  <c r="AS208" i="37"/>
  <c r="AQ207" i="37"/>
  <c r="AR207" i="37"/>
  <c r="AS207" i="37"/>
  <c r="AQ206" i="37"/>
  <c r="AR206" i="37"/>
  <c r="AS206" i="37"/>
  <c r="AQ205" i="37"/>
  <c r="AR205" i="37"/>
  <c r="AS205" i="37"/>
  <c r="AQ204" i="37"/>
  <c r="AR204" i="37"/>
  <c r="AS204" i="37"/>
  <c r="AQ203" i="37"/>
  <c r="AR203" i="37"/>
  <c r="AS203" i="37"/>
  <c r="AQ202" i="37"/>
  <c r="AR202" i="37"/>
  <c r="AS202" i="37"/>
  <c r="AQ201" i="37"/>
  <c r="AQ200" i="37"/>
  <c r="AR200" i="37"/>
  <c r="AS200" i="37"/>
  <c r="AQ199" i="37"/>
  <c r="AR199" i="37"/>
  <c r="AS199" i="37"/>
  <c r="AQ198" i="37"/>
  <c r="AR198" i="37"/>
  <c r="AS198" i="37"/>
  <c r="AQ196" i="37"/>
  <c r="AR196" i="37"/>
  <c r="AS196" i="37"/>
  <c r="AQ195" i="37"/>
  <c r="AR195" i="37"/>
  <c r="AS195" i="37"/>
  <c r="AQ194" i="37"/>
  <c r="AR194" i="37"/>
  <c r="AS194" i="37"/>
  <c r="AQ193" i="37"/>
  <c r="AR193" i="37"/>
  <c r="AS193" i="37"/>
  <c r="AQ192" i="37"/>
  <c r="AQ191" i="37"/>
  <c r="AR191" i="37"/>
  <c r="AS191" i="37"/>
  <c r="AQ190" i="37"/>
  <c r="AR190" i="37"/>
  <c r="AS190" i="37"/>
  <c r="AQ189" i="37"/>
  <c r="AR189" i="37"/>
  <c r="AS189" i="37"/>
  <c r="AQ183" i="37"/>
  <c r="AR183" i="37"/>
  <c r="AS183" i="37"/>
  <c r="AQ181" i="37"/>
  <c r="AR181" i="37"/>
  <c r="AS181" i="37"/>
  <c r="AQ178" i="37"/>
  <c r="AR178" i="37"/>
  <c r="AS178" i="37"/>
  <c r="AQ177" i="37"/>
  <c r="AR177" i="37"/>
  <c r="AS177" i="37"/>
  <c r="AQ176" i="37"/>
  <c r="AR176" i="37"/>
  <c r="AS176" i="37"/>
  <c r="AQ174" i="37"/>
  <c r="AR174" i="37"/>
  <c r="AS174" i="37"/>
  <c r="AQ173" i="37"/>
  <c r="AR173" i="37"/>
  <c r="AS173" i="37"/>
  <c r="AQ172" i="37"/>
  <c r="AR172" i="37"/>
  <c r="AS172" i="37"/>
  <c r="AQ171" i="37"/>
  <c r="AR171" i="37"/>
  <c r="AS171" i="37"/>
  <c r="AQ170" i="37"/>
  <c r="AR170" i="37"/>
  <c r="AS170" i="37"/>
  <c r="AQ169" i="37"/>
  <c r="AR169" i="37"/>
  <c r="AS169" i="37"/>
  <c r="AQ168" i="37"/>
  <c r="AQ167" i="37"/>
  <c r="AR167" i="37"/>
  <c r="AS167" i="37"/>
  <c r="AQ166" i="37"/>
  <c r="AR166" i="37"/>
  <c r="AS166" i="37"/>
  <c r="AQ165" i="37"/>
  <c r="AQ164" i="37"/>
  <c r="AR164" i="37"/>
  <c r="AS164" i="37"/>
  <c r="AQ163" i="37"/>
  <c r="AR163" i="37"/>
  <c r="AS163" i="37"/>
  <c r="AQ162" i="37"/>
  <c r="AQ161" i="37"/>
  <c r="AR161" i="37"/>
  <c r="AS161" i="37"/>
  <c r="AQ160" i="37"/>
  <c r="AR160" i="37"/>
  <c r="AS160" i="37"/>
  <c r="AQ159" i="37"/>
  <c r="AR159" i="37"/>
  <c r="AS159" i="37"/>
  <c r="AQ158" i="37"/>
  <c r="AR158" i="37"/>
  <c r="AS158" i="37"/>
  <c r="AQ157" i="37"/>
  <c r="AR157" i="37"/>
  <c r="AS157" i="37"/>
  <c r="AQ156" i="37"/>
  <c r="AQ155" i="37"/>
  <c r="AR155" i="37"/>
  <c r="AS155" i="37"/>
  <c r="AQ154" i="37"/>
  <c r="AR154" i="37"/>
  <c r="AS154" i="37"/>
  <c r="AQ153" i="37"/>
  <c r="AR153" i="37"/>
  <c r="AS153" i="37"/>
  <c r="AQ152" i="37"/>
  <c r="AQ151" i="37"/>
  <c r="AQ150" i="37"/>
  <c r="AR150" i="37"/>
  <c r="AS150" i="37"/>
  <c r="AQ149" i="37"/>
  <c r="AR149" i="37"/>
  <c r="AS149" i="37"/>
  <c r="AQ148" i="37"/>
  <c r="AR148" i="37"/>
  <c r="AS148" i="37"/>
  <c r="AQ147" i="37"/>
  <c r="AR147" i="37"/>
  <c r="AS147" i="37"/>
  <c r="AQ146" i="37"/>
  <c r="AR146" i="37"/>
  <c r="AS146" i="37"/>
  <c r="AQ145" i="37"/>
  <c r="AR145" i="37"/>
  <c r="AS145" i="37"/>
  <c r="AQ144" i="37"/>
  <c r="AR144" i="37"/>
  <c r="AS144" i="37"/>
  <c r="AQ143" i="37"/>
  <c r="AQ142" i="37"/>
  <c r="AR142" i="37"/>
  <c r="AS142" i="37"/>
  <c r="AQ141" i="37"/>
  <c r="AR141" i="37"/>
  <c r="AS141" i="37"/>
  <c r="AQ140" i="37"/>
  <c r="AR140" i="37"/>
  <c r="AS140" i="37"/>
  <c r="AQ139" i="37"/>
  <c r="AR139" i="37"/>
  <c r="AS139" i="37"/>
  <c r="AQ138" i="37"/>
  <c r="AQ137" i="37"/>
  <c r="AR137" i="37"/>
  <c r="AS137" i="37"/>
  <c r="AQ136" i="37"/>
  <c r="AR136" i="37"/>
  <c r="AS136" i="37"/>
  <c r="AQ135" i="37"/>
  <c r="AQ134" i="37"/>
  <c r="AQ133" i="37"/>
  <c r="AQ132" i="37"/>
  <c r="AR132" i="37"/>
  <c r="AS132" i="37"/>
  <c r="AS131" i="37"/>
  <c r="AQ130" i="37"/>
  <c r="AR130" i="37"/>
  <c r="AS130" i="37"/>
  <c r="AQ129" i="37"/>
  <c r="AR129" i="37"/>
  <c r="AS129" i="37"/>
  <c r="AQ128" i="37"/>
  <c r="AQ127" i="37"/>
  <c r="AR127" i="37"/>
  <c r="AS127" i="37"/>
  <c r="AQ126" i="37"/>
  <c r="AR126" i="37"/>
  <c r="AS126" i="37"/>
  <c r="AQ125" i="37"/>
  <c r="AQ124" i="37"/>
  <c r="AQ123" i="37"/>
  <c r="AR123" i="37"/>
  <c r="AS123" i="37"/>
  <c r="AQ121" i="37"/>
  <c r="AQ120" i="37"/>
  <c r="AR120" i="37"/>
  <c r="AS120" i="37"/>
  <c r="AQ119" i="37"/>
  <c r="AR119" i="37"/>
  <c r="AS119" i="37"/>
  <c r="AQ118" i="37"/>
  <c r="AR118" i="37"/>
  <c r="AS118" i="37"/>
  <c r="AQ117" i="37"/>
  <c r="AR117" i="37"/>
  <c r="AS117" i="37"/>
  <c r="AQ116" i="37"/>
  <c r="AR116" i="37"/>
  <c r="AS116" i="37"/>
  <c r="AQ115" i="37"/>
  <c r="AR115" i="37"/>
  <c r="AS115" i="37"/>
  <c r="AQ114" i="37"/>
  <c r="AR114" i="37"/>
  <c r="AS114" i="37"/>
  <c r="AQ113" i="37"/>
  <c r="AR113" i="37"/>
  <c r="AS113" i="37"/>
  <c r="AQ112" i="37"/>
  <c r="AQ111" i="37"/>
  <c r="AR111" i="37"/>
  <c r="AS111" i="37"/>
  <c r="AQ110" i="37"/>
  <c r="AR110" i="37"/>
  <c r="AS110" i="37"/>
  <c r="AQ109" i="37"/>
  <c r="AR109" i="37"/>
  <c r="AS109" i="37"/>
  <c r="AQ108" i="37"/>
  <c r="AQ107" i="37"/>
  <c r="AQ106" i="37"/>
  <c r="AR106" i="37"/>
  <c r="AS106" i="37"/>
  <c r="AQ105" i="37"/>
  <c r="AQ104" i="37"/>
  <c r="AR104" i="37"/>
  <c r="AS104" i="37"/>
  <c r="AQ103" i="37"/>
  <c r="AR103" i="37"/>
  <c r="AS103" i="37"/>
  <c r="AQ102" i="37"/>
  <c r="AR102" i="37"/>
  <c r="AS102" i="37"/>
  <c r="AQ101" i="37"/>
  <c r="AR101" i="37"/>
  <c r="AS101" i="37"/>
  <c r="AQ100" i="37"/>
  <c r="AR100" i="37"/>
  <c r="AS100" i="37"/>
  <c r="AQ99" i="37"/>
  <c r="AQ98" i="37"/>
  <c r="AR98" i="37"/>
  <c r="AS98" i="37"/>
  <c r="AQ97" i="37"/>
  <c r="AR97" i="37"/>
  <c r="AS97" i="37"/>
  <c r="AQ96" i="37"/>
  <c r="AR96" i="37"/>
  <c r="AS96" i="37"/>
  <c r="AQ95" i="37"/>
  <c r="AQ94" i="37"/>
  <c r="AQ93" i="37"/>
  <c r="AR93" i="37"/>
  <c r="AS93" i="37"/>
  <c r="AQ92" i="37"/>
  <c r="AR92" i="37"/>
  <c r="AS92" i="37"/>
  <c r="AQ91" i="37"/>
  <c r="AR91" i="37"/>
  <c r="AS91" i="37"/>
  <c r="AQ90" i="37"/>
  <c r="AR90" i="37"/>
  <c r="AS90" i="37"/>
  <c r="AQ89" i="37"/>
  <c r="AR89" i="37"/>
  <c r="AS89" i="37"/>
  <c r="AQ88" i="37"/>
  <c r="AR88" i="37"/>
  <c r="AS88" i="37"/>
  <c r="AQ86" i="37"/>
  <c r="AQ85" i="37"/>
  <c r="AQ83" i="37"/>
  <c r="AR83" i="37"/>
  <c r="AS83" i="37"/>
  <c r="AQ82" i="37"/>
  <c r="AQ81" i="37"/>
  <c r="AQ80" i="37"/>
  <c r="AR80" i="37"/>
  <c r="AS80" i="37"/>
  <c r="AQ79" i="37"/>
  <c r="AR79" i="37"/>
  <c r="AS79" i="37"/>
  <c r="AQ78" i="37"/>
  <c r="AR78" i="37"/>
  <c r="AS78" i="37"/>
  <c r="AQ77" i="37"/>
  <c r="AR77" i="37"/>
  <c r="AS77" i="37"/>
  <c r="AQ76" i="37"/>
  <c r="AR76" i="37"/>
  <c r="AS76" i="37"/>
  <c r="AQ75" i="37"/>
  <c r="AR74" i="37"/>
  <c r="AS74" i="37"/>
  <c r="AQ73" i="37"/>
  <c r="AR73" i="37"/>
  <c r="AS73" i="37"/>
  <c r="AQ72" i="37"/>
  <c r="AR72" i="37"/>
  <c r="AS72" i="37"/>
  <c r="AQ71" i="37"/>
  <c r="AR71" i="37"/>
  <c r="AS71" i="37"/>
  <c r="AQ70" i="37"/>
  <c r="AR70" i="37"/>
  <c r="AS70" i="37"/>
  <c r="AQ69" i="37"/>
  <c r="AR69" i="37"/>
  <c r="AS69" i="37"/>
  <c r="AQ68" i="37"/>
  <c r="AQ67" i="37"/>
  <c r="AQ66" i="37"/>
  <c r="AQ65" i="37"/>
  <c r="AQ64" i="37"/>
  <c r="AQ63" i="37"/>
  <c r="AR63" i="37"/>
  <c r="AS63" i="37"/>
  <c r="AQ62" i="37"/>
  <c r="AR62" i="37"/>
  <c r="AS62" i="37"/>
  <c r="AQ60" i="37"/>
  <c r="AR60" i="37"/>
  <c r="AS60" i="37"/>
  <c r="AQ59" i="37"/>
  <c r="AR59" i="37"/>
  <c r="AS59" i="37"/>
  <c r="AQ58" i="37"/>
  <c r="AR58" i="37"/>
  <c r="AS58" i="37"/>
  <c r="AQ57" i="37"/>
  <c r="AR57" i="37"/>
  <c r="AS57" i="37"/>
  <c r="AQ56" i="37"/>
  <c r="AR56" i="37"/>
  <c r="AS56" i="37"/>
  <c r="AQ55" i="37"/>
  <c r="AQ54" i="37"/>
  <c r="AR54" i="37"/>
  <c r="AS54" i="37"/>
  <c r="AQ53" i="37"/>
  <c r="AR53" i="37"/>
  <c r="AS53" i="37"/>
  <c r="AQ51" i="37"/>
  <c r="AR51" i="37"/>
  <c r="AS51" i="37"/>
  <c r="AQ50" i="37"/>
  <c r="AR50" i="37"/>
  <c r="AS50" i="37"/>
  <c r="AQ49" i="37"/>
  <c r="AR49" i="37"/>
  <c r="AS49" i="37"/>
  <c r="AQ47" i="37"/>
  <c r="AR47" i="37"/>
  <c r="AS47" i="37"/>
  <c r="AQ46" i="37"/>
  <c r="AR46" i="37"/>
  <c r="AS46" i="37"/>
  <c r="AQ45" i="37"/>
  <c r="AR45" i="37"/>
  <c r="AS45" i="37"/>
  <c r="AQ44" i="37"/>
  <c r="AR44" i="37"/>
  <c r="AS44" i="37"/>
  <c r="AQ43" i="37"/>
  <c r="AR43" i="37"/>
  <c r="AS43" i="37"/>
  <c r="AQ42" i="37"/>
  <c r="AR42" i="37"/>
  <c r="AS42" i="37"/>
  <c r="AQ41" i="37"/>
  <c r="AR41" i="37"/>
  <c r="AS41" i="37"/>
  <c r="AQ40" i="37"/>
  <c r="AR40" i="37"/>
  <c r="AS40" i="37"/>
  <c r="AQ39" i="37"/>
  <c r="AR39" i="37"/>
  <c r="AS39" i="37"/>
  <c r="AR38" i="37"/>
  <c r="AS38" i="37"/>
  <c r="AQ37" i="37"/>
  <c r="AR37" i="37"/>
  <c r="AS37" i="37"/>
  <c r="AQ36" i="37"/>
  <c r="AR36" i="37"/>
  <c r="AS36" i="37"/>
  <c r="AQ33" i="37"/>
  <c r="AR33" i="37"/>
  <c r="AS33" i="37"/>
  <c r="AQ32" i="37"/>
  <c r="AQ29" i="37"/>
  <c r="AR29" i="37"/>
  <c r="AS29" i="37"/>
  <c r="AQ28" i="37"/>
  <c r="AQ27" i="37"/>
  <c r="AQ26" i="37"/>
  <c r="AR26" i="37"/>
  <c r="AS26" i="37"/>
  <c r="AQ25" i="37"/>
  <c r="AQ24" i="37"/>
  <c r="AR24" i="37"/>
  <c r="AS24" i="37"/>
  <c r="AQ23" i="37"/>
  <c r="AR23" i="37"/>
  <c r="AS23" i="37"/>
  <c r="AQ18" i="37"/>
  <c r="AR18" i="37"/>
  <c r="AS18" i="37"/>
  <c r="AQ17" i="37"/>
  <c r="AR17" i="37"/>
  <c r="AS17" i="37"/>
  <c r="AQ16" i="37"/>
  <c r="AR16" i="37"/>
  <c r="AS16" i="37"/>
  <c r="AQ15" i="37"/>
  <c r="AR15" i="37"/>
  <c r="AS15" i="37"/>
  <c r="AQ14" i="37"/>
  <c r="AR14" i="37"/>
  <c r="AS14" i="37"/>
  <c r="AQ12" i="37"/>
  <c r="AR12" i="37"/>
  <c r="AS12" i="37"/>
  <c r="AQ11" i="37"/>
  <c r="AQ10" i="37"/>
  <c r="AQ9" i="37"/>
  <c r="AQ7" i="37"/>
  <c r="AR7" i="37"/>
  <c r="AS7" i="37"/>
  <c r="AQ6" i="37"/>
  <c r="AR6" i="37"/>
  <c r="AS6" i="37"/>
  <c r="AQ5" i="37"/>
  <c r="AQ3" i="37"/>
  <c r="AR3" i="37"/>
  <c r="AS3" i="37"/>
  <c r="H204" i="2"/>
  <c r="F203" i="2"/>
  <c r="F202" i="2"/>
  <c r="F200" i="2"/>
  <c r="F201" i="2"/>
  <c r="F199" i="2"/>
  <c r="F198" i="2"/>
  <c r="F197" i="2"/>
  <c r="AI249" i="37"/>
  <c r="P25" i="41"/>
  <c r="W19" i="41"/>
  <c r="W17" i="41"/>
  <c r="W14" i="41"/>
  <c r="W12" i="41"/>
  <c r="W11" i="41"/>
  <c r="W18" i="41"/>
  <c r="Q224" i="39"/>
  <c r="Q180" i="39"/>
  <c r="P224" i="39"/>
  <c r="P180" i="39"/>
  <c r="O224" i="39"/>
  <c r="O180" i="39"/>
  <c r="N224" i="39"/>
  <c r="N180" i="39"/>
  <c r="M224" i="39"/>
  <c r="M180" i="39"/>
  <c r="L224" i="39"/>
  <c r="L180" i="39"/>
  <c r="K224" i="39"/>
  <c r="K180" i="39"/>
  <c r="J224" i="39"/>
  <c r="J180" i="39"/>
  <c r="I224" i="39"/>
  <c r="I180" i="39"/>
  <c r="H224" i="39"/>
  <c r="H180" i="39"/>
  <c r="G224" i="39"/>
  <c r="G180" i="39"/>
  <c r="F224" i="39"/>
  <c r="E224" i="39"/>
  <c r="E180" i="39"/>
  <c r="K223" i="39"/>
  <c r="L223" i="39"/>
  <c r="M223" i="39"/>
  <c r="N223" i="39"/>
  <c r="J223" i="39"/>
  <c r="I216" i="39"/>
  <c r="H216" i="39"/>
  <c r="G216" i="39"/>
  <c r="E216" i="39"/>
  <c r="J187" i="39"/>
  <c r="K187" i="39"/>
  <c r="L187" i="39"/>
  <c r="M187" i="39"/>
  <c r="N187" i="39"/>
  <c r="O187" i="39"/>
  <c r="P187" i="39"/>
  <c r="Q187" i="39"/>
  <c r="J186" i="39"/>
  <c r="K186" i="39"/>
  <c r="L186" i="39"/>
  <c r="M186" i="39"/>
  <c r="N186" i="39"/>
  <c r="O186" i="39"/>
  <c r="P186" i="39"/>
  <c r="Q186" i="39"/>
  <c r="J183" i="39"/>
  <c r="K183" i="39"/>
  <c r="L183" i="39"/>
  <c r="M183" i="39"/>
  <c r="N183" i="39"/>
  <c r="O183" i="39"/>
  <c r="P183" i="39"/>
  <c r="Q183" i="39"/>
  <c r="J182" i="39"/>
  <c r="K182" i="39"/>
  <c r="L182" i="39"/>
  <c r="M182" i="39"/>
  <c r="N182" i="39"/>
  <c r="O182" i="39"/>
  <c r="P182" i="39"/>
  <c r="Q182" i="39"/>
  <c r="J181" i="39"/>
  <c r="K181" i="39"/>
  <c r="L181" i="39"/>
  <c r="M181" i="39"/>
  <c r="N181" i="39"/>
  <c r="O181" i="39"/>
  <c r="P181" i="39"/>
  <c r="Q181" i="39"/>
  <c r="J179" i="39"/>
  <c r="K179" i="39"/>
  <c r="L179" i="39"/>
  <c r="M179" i="39"/>
  <c r="N179" i="39"/>
  <c r="O179" i="39"/>
  <c r="P179" i="39"/>
  <c r="Q179" i="39"/>
  <c r="AI237" i="37"/>
  <c r="AI236" i="37"/>
  <c r="AI228" i="37"/>
  <c r="AI227" i="37"/>
  <c r="AI219" i="37"/>
  <c r="AI218" i="37"/>
  <c r="AR217" i="37"/>
  <c r="AS217" i="37"/>
  <c r="AI217" i="37"/>
  <c r="AI216" i="37"/>
  <c r="AI215" i="37"/>
  <c r="AI214" i="37"/>
  <c r="AR213" i="37"/>
  <c r="AS213" i="37"/>
  <c r="AI213" i="37"/>
  <c r="AR212" i="37"/>
  <c r="AS212" i="37"/>
  <c r="AI212" i="37"/>
  <c r="AI211" i="37"/>
  <c r="AI210" i="37"/>
  <c r="AR209" i="37"/>
  <c r="AS209" i="37"/>
  <c r="AI209" i="37"/>
  <c r="AI208" i="37"/>
  <c r="AI207" i="37"/>
  <c r="AI206" i="37"/>
  <c r="AI205" i="37"/>
  <c r="AI203" i="37"/>
  <c r="AI202" i="37"/>
  <c r="AR201" i="37"/>
  <c r="AS201" i="37"/>
  <c r="AI201" i="37"/>
  <c r="AI200" i="37"/>
  <c r="AI199" i="37"/>
  <c r="AR197" i="37"/>
  <c r="AS197" i="37"/>
  <c r="AI197" i="37"/>
  <c r="AI196" i="37"/>
  <c r="AI195" i="37"/>
  <c r="AI194" i="37"/>
  <c r="AI193" i="37"/>
  <c r="AR192" i="37"/>
  <c r="AS192" i="37"/>
  <c r="AI192" i="37"/>
  <c r="AI191" i="37"/>
  <c r="AI190" i="37"/>
  <c r="AI189" i="37"/>
  <c r="AI188" i="37"/>
  <c r="AI187" i="37"/>
  <c r="AI185" i="37"/>
  <c r="AI184" i="37"/>
  <c r="AI183" i="37"/>
  <c r="AR182" i="37"/>
  <c r="AS182" i="37"/>
  <c r="AI182" i="37"/>
  <c r="AI181" i="37"/>
  <c r="AR179" i="37"/>
  <c r="AS179" i="37"/>
  <c r="AI179" i="37"/>
  <c r="AI178" i="37"/>
  <c r="AI177" i="37"/>
  <c r="AI176" i="37"/>
  <c r="AI175" i="37"/>
  <c r="AI174" i="37"/>
  <c r="AI173" i="37"/>
  <c r="AI172" i="37"/>
  <c r="AI171" i="37"/>
  <c r="AI170" i="37"/>
  <c r="AI169" i="37"/>
  <c r="AR168" i="37"/>
  <c r="AS168" i="37"/>
  <c r="AI168" i="37"/>
  <c r="AI167" i="37"/>
  <c r="AI166" i="37"/>
  <c r="AR165" i="37"/>
  <c r="AS165" i="37"/>
  <c r="AI165" i="37"/>
  <c r="AI164" i="37"/>
  <c r="AI163" i="37"/>
  <c r="AR162" i="37"/>
  <c r="AS162" i="37"/>
  <c r="AI162" i="37"/>
  <c r="AI161" i="37"/>
  <c r="AI160" i="37"/>
  <c r="AI159" i="37"/>
  <c r="AI158" i="37"/>
  <c r="AI157" i="37"/>
  <c r="AR156" i="37"/>
  <c r="AS156" i="37"/>
  <c r="AI156" i="37"/>
  <c r="AI154" i="37"/>
  <c r="AI153" i="37"/>
  <c r="AR152" i="37"/>
  <c r="AS152" i="37"/>
  <c r="AI152" i="37"/>
  <c r="AR151" i="37"/>
  <c r="AS151" i="37"/>
  <c r="AI151" i="37"/>
  <c r="AI150" i="37"/>
  <c r="AI149" i="37"/>
  <c r="AI148" i="37"/>
  <c r="AI147" i="37"/>
  <c r="AI146" i="37"/>
  <c r="AI145" i="37"/>
  <c r="AI144" i="37"/>
  <c r="AR143" i="37"/>
  <c r="AS143" i="37"/>
  <c r="AI143" i="37"/>
  <c r="AI142" i="37"/>
  <c r="AI141" i="37"/>
  <c r="AI140" i="37"/>
  <c r="AI139" i="37"/>
  <c r="AR138" i="37"/>
  <c r="AS138" i="37"/>
  <c r="AI138" i="37"/>
  <c r="AI136" i="37"/>
  <c r="AR135" i="37"/>
  <c r="AR134" i="37"/>
  <c r="AS134" i="37"/>
  <c r="AI134" i="37"/>
  <c r="AR133" i="37"/>
  <c r="AS133" i="37"/>
  <c r="AI133" i="37"/>
  <c r="AI132" i="37"/>
  <c r="AI131" i="37"/>
  <c r="AI130" i="37"/>
  <c r="AI129" i="37"/>
  <c r="AR128" i="37"/>
  <c r="AS128" i="37"/>
  <c r="AI128" i="37"/>
  <c r="AI127" i="37"/>
  <c r="AI126" i="37"/>
  <c r="AR125" i="37"/>
  <c r="AS125" i="37"/>
  <c r="AI125" i="37"/>
  <c r="AR124" i="37"/>
  <c r="AS124" i="37"/>
  <c r="AI124" i="37"/>
  <c r="AI123" i="37"/>
  <c r="AR121" i="37"/>
  <c r="AS121" i="37"/>
  <c r="AI121" i="37"/>
  <c r="AI120" i="37"/>
  <c r="AI119" i="37"/>
  <c r="AI118" i="37"/>
  <c r="AI117" i="37"/>
  <c r="AI116" i="37"/>
  <c r="AI114" i="37"/>
  <c r="AI113" i="37"/>
  <c r="AR112" i="37"/>
  <c r="AS112" i="37"/>
  <c r="AI112" i="37"/>
  <c r="AI111" i="37"/>
  <c r="AI110" i="37"/>
  <c r="AI109" i="37"/>
  <c r="AR108" i="37"/>
  <c r="AS108" i="37"/>
  <c r="AI108" i="37"/>
  <c r="AR107" i="37"/>
  <c r="AS107" i="37"/>
  <c r="AI107" i="37"/>
  <c r="AI106" i="37"/>
  <c r="AR105" i="37"/>
  <c r="AS105" i="37"/>
  <c r="AI105" i="37"/>
  <c r="AI104" i="37"/>
  <c r="AI102" i="37"/>
  <c r="AI101" i="37"/>
  <c r="AI100" i="37"/>
  <c r="AR99" i="37"/>
  <c r="AS99" i="37"/>
  <c r="AI99" i="37"/>
  <c r="AI98" i="37"/>
  <c r="AI97" i="37"/>
  <c r="AI96" i="37"/>
  <c r="AR95" i="37"/>
  <c r="AS95" i="37"/>
  <c r="AI95" i="37"/>
  <c r="AR94" i="37"/>
  <c r="AS94" i="37"/>
  <c r="AI94" i="37"/>
  <c r="AI92" i="37"/>
  <c r="AI91" i="37"/>
  <c r="AI90" i="37"/>
  <c r="AI89" i="37"/>
  <c r="AI88" i="37"/>
  <c r="AR86" i="37"/>
  <c r="AS86" i="37"/>
  <c r="AI86" i="37"/>
  <c r="AR85" i="37"/>
  <c r="AS85" i="37"/>
  <c r="AI85" i="37"/>
  <c r="AR84" i="37"/>
  <c r="AS84" i="37"/>
  <c r="AI84" i="37"/>
  <c r="AI83" i="37"/>
  <c r="AR82" i="37"/>
  <c r="AS82" i="37"/>
  <c r="AI82" i="37"/>
  <c r="AR81" i="37"/>
  <c r="AS81" i="37"/>
  <c r="AI81" i="37"/>
  <c r="AI80" i="37"/>
  <c r="AI79" i="37"/>
  <c r="AI78" i="37"/>
  <c r="AI77" i="37"/>
  <c r="AI76" i="37"/>
  <c r="AR75" i="37"/>
  <c r="AS75" i="37"/>
  <c r="AI75" i="37"/>
  <c r="AI74" i="37"/>
  <c r="AI73" i="37"/>
  <c r="AI72" i="37"/>
  <c r="AI71" i="37"/>
  <c r="AI70" i="37"/>
  <c r="AI69" i="37"/>
  <c r="AR68" i="37"/>
  <c r="AS68" i="37"/>
  <c r="AI68" i="37"/>
  <c r="AR67" i="37"/>
  <c r="AS67" i="37"/>
  <c r="AI67" i="37"/>
  <c r="AR66" i="37"/>
  <c r="AS66" i="37"/>
  <c r="AI66" i="37"/>
  <c r="AR65" i="37"/>
  <c r="AS65" i="37"/>
  <c r="AI65" i="37"/>
  <c r="AR64" i="37"/>
  <c r="AS64" i="37"/>
  <c r="AI64" i="37"/>
  <c r="AI63" i="37"/>
  <c r="AI62" i="37"/>
  <c r="AI60" i="37"/>
  <c r="AI58" i="37"/>
  <c r="AI57" i="37"/>
  <c r="AI56" i="37"/>
  <c r="AR55" i="37"/>
  <c r="AS55" i="37"/>
  <c r="AI55" i="37"/>
  <c r="AI54" i="37"/>
  <c r="AI53" i="37"/>
  <c r="AR52" i="37"/>
  <c r="AS52" i="37"/>
  <c r="AI52" i="37"/>
  <c r="AI51" i="37"/>
  <c r="AI50" i="37"/>
  <c r="AI49" i="37"/>
  <c r="AI47" i="37"/>
  <c r="AI46" i="37"/>
  <c r="AI45" i="37"/>
  <c r="AI44" i="37"/>
  <c r="AI43" i="37"/>
  <c r="AI42" i="37"/>
  <c r="AI41" i="37"/>
  <c r="AI40" i="37"/>
  <c r="AI39" i="37"/>
  <c r="AI38" i="37"/>
  <c r="AI37" i="37"/>
  <c r="AI36" i="37"/>
  <c r="AI33" i="37"/>
  <c r="AR32" i="37"/>
  <c r="AS32" i="37"/>
  <c r="AI32" i="37"/>
  <c r="AI31" i="37"/>
  <c r="AR30" i="37"/>
  <c r="AS30" i="37"/>
  <c r="AI30" i="37"/>
  <c r="AI29" i="37"/>
  <c r="AR28" i="37"/>
  <c r="AS28" i="37"/>
  <c r="AI28" i="37"/>
  <c r="AR27" i="37"/>
  <c r="AS27" i="37"/>
  <c r="AI27" i="37"/>
  <c r="AI26" i="37"/>
  <c r="AR25" i="37"/>
  <c r="AS25" i="37"/>
  <c r="AI25" i="37"/>
  <c r="AI24" i="37"/>
  <c r="AI23" i="37"/>
  <c r="AI18" i="37"/>
  <c r="AI17" i="37"/>
  <c r="AI16" i="37"/>
  <c r="AI15" i="37"/>
  <c r="AI14" i="37"/>
  <c r="AI12" i="37"/>
  <c r="AR11" i="37"/>
  <c r="AS11" i="37"/>
  <c r="AI11" i="37"/>
  <c r="AR10" i="37"/>
  <c r="AS10" i="37"/>
  <c r="AI10" i="37"/>
  <c r="AR9" i="37"/>
  <c r="AS9" i="37"/>
  <c r="AI9" i="37"/>
  <c r="AI8" i="37"/>
  <c r="AI7" i="37"/>
  <c r="AI6" i="37"/>
  <c r="AR5" i="37"/>
  <c r="AS5" i="37"/>
  <c r="AI5" i="37"/>
  <c r="AR4" i="37"/>
  <c r="AS4" i="37"/>
  <c r="AI4" i="37"/>
  <c r="AI3" i="37"/>
  <c r="AR2" i="37"/>
  <c r="AS2" i="37"/>
  <c r="AI2" i="37"/>
  <c r="O223" i="39"/>
  <c r="P223" i="39"/>
  <c r="Q223" i="39"/>
  <c r="I153" i="39"/>
  <c r="Q64" i="39"/>
  <c r="C121" i="39"/>
  <c r="D136" i="39"/>
  <c r="B19" i="39"/>
  <c r="O121" i="39"/>
  <c r="H154" i="39"/>
  <c r="M136" i="39"/>
  <c r="I136" i="39"/>
  <c r="B137" i="39"/>
  <c r="L64" i="39"/>
  <c r="P137" i="39"/>
  <c r="G153" i="39"/>
  <c r="P154" i="39"/>
  <c r="D121" i="39"/>
  <c r="D154" i="39"/>
  <c r="L136" i="39"/>
  <c r="E120" i="39"/>
  <c r="M120" i="39"/>
  <c r="J121" i="39"/>
  <c r="E104" i="39"/>
  <c r="L120" i="39"/>
  <c r="L153" i="39"/>
  <c r="C153" i="39"/>
  <c r="I64" i="39"/>
  <c r="C136" i="39"/>
  <c r="H121" i="39"/>
  <c r="N153" i="39"/>
  <c r="N121" i="39"/>
  <c r="N136" i="39"/>
  <c r="N137" i="39"/>
  <c r="E153" i="39"/>
  <c r="M154" i="39"/>
  <c r="H137" i="39"/>
  <c r="I121" i="39"/>
  <c r="C89" i="39"/>
  <c r="L88" i="39"/>
  <c r="M89" i="39"/>
  <c r="E88" i="39"/>
  <c r="L104" i="39"/>
  <c r="K137" i="39"/>
  <c r="M137" i="39"/>
  <c r="M153" i="39"/>
  <c r="K89" i="39"/>
  <c r="L137" i="39"/>
  <c r="K120" i="39"/>
  <c r="K153" i="39"/>
  <c r="P153" i="39"/>
  <c r="H153" i="39"/>
  <c r="M104" i="39"/>
  <c r="I137" i="39"/>
  <c r="M178" i="39"/>
  <c r="M190" i="39"/>
  <c r="D120" i="39"/>
  <c r="L154" i="39"/>
  <c r="D137" i="39"/>
  <c r="E121" i="39"/>
  <c r="E137" i="39"/>
  <c r="Q154" i="39"/>
  <c r="I154" i="39"/>
  <c r="P121" i="39"/>
  <c r="Q137" i="39"/>
  <c r="L178" i="39"/>
  <c r="L190" i="39"/>
  <c r="C154" i="39"/>
  <c r="B88" i="39"/>
  <c r="D89" i="39"/>
  <c r="C104" i="39"/>
  <c r="C56" i="39"/>
  <c r="J104" i="39"/>
  <c r="I178" i="39"/>
  <c r="I190" i="39"/>
  <c r="Q178" i="39"/>
  <c r="Q190" i="39"/>
  <c r="B154" i="39"/>
  <c r="F105" i="39"/>
  <c r="J154" i="39"/>
  <c r="L121" i="39"/>
  <c r="P104" i="39"/>
  <c r="I89" i="39"/>
  <c r="Q22" i="39"/>
  <c r="I22" i="39"/>
  <c r="J136" i="39"/>
  <c r="L105" i="39"/>
  <c r="B120" i="39"/>
  <c r="D104" i="39"/>
  <c r="F88" i="39"/>
  <c r="F120" i="39"/>
  <c r="Q88" i="39"/>
  <c r="K104" i="39"/>
  <c r="K154" i="39"/>
  <c r="I104" i="39"/>
  <c r="Q105" i="39"/>
  <c r="O105" i="39"/>
  <c r="H105" i="39"/>
  <c r="N89" i="39"/>
  <c r="D105" i="39"/>
  <c r="N105" i="39"/>
  <c r="C137" i="39"/>
  <c r="K121" i="39"/>
  <c r="C120" i="39"/>
  <c r="K136" i="39"/>
  <c r="K88" i="39"/>
  <c r="Q121" i="39"/>
  <c r="I120" i="39"/>
  <c r="E23" i="39"/>
  <c r="N23" i="39"/>
  <c r="K56" i="39"/>
  <c r="L89" i="39"/>
  <c r="D88" i="39"/>
  <c r="J178" i="39"/>
  <c r="J190" i="39"/>
  <c r="B153" i="39"/>
  <c r="J120" i="39"/>
  <c r="J153" i="39"/>
  <c r="J137" i="39"/>
  <c r="J88" i="39"/>
  <c r="B89" i="39"/>
  <c r="Q43" i="41"/>
  <c r="F23" i="39"/>
  <c r="M23" i="39"/>
  <c r="D23" i="39"/>
  <c r="O23" i="39"/>
  <c r="F40" i="39"/>
  <c r="I23" i="39"/>
  <c r="B56" i="39"/>
  <c r="N178" i="39"/>
  <c r="N190" i="39"/>
  <c r="P178" i="39"/>
  <c r="P190" i="39"/>
  <c r="F89" i="39"/>
  <c r="F121" i="39"/>
  <c r="B121" i="39"/>
  <c r="B104" i="39"/>
  <c r="M121" i="39"/>
  <c r="E56" i="39"/>
  <c r="M22" i="39"/>
  <c r="N56" i="39"/>
  <c r="J23" i="39"/>
  <c r="Q23" i="39"/>
  <c r="Q104" i="39"/>
  <c r="Q120" i="39"/>
  <c r="H23" i="39"/>
  <c r="X18" i="41"/>
  <c r="G48" i="41"/>
  <c r="G49" i="41"/>
  <c r="O48" i="41"/>
  <c r="O49" i="41"/>
  <c r="K48" i="41"/>
  <c r="K49" i="41"/>
  <c r="H48" i="41"/>
  <c r="H49" i="41"/>
  <c r="L48" i="41"/>
  <c r="L49" i="41"/>
  <c r="J48" i="41"/>
  <c r="J49" i="41"/>
  <c r="M48" i="41"/>
  <c r="M49" i="41"/>
  <c r="N48" i="41"/>
  <c r="N49" i="41"/>
  <c r="E48" i="41"/>
  <c r="F48" i="41"/>
  <c r="F49" i="41"/>
  <c r="I48" i="41"/>
  <c r="I49" i="41"/>
  <c r="D48" i="41"/>
  <c r="D49" i="41"/>
  <c r="H136" i="39"/>
  <c r="P136" i="39"/>
  <c r="I105" i="39"/>
  <c r="G120" i="39"/>
  <c r="G104" i="39"/>
  <c r="G23" i="39"/>
  <c r="L56" i="39"/>
  <c r="O89" i="39"/>
  <c r="K178" i="39"/>
  <c r="K190" i="39"/>
  <c r="G178" i="39"/>
  <c r="G190" i="39"/>
  <c r="O178" i="39"/>
  <c r="O190" i="39"/>
  <c r="H178" i="39"/>
  <c r="H190" i="39"/>
  <c r="P120" i="39"/>
  <c r="H120" i="39"/>
  <c r="H56" i="39"/>
  <c r="G56" i="39"/>
  <c r="G154" i="39"/>
  <c r="O120" i="39"/>
  <c r="G89" i="39"/>
  <c r="G137" i="39"/>
  <c r="O154" i="39"/>
  <c r="O136" i="39"/>
  <c r="G121" i="39"/>
  <c r="F178" i="39"/>
  <c r="F217" i="39"/>
  <c r="J105" i="39"/>
  <c r="O22" i="39"/>
  <c r="Q56" i="39"/>
  <c r="J89" i="39"/>
  <c r="J56" i="39"/>
  <c r="F104" i="39"/>
  <c r="F137" i="39"/>
  <c r="F154" i="39"/>
  <c r="K62" i="39"/>
  <c r="X15" i="41"/>
  <c r="V21" i="41"/>
  <c r="P22" i="39"/>
  <c r="J40" i="39"/>
  <c r="O104" i="39"/>
  <c r="G105" i="39"/>
  <c r="J22" i="39"/>
  <c r="O40" i="39"/>
  <c r="I56" i="39"/>
  <c r="C22" i="39"/>
  <c r="F56" i="39"/>
  <c r="P88" i="39"/>
  <c r="N62" i="39"/>
  <c r="P23" i="39"/>
  <c r="D18" i="39"/>
  <c r="P56" i="39"/>
  <c r="J62" i="39"/>
  <c r="N40" i="39"/>
  <c r="L22" i="39"/>
  <c r="E18" i="39"/>
  <c r="D20" i="39"/>
  <c r="E19" i="39"/>
  <c r="M62" i="39"/>
  <c r="P115" i="37"/>
  <c r="H89" i="39"/>
  <c r="O56" i="39"/>
  <c r="P105" i="39"/>
  <c r="K22" i="39"/>
  <c r="E89" i="39"/>
  <c r="D173" i="39"/>
  <c r="M88" i="39"/>
  <c r="M56" i="39"/>
  <c r="C62" i="39"/>
  <c r="C64" i="39"/>
  <c r="K40" i="39"/>
  <c r="K105" i="39"/>
  <c r="E14" i="39"/>
  <c r="C105" i="39"/>
  <c r="E61" i="39"/>
  <c r="C40" i="39"/>
  <c r="H64" i="39"/>
  <c r="B165" i="39"/>
  <c r="B62" i="39"/>
  <c r="C88" i="39"/>
  <c r="J61" i="39"/>
  <c r="H104" i="39"/>
  <c r="B40" i="39"/>
  <c r="B61" i="39"/>
  <c r="F197" i="39"/>
  <c r="F189" i="39"/>
  <c r="P6" i="37"/>
  <c r="U142" i="37"/>
  <c r="U11" i="37"/>
  <c r="D22" i="39"/>
  <c r="B64" i="39"/>
  <c r="U212" i="37"/>
  <c r="E22" i="39"/>
  <c r="Q61" i="39"/>
  <c r="D171" i="39"/>
  <c r="C14" i="39"/>
  <c r="D20" i="41"/>
  <c r="F204" i="2"/>
  <c r="P62" i="39"/>
  <c r="I88" i="39"/>
  <c r="Q62" i="39"/>
  <c r="P40" i="39"/>
  <c r="M105" i="39"/>
  <c r="C23" i="39"/>
  <c r="C20" i="39"/>
  <c r="G62" i="39"/>
  <c r="E105" i="39"/>
  <c r="P154" i="37"/>
  <c r="D169" i="39"/>
  <c r="B14" i="39"/>
  <c r="B23" i="39"/>
  <c r="K64" i="39"/>
  <c r="G61" i="39"/>
  <c r="H22" i="39"/>
  <c r="F22" i="39"/>
  <c r="E20" i="39"/>
  <c r="E64" i="39"/>
  <c r="U134" i="37"/>
  <c r="F64" i="39"/>
  <c r="U183" i="37"/>
  <c r="E175" i="39"/>
  <c r="C165" i="39"/>
  <c r="G22" i="39"/>
  <c r="C173" i="39"/>
  <c r="B22" i="39"/>
  <c r="U75" i="37"/>
  <c r="CB267" i="37"/>
  <c r="C171" i="39"/>
  <c r="J20" i="39"/>
  <c r="E62" i="39"/>
  <c r="D62" i="39"/>
  <c r="D64" i="39"/>
  <c r="P17" i="41"/>
  <c r="F20" i="41"/>
  <c r="G64" i="39"/>
  <c r="H40" i="39"/>
  <c r="J14" i="39"/>
  <c r="G88" i="39"/>
  <c r="H61" i="39"/>
  <c r="G40" i="39"/>
  <c r="I40" i="39"/>
  <c r="O62" i="39"/>
  <c r="O88" i="39"/>
  <c r="O14" i="39"/>
  <c r="I62" i="39"/>
  <c r="K61" i="39"/>
  <c r="P89" i="39"/>
  <c r="H14" i="39"/>
  <c r="G14" i="39"/>
  <c r="P61" i="39"/>
  <c r="H88" i="39"/>
  <c r="Q89" i="39"/>
  <c r="O64" i="39"/>
  <c r="Q40" i="39"/>
  <c r="O61" i="39"/>
  <c r="Q14" i="39"/>
  <c r="H62" i="39"/>
  <c r="L23" i="39"/>
  <c r="K23" i="39"/>
  <c r="N22" i="39"/>
  <c r="N68" i="39"/>
  <c r="CB265" i="37"/>
  <c r="CA273" i="37"/>
  <c r="O68" i="39"/>
  <c r="P68" i="39"/>
  <c r="CA274" i="37"/>
  <c r="CB266" i="37"/>
  <c r="M68" i="39"/>
  <c r="F68" i="39"/>
  <c r="L68" i="39"/>
  <c r="G68" i="39"/>
  <c r="H68" i="39"/>
  <c r="N14" i="39"/>
  <c r="N61" i="39"/>
  <c r="K14" i="39"/>
  <c r="L62" i="39"/>
  <c r="D40" i="39"/>
  <c r="P14" i="39"/>
  <c r="B18" i="39"/>
  <c r="I61" i="39"/>
  <c r="C61" i="39"/>
  <c r="M64" i="39"/>
  <c r="Q20" i="39"/>
  <c r="K68" i="39"/>
  <c r="E40" i="39"/>
  <c r="I68" i="39"/>
  <c r="E171" i="39"/>
  <c r="M61" i="39"/>
  <c r="L40" i="39"/>
  <c r="M40" i="39"/>
  <c r="C18" i="39"/>
  <c r="F62" i="39"/>
  <c r="B171" i="39"/>
  <c r="M14" i="39"/>
  <c r="L14" i="39"/>
  <c r="D19" i="39"/>
  <c r="D56" i="39"/>
  <c r="U6" i="37"/>
  <c r="CA264" i="37"/>
  <c r="F61" i="39"/>
  <c r="I14" i="39"/>
  <c r="B21" i="39"/>
  <c r="D61" i="39"/>
  <c r="E174" i="39"/>
  <c r="C166" i="39"/>
  <c r="F14" i="39"/>
  <c r="L61" i="39"/>
  <c r="D14" i="39"/>
  <c r="B173" i="39"/>
  <c r="G20" i="41"/>
  <c r="E20" i="41"/>
  <c r="I18" i="41"/>
  <c r="J18" i="41"/>
  <c r="K18" i="41"/>
  <c r="L18" i="41"/>
  <c r="M18" i="41"/>
  <c r="N18" i="41"/>
  <c r="O18" i="41"/>
  <c r="O20" i="41"/>
  <c r="H20" i="41"/>
  <c r="X19" i="41"/>
  <c r="X14" i="41"/>
  <c r="X17" i="41"/>
  <c r="X12" i="41"/>
  <c r="X13" i="41"/>
  <c r="X11" i="41"/>
  <c r="X16" i="41"/>
  <c r="M192" i="39"/>
  <c r="M195" i="39"/>
  <c r="L192" i="39"/>
  <c r="L195" i="39"/>
  <c r="N70" i="39"/>
  <c r="J192" i="39"/>
  <c r="J195" i="39"/>
  <c r="Q192" i="39"/>
  <c r="Q195" i="39"/>
  <c r="I192" i="39"/>
  <c r="I195" i="39"/>
  <c r="I217" i="39"/>
  <c r="I70" i="39"/>
  <c r="Q69" i="39"/>
  <c r="E69" i="39"/>
  <c r="F24" i="39"/>
  <c r="D69" i="39"/>
  <c r="Q48" i="41"/>
  <c r="E49" i="41"/>
  <c r="R48" i="41"/>
  <c r="M70" i="39"/>
  <c r="O24" i="39"/>
  <c r="I24" i="39"/>
  <c r="I69" i="39"/>
  <c r="C63" i="39"/>
  <c r="C169" i="39"/>
  <c r="C178" i="39"/>
  <c r="C192" i="39"/>
  <c r="N192" i="39"/>
  <c r="N195" i="39"/>
  <c r="P192" i="39"/>
  <c r="P195" i="39"/>
  <c r="M24" i="39"/>
  <c r="M69" i="39"/>
  <c r="J69" i="39"/>
  <c r="Q70" i="39"/>
  <c r="H69" i="39"/>
  <c r="K192" i="39"/>
  <c r="K195" i="39"/>
  <c r="D21" i="41"/>
  <c r="H217" i="39"/>
  <c r="O21" i="41"/>
  <c r="P48" i="41"/>
  <c r="F21" i="41"/>
  <c r="O192" i="39"/>
  <c r="O195" i="39"/>
  <c r="G217" i="39"/>
  <c r="K63" i="39"/>
  <c r="O70" i="39"/>
  <c r="G192" i="39"/>
  <c r="G195" i="39"/>
  <c r="G24" i="39"/>
  <c r="H192" i="39"/>
  <c r="H195" i="39"/>
  <c r="F190" i="39"/>
  <c r="F192" i="39"/>
  <c r="F195" i="39"/>
  <c r="B169" i="39"/>
  <c r="B178" i="39"/>
  <c r="B192" i="39"/>
  <c r="E169" i="39"/>
  <c r="E178" i="39"/>
  <c r="E217" i="39"/>
  <c r="O69" i="39"/>
  <c r="P69" i="39"/>
  <c r="P24" i="39"/>
  <c r="K24" i="39"/>
  <c r="P70" i="39"/>
  <c r="L69" i="39"/>
  <c r="J24" i="39"/>
  <c r="E68" i="39"/>
  <c r="D70" i="39"/>
  <c r="N63" i="39"/>
  <c r="F70" i="39"/>
  <c r="C69" i="39"/>
  <c r="J63" i="39"/>
  <c r="D178" i="39"/>
  <c r="D192" i="39"/>
  <c r="E63" i="39"/>
  <c r="M63" i="39"/>
  <c r="B63" i="39"/>
  <c r="P63" i="39"/>
  <c r="H70" i="39"/>
  <c r="J70" i="39"/>
  <c r="H24" i="39"/>
  <c r="E70" i="39"/>
  <c r="D24" i="39"/>
  <c r="Q63" i="39"/>
  <c r="B69" i="39"/>
  <c r="J68" i="39"/>
  <c r="G63" i="39"/>
  <c r="G70" i="39"/>
  <c r="E24" i="39"/>
  <c r="O63" i="39"/>
  <c r="K69" i="39"/>
  <c r="K70" i="39"/>
  <c r="F69" i="39"/>
  <c r="N69" i="39"/>
  <c r="G69" i="39"/>
  <c r="D63" i="39"/>
  <c r="H63" i="39"/>
  <c r="I63" i="39"/>
  <c r="M20" i="41"/>
  <c r="M21" i="41"/>
  <c r="J20" i="41"/>
  <c r="J21" i="41"/>
  <c r="L70" i="39"/>
  <c r="N24" i="39"/>
  <c r="L24" i="39"/>
  <c r="L63" i="39"/>
  <c r="BZ285" i="37"/>
  <c r="F63" i="39"/>
  <c r="B68" i="39"/>
  <c r="B70" i="39"/>
  <c r="B24" i="39"/>
  <c r="Q68" i="39"/>
  <c r="D68" i="39"/>
  <c r="C68" i="39"/>
  <c r="C70" i="39"/>
  <c r="C24" i="39"/>
  <c r="Q24" i="39"/>
  <c r="G21" i="41"/>
  <c r="H86" i="41"/>
  <c r="H88" i="41"/>
  <c r="K20" i="41"/>
  <c r="E86" i="41"/>
  <c r="E88" i="41"/>
  <c r="E90" i="41"/>
  <c r="E21" i="41"/>
  <c r="F86" i="41"/>
  <c r="F88" i="41"/>
  <c r="G86" i="41"/>
  <c r="G88" i="41"/>
  <c r="H21" i="41"/>
  <c r="W21" i="41"/>
  <c r="L20" i="41"/>
  <c r="N20" i="41"/>
  <c r="I20" i="41"/>
  <c r="Q28" i="41"/>
  <c r="R29" i="41"/>
  <c r="Q20" i="41"/>
  <c r="P20" i="41"/>
  <c r="R49" i="41"/>
  <c r="Q49" i="41"/>
  <c r="P49" i="41"/>
  <c r="N86" i="41"/>
  <c r="N88" i="41"/>
  <c r="K86" i="41"/>
  <c r="K88" i="41"/>
  <c r="E192" i="39"/>
  <c r="E195" i="39"/>
  <c r="L21" i="41"/>
  <c r="M86" i="41"/>
  <c r="M88" i="41"/>
  <c r="I21" i="41"/>
  <c r="J86" i="41"/>
  <c r="J88" i="41"/>
  <c r="K21" i="41"/>
  <c r="L86" i="41"/>
  <c r="L88" i="41"/>
  <c r="L90" i="41"/>
  <c r="N21" i="41"/>
  <c r="O86" i="41"/>
  <c r="O88" i="41"/>
  <c r="I86" i="41"/>
  <c r="I88" i="41"/>
  <c r="P21" i="41"/>
  <c r="Q21" i="41"/>
  <c r="AQ34" i="50"/>
  <c r="V12" i="50"/>
  <c r="V11" i="50"/>
</calcChain>
</file>

<file path=xl/comments1.xml><?xml version="1.0" encoding="utf-8"?>
<comments xmlns="http://schemas.openxmlformats.org/spreadsheetml/2006/main">
  <authors>
    <author>Drouillard Marie</author>
  </authors>
  <commentList>
    <comment ref="D28" authorId="0" shapeId="0">
      <text>
        <r>
          <rPr>
            <b/>
            <sz val="9"/>
            <color indexed="81"/>
            <rFont val="Tahoma"/>
            <family val="2"/>
          </rPr>
          <t>Drouillard Marie:</t>
        </r>
        <r>
          <rPr>
            <sz val="9"/>
            <color indexed="81"/>
            <rFont val="Tahoma"/>
            <family val="2"/>
          </rPr>
          <t xml:space="preserve">
&gt;0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</rPr>
          <t>Drouillard Marie:</t>
        </r>
        <r>
          <rPr>
            <sz val="9"/>
            <color indexed="81"/>
            <rFont val="Tahoma"/>
            <family val="2"/>
          </rPr>
          <t xml:space="preserve">
Agora</t>
        </r>
      </text>
    </comment>
    <comment ref="E58" authorId="0" shapeId="0">
      <text>
        <r>
          <rPr>
            <b/>
            <sz val="9"/>
            <color indexed="81"/>
            <rFont val="Tahoma"/>
            <family val="2"/>
          </rPr>
          <t>Drouillard Marie:</t>
        </r>
        <r>
          <rPr>
            <sz val="9"/>
            <color indexed="81"/>
            <rFont val="Tahoma"/>
            <family val="2"/>
          </rPr>
          <t xml:space="preserve">
Van Swygenhoven</t>
        </r>
      </text>
    </comment>
    <comment ref="E59" authorId="0" shapeId="0">
      <text>
        <r>
          <rPr>
            <b/>
            <sz val="9"/>
            <color indexed="81"/>
            <rFont val="Tahoma"/>
            <family val="2"/>
          </rPr>
          <t>Drouillard Marie:</t>
        </r>
        <r>
          <rPr>
            <sz val="9"/>
            <color indexed="81"/>
            <rFont val="Tahoma"/>
            <family val="2"/>
          </rPr>
          <t xml:space="preserve">
Bourlard</t>
        </r>
      </text>
    </comment>
  </commentList>
</comments>
</file>

<file path=xl/comments2.xml><?xml version="1.0" encoding="utf-8"?>
<comments xmlns="http://schemas.openxmlformats.org/spreadsheetml/2006/main">
  <authors>
    <author>Drouillard Marie</author>
  </authors>
  <commentList>
    <comment ref="W29" authorId="0" shapeId="0">
      <text>
        <r>
          <rPr>
            <b/>
            <sz val="9"/>
            <color indexed="81"/>
            <rFont val="Tahoma"/>
            <family val="2"/>
          </rPr>
          <t>Drouillard Marie:</t>
        </r>
        <r>
          <rPr>
            <sz val="9"/>
            <color indexed="81"/>
            <rFont val="Tahoma"/>
            <family val="2"/>
          </rPr>
          <t xml:space="preserve">
voir lettre répartition STI-IC</t>
        </r>
      </text>
    </comment>
    <comment ref="H134" authorId="0" shapeId="0">
      <text>
        <r>
          <rPr>
            <b/>
            <sz val="9"/>
            <color indexed="81"/>
            <rFont val="Tahoma"/>
            <family val="2"/>
          </rPr>
          <t>Drouillard Marie:</t>
        </r>
        <r>
          <rPr>
            <sz val="9"/>
            <color indexed="81"/>
            <rFont val="Tahoma"/>
            <family val="2"/>
          </rPr>
          <t xml:space="preserve">
Elle était PT avant, mais elle a un deal de PA en 2017 qu'il faut traiter</t>
        </r>
      </text>
    </comment>
  </commentList>
</comments>
</file>

<file path=xl/comments3.xml><?xml version="1.0" encoding="utf-8"?>
<comments xmlns="http://schemas.openxmlformats.org/spreadsheetml/2006/main">
  <authors>
    <author>Drouillard Marie</author>
  </authors>
  <commentList>
    <comment ref="F189" authorId="0" shapeId="0">
      <text>
        <r>
          <rPr>
            <b/>
            <sz val="9"/>
            <color indexed="81"/>
            <rFont val="Tahoma"/>
            <family val="2"/>
          </rPr>
          <t>Drouillard Marie:</t>
        </r>
        <r>
          <rPr>
            <sz val="9"/>
            <color indexed="81"/>
            <rFont val="Tahoma"/>
            <family val="2"/>
          </rPr>
          <t xml:space="preserve">
A partir du budget 2019, sommes des unités admin</t>
        </r>
      </text>
    </comment>
  </commentList>
</comments>
</file>

<file path=xl/sharedStrings.xml><?xml version="1.0" encoding="utf-8"?>
<sst xmlns="http://schemas.openxmlformats.org/spreadsheetml/2006/main" count="26360" uniqueCount="3615">
  <si>
    <t>Nom</t>
  </si>
  <si>
    <t>AMINIAN</t>
  </si>
  <si>
    <t>AVELLAN</t>
  </si>
  <si>
    <t>BALLIF</t>
  </si>
  <si>
    <t>BILLARD</t>
  </si>
  <si>
    <t>BLEULER</t>
  </si>
  <si>
    <t>BOERO</t>
  </si>
  <si>
    <t>BONA</t>
  </si>
  <si>
    <t>BONVIN</t>
  </si>
  <si>
    <t>BORGEAUD</t>
  </si>
  <si>
    <t>BOTSIS</t>
  </si>
  <si>
    <t>BOURLARD</t>
  </si>
  <si>
    <t>BOWEN</t>
  </si>
  <si>
    <t>BRES</t>
  </si>
  <si>
    <t>BRUGGER</t>
  </si>
  <si>
    <t>BURG</t>
  </si>
  <si>
    <t>CEVHER</t>
  </si>
  <si>
    <t>CHARBON</t>
  </si>
  <si>
    <t>CHERKAOUI</t>
  </si>
  <si>
    <t>CLAVEL</t>
  </si>
  <si>
    <t>CURNIER</t>
  </si>
  <si>
    <t>CURTIN</t>
  </si>
  <si>
    <t>DAMJANOVIC</t>
  </si>
  <si>
    <t>DE MICHELI</t>
  </si>
  <si>
    <t>DE ROOIJ</t>
  </si>
  <si>
    <t>DEHOLLAIN</t>
  </si>
  <si>
    <t>EBRAHIMI</t>
  </si>
  <si>
    <t>ENZ</t>
  </si>
  <si>
    <t>FANTNER</t>
  </si>
  <si>
    <t>FARHAT</t>
  </si>
  <si>
    <t>FARINE</t>
  </si>
  <si>
    <t>FAVRAT</t>
  </si>
  <si>
    <t>FLEURET</t>
  </si>
  <si>
    <t>FLOREANO</t>
  </si>
  <si>
    <t>FONTCUBERTA I MORRAL</t>
  </si>
  <si>
    <t>FRAUENRATH</t>
  </si>
  <si>
    <t>FROSSARD</t>
  </si>
  <si>
    <t>GALLAIRE</t>
  </si>
  <si>
    <t>GASS</t>
  </si>
  <si>
    <t>GATICA-PEREZ</t>
  </si>
  <si>
    <t>GIJS</t>
  </si>
  <si>
    <t>GILLET</t>
  </si>
  <si>
    <t>GIOVANOLA</t>
  </si>
  <si>
    <t>GLARDON</t>
  </si>
  <si>
    <t>GMUR</t>
  </si>
  <si>
    <t>GRANDJEAN</t>
  </si>
  <si>
    <t>GUIDUCCI</t>
  </si>
  <si>
    <t>HEBERT</t>
  </si>
  <si>
    <t>HERZIG</t>
  </si>
  <si>
    <t>HOFFMANN</t>
  </si>
  <si>
    <t>HOFMANN</t>
  </si>
  <si>
    <t>HONGLER</t>
  </si>
  <si>
    <t>HUBBELL</t>
  </si>
  <si>
    <t>IJSPEERT</t>
  </si>
  <si>
    <t>IONESCU</t>
  </si>
  <si>
    <t>JACOT</t>
  </si>
  <si>
    <t>JACQUOT</t>
  </si>
  <si>
    <t>JOLLES-HAEBERLI</t>
  </si>
  <si>
    <t>JONES</t>
  </si>
  <si>
    <t>KAWKABANI</t>
  </si>
  <si>
    <t>KAYAL</t>
  </si>
  <si>
    <t>KIPPENBERG</t>
  </si>
  <si>
    <t>KIRITSIS</t>
  </si>
  <si>
    <t>KIS</t>
  </si>
  <si>
    <t>KLOK</t>
  </si>
  <si>
    <t>LACOUR</t>
  </si>
  <si>
    <t>LASSER</t>
  </si>
  <si>
    <t>LEBLEBICI</t>
  </si>
  <si>
    <t>LEMAITRE</t>
  </si>
  <si>
    <t>LETERRIER</t>
  </si>
  <si>
    <t>LEYVRAZ</t>
  </si>
  <si>
    <t>LIMBERGER</t>
  </si>
  <si>
    <t>LONGCHAMP</t>
  </si>
  <si>
    <t>MAERKL</t>
  </si>
  <si>
    <t>MANSON</t>
  </si>
  <si>
    <t>MARECHAL</t>
  </si>
  <si>
    <t>MARTIN</t>
  </si>
  <si>
    <t>MARZARI</t>
  </si>
  <si>
    <t>MATTAVELLI</t>
  </si>
  <si>
    <t>MICERA</t>
  </si>
  <si>
    <t>MICHAUD</t>
  </si>
  <si>
    <t>MILLÀN RUIZ</t>
  </si>
  <si>
    <t>MISCHLER</t>
  </si>
  <si>
    <t>MOLINARI</t>
  </si>
  <si>
    <t>MONDADA</t>
  </si>
  <si>
    <t>MORTENSEN</t>
  </si>
  <si>
    <t>MOSER</t>
  </si>
  <si>
    <t>MOSIG</t>
  </si>
  <si>
    <t>MURALT</t>
  </si>
  <si>
    <t>NICOLLIER</t>
  </si>
  <si>
    <t>ODOBEZ</t>
  </si>
  <si>
    <t>OTT</t>
  </si>
  <si>
    <t>PAIK</t>
  </si>
  <si>
    <t>PAOLONE</t>
  </si>
  <si>
    <t>PERRIARD</t>
  </si>
  <si>
    <t>PERRUISSEAU-CARRIER</t>
  </si>
  <si>
    <t>PIOLETTI</t>
  </si>
  <si>
    <t>PSALTIS</t>
  </si>
  <si>
    <t>RACHIDI-HAERI</t>
  </si>
  <si>
    <t>RADENOVIC</t>
  </si>
  <si>
    <t>RAPPAZ</t>
  </si>
  <si>
    <t>RENAUD</t>
  </si>
  <si>
    <t>ROKE</t>
  </si>
  <si>
    <t>RUFER</t>
  </si>
  <si>
    <t>RYSER</t>
  </si>
  <si>
    <t>SALLESE</t>
  </si>
  <si>
    <t>SAWLEY</t>
  </si>
  <si>
    <t>SCHMID</t>
  </si>
  <si>
    <t>SCRIVENER</t>
  </si>
  <si>
    <t>SEITZ</t>
  </si>
  <si>
    <t>SETTER</t>
  </si>
  <si>
    <t>SHEA</t>
  </si>
  <si>
    <t>SKRIVERVIK</t>
  </si>
  <si>
    <t>SPADONI</t>
  </si>
  <si>
    <t>STADELMANN</t>
  </si>
  <si>
    <t>STELLACCI</t>
  </si>
  <si>
    <t>STERGIOPULOS</t>
  </si>
  <si>
    <t>TAGANTSEV</t>
  </si>
  <si>
    <t>THEVENAZ</t>
  </si>
  <si>
    <t>THIRAN</t>
  </si>
  <si>
    <t>THOME</t>
  </si>
  <si>
    <t>UNSER</t>
  </si>
  <si>
    <t>VAN DE VILLE</t>
  </si>
  <si>
    <t>VAN DEN BERGH</t>
  </si>
  <si>
    <t>VAN HERLE</t>
  </si>
  <si>
    <t>VAN SWYGENHOVEN</t>
  </si>
  <si>
    <t>VANDERGHEYNST</t>
  </si>
  <si>
    <t>VESIN</t>
  </si>
  <si>
    <t>XIROUCHAKIS</t>
  </si>
  <si>
    <t>MER</t>
  </si>
  <si>
    <t>PB</t>
  </si>
  <si>
    <t>PT</t>
  </si>
  <si>
    <t>PTE</t>
  </si>
  <si>
    <t>PATT</t>
  </si>
  <si>
    <t>PA</t>
  </si>
  <si>
    <t>PO</t>
  </si>
  <si>
    <t>PH</t>
  </si>
  <si>
    <t>MER ext.</t>
  </si>
  <si>
    <t>-</t>
  </si>
  <si>
    <t>GAUMIER</t>
  </si>
  <si>
    <t>ATIENZA</t>
  </si>
  <si>
    <t>DEPEURSINGE</t>
  </si>
  <si>
    <t>FAZAN</t>
  </si>
  <si>
    <t>MATHIEU</t>
  </si>
  <si>
    <t>NUESCH</t>
  </si>
  <si>
    <t>SIEGWART</t>
  </si>
  <si>
    <t>ZUPPIROLI</t>
  </si>
  <si>
    <t>DECLERCQ</t>
  </si>
  <si>
    <t>KUNT</t>
  </si>
  <si>
    <t>GERMOND</t>
  </si>
  <si>
    <t>JUFER</t>
  </si>
  <si>
    <t>MONKEWITZ</t>
  </si>
  <si>
    <t>DEVILLE</t>
  </si>
  <si>
    <t>SIMOND</t>
  </si>
  <si>
    <t>Total</t>
  </si>
  <si>
    <t>POPOVIC</t>
  </si>
  <si>
    <t>SALATHE</t>
  </si>
  <si>
    <t>KAXIRAS</t>
  </si>
  <si>
    <t>LEYLAND</t>
  </si>
  <si>
    <t>STOLICHNOV</t>
  </si>
  <si>
    <t>DE WECK</t>
  </si>
  <si>
    <t>Full Professors (PO)</t>
  </si>
  <si>
    <t>Associate Professors (PA)</t>
  </si>
  <si>
    <t>Tenure Track Assistant Professor (PATT) &amp; PBFN</t>
  </si>
  <si>
    <t>Total Faculty Members</t>
  </si>
  <si>
    <t>ALTUG</t>
  </si>
  <si>
    <t>HENEIN</t>
  </si>
  <si>
    <t>SCHIFFMANN</t>
  </si>
  <si>
    <t>SCHNEIDER</t>
  </si>
  <si>
    <t>HAUSSENER</t>
  </si>
  <si>
    <t>SORIN</t>
  </si>
  <si>
    <t>Sexe</t>
  </si>
  <si>
    <t>F</t>
  </si>
  <si>
    <t>H</t>
  </si>
  <si>
    <t>ALL</t>
  </si>
  <si>
    <t>WOMEN</t>
  </si>
  <si>
    <t>MEN</t>
  </si>
  <si>
    <t>SHAH</t>
  </si>
  <si>
    <t>ROSSI</t>
  </si>
  <si>
    <t>PO/PA/PATT</t>
  </si>
  <si>
    <t>Women (PO/PA/PATT)</t>
  </si>
  <si>
    <t>SWARTZ</t>
  </si>
  <si>
    <t>HESSLER-WYSER</t>
  </si>
  <si>
    <t>CERIOTTI</t>
  </si>
  <si>
    <t>DREZET</t>
  </si>
  <si>
    <t>CF</t>
  </si>
  <si>
    <t>% Women (PO/PA/PATT)</t>
  </si>
  <si>
    <t>% Women (PATT)</t>
  </si>
  <si>
    <t>Date de naissance</t>
  </si>
  <si>
    <t>DANDLIKER</t>
  </si>
  <si>
    <t>KURZ</t>
  </si>
  <si>
    <t>LANDOLT</t>
  </si>
  <si>
    <t>MLYNEK</t>
  </si>
  <si>
    <t>PELLANDINI</t>
  </si>
  <si>
    <t>ROBERT</t>
  </si>
  <si>
    <t>sciper</t>
  </si>
  <si>
    <t>IEL</t>
  </si>
  <si>
    <t>IGM</t>
  </si>
  <si>
    <t>IMT</t>
  </si>
  <si>
    <t>CTS</t>
  </si>
  <si>
    <t>IMX</t>
  </si>
  <si>
    <t>IBI</t>
  </si>
  <si>
    <t>Institute</t>
  </si>
  <si>
    <t>AMSTAD</t>
  </si>
  <si>
    <t>DUJIC</t>
  </si>
  <si>
    <t>LOGE</t>
  </si>
  <si>
    <t>SCHARF</t>
  </si>
  <si>
    <t>Total Faculty</t>
  </si>
  <si>
    <t>PT/MER/PB</t>
  </si>
  <si>
    <t>VILLANUEVA</t>
  </si>
  <si>
    <t>Date de retraite</t>
  </si>
  <si>
    <t>CORREIA</t>
  </si>
  <si>
    <t>LUTOLF</t>
  </si>
  <si>
    <t>WEBER</t>
  </si>
  <si>
    <t>BELLOUARD</t>
  </si>
  <si>
    <t>MULLENERS</t>
  </si>
  <si>
    <t>GHEZZI</t>
  </si>
  <si>
    <t>GRUNDLER</t>
  </si>
  <si>
    <t>MATIOLI</t>
  </si>
  <si>
    <t>QUACK</t>
  </si>
  <si>
    <t>FLEURY</t>
  </si>
  <si>
    <t>SAKAR</t>
  </si>
  <si>
    <t>TILELI</t>
  </si>
  <si>
    <t>BASTINGS</t>
  </si>
  <si>
    <t>TANG</t>
  </si>
  <si>
    <t>co-affiliation</t>
  </si>
  <si>
    <t>IBI-STI</t>
  </si>
  <si>
    <t>CARRARA</t>
  </si>
  <si>
    <t>HAUG</t>
  </si>
  <si>
    <t>FERRARI-TRECATE</t>
  </si>
  <si>
    <t>BOURBAN</t>
  </si>
  <si>
    <t>KOLINSKI</t>
  </si>
  <si>
    <t>Année d'arrivée</t>
  </si>
  <si>
    <t>Titre when hired</t>
  </si>
  <si>
    <t>BRIAND</t>
  </si>
  <si>
    <t>GAUTSCH</t>
  </si>
  <si>
    <t>KARIMI</t>
  </si>
  <si>
    <t>SAYED</t>
  </si>
  <si>
    <t>SMIT</t>
  </si>
  <si>
    <t>CSS</t>
  </si>
  <si>
    <t>REIS</t>
  </si>
  <si>
    <t>date 
PA</t>
  </si>
  <si>
    <t>date 
PO</t>
  </si>
  <si>
    <t>date 
PATT</t>
  </si>
  <si>
    <t>2007</t>
  </si>
  <si>
    <t>MOLL</t>
  </si>
  <si>
    <t>date
CSS</t>
  </si>
  <si>
    <t>date
MER</t>
  </si>
  <si>
    <t>date
MER Ext</t>
  </si>
  <si>
    <t>date
PB</t>
  </si>
  <si>
    <t>date
PT</t>
  </si>
  <si>
    <t>date
PTE</t>
  </si>
  <si>
    <t>date
Ass.</t>
  </si>
  <si>
    <t>SUBRAMANIAN</t>
  </si>
  <si>
    <t>Senior Scientists (MER + ext)</t>
  </si>
  <si>
    <t>Adjunct Professor (PT + PTE)</t>
  </si>
  <si>
    <t>dateEstim
MER</t>
  </si>
  <si>
    <t>dateEstim
MER Ext</t>
  </si>
  <si>
    <t>dateEstim
PB</t>
  </si>
  <si>
    <t>dateEstim
PT</t>
  </si>
  <si>
    <t>dateEstim
PTE</t>
  </si>
  <si>
    <t>dateEstim 
PATT</t>
  </si>
  <si>
    <t>dateEstim
Ass.</t>
  </si>
  <si>
    <t>dateEstim 
PA</t>
  </si>
  <si>
    <t>dateEstim 
PO</t>
  </si>
  <si>
    <t>TAGLIABUE</t>
  </si>
  <si>
    <t>datePrev
PO</t>
  </si>
  <si>
    <t>date PA retenue</t>
  </si>
  <si>
    <t>COUT</t>
  </si>
  <si>
    <t>Fonction support</t>
  </si>
  <si>
    <t>Grand total</t>
  </si>
  <si>
    <t>Borne</t>
  </si>
  <si>
    <t>indépendant</t>
  </si>
  <si>
    <t>dans budget</t>
  </si>
  <si>
    <t>année sortie</t>
  </si>
  <si>
    <t>nb nv PATT</t>
  </si>
  <si>
    <t>Admin</t>
  </si>
  <si>
    <t>AE/AC</t>
  </si>
  <si>
    <t>Ateliers</t>
  </si>
  <si>
    <t>DLL</t>
  </si>
  <si>
    <t>Lab</t>
  </si>
  <si>
    <t>STI-FORM</t>
  </si>
  <si>
    <t>Centres</t>
  </si>
  <si>
    <t>ecart</t>
  </si>
  <si>
    <t>Initiatives / committed funds</t>
  </si>
  <si>
    <t>Sections</t>
  </si>
  <si>
    <t>Institutes</t>
  </si>
  <si>
    <t>GR-SCI</t>
  </si>
  <si>
    <t>AE-AC</t>
  </si>
  <si>
    <t>TOTAL</t>
  </si>
  <si>
    <t>total</t>
  </si>
  <si>
    <t>coupe</t>
  </si>
  <si>
    <t>CERRUTTI</t>
  </si>
  <si>
    <t>CDI</t>
  </si>
  <si>
    <t>Sponsoring</t>
  </si>
  <si>
    <t>Modif budget</t>
  </si>
  <si>
    <t>Année modif</t>
  </si>
  <si>
    <t>Budget initial</t>
  </si>
  <si>
    <t>date relai sponsoring</t>
  </si>
  <si>
    <t>DENEREAZ</t>
  </si>
  <si>
    <t>BOEHM-COURJAULT</t>
  </si>
  <si>
    <t>COSTARELLA</t>
  </si>
  <si>
    <t>DIAS</t>
  </si>
  <si>
    <t>SOFIA-GABRION</t>
  </si>
  <si>
    <t>LAB</t>
  </si>
  <si>
    <t>Total Lab</t>
  </si>
  <si>
    <t>Institut</t>
  </si>
  <si>
    <t>Taux</t>
  </si>
  <si>
    <t>KOUKAB</t>
  </si>
  <si>
    <t>RENAUD - 1036</t>
  </si>
  <si>
    <t>CENTRES</t>
  </si>
  <si>
    <t>xxxxxx</t>
  </si>
  <si>
    <t>DEC</t>
  </si>
  <si>
    <t>BOURBAN - 490</t>
  </si>
  <si>
    <t>BOURBAN - 491</t>
  </si>
  <si>
    <t>BOURBAN - 492</t>
  </si>
  <si>
    <t>FERROT</t>
  </si>
  <si>
    <t>218963</t>
  </si>
  <si>
    <t>SGM</t>
  </si>
  <si>
    <t>SIERRO</t>
  </si>
  <si>
    <t>ALLENBACH</t>
  </si>
  <si>
    <t>RENAUD Alain</t>
  </si>
  <si>
    <t>CUGNONI</t>
  </si>
  <si>
    <t>HAUSER</t>
  </si>
  <si>
    <t>Meinen Cédric</t>
  </si>
  <si>
    <t>123941</t>
  </si>
  <si>
    <t>Germano Paolo</t>
  </si>
  <si>
    <t>Koechli Christian</t>
  </si>
  <si>
    <t>105228</t>
  </si>
  <si>
    <t>105563</t>
  </si>
  <si>
    <t>CHARVET - 825</t>
  </si>
  <si>
    <t>CHARVET - 841</t>
  </si>
  <si>
    <t>Amacher Robin</t>
  </si>
  <si>
    <t>118771</t>
  </si>
  <si>
    <t>DALANG Marie-Alix</t>
  </si>
  <si>
    <t>115023</t>
  </si>
  <si>
    <t>à enlever du 383</t>
  </si>
  <si>
    <t>Chavarriaga Lozano Ricardo</t>
  </si>
  <si>
    <t>137762</t>
  </si>
  <si>
    <t>Burnier Daniel</t>
  </si>
  <si>
    <t>114980</t>
  </si>
  <si>
    <t>141041</t>
  </si>
  <si>
    <t>Sage Daniel</t>
  </si>
  <si>
    <t>115533</t>
  </si>
  <si>
    <t>Thévenaz Philippe</t>
  </si>
  <si>
    <t>115226</t>
  </si>
  <si>
    <t>Pu Ye</t>
  </si>
  <si>
    <t>188551</t>
  </si>
  <si>
    <t>Bertsch Arnaud</t>
  </si>
  <si>
    <t>113143</t>
  </si>
  <si>
    <t>Van Lintel Harald</t>
  </si>
  <si>
    <t>117098</t>
  </si>
  <si>
    <t>Lehnert Thomas</t>
  </si>
  <si>
    <t>113381</t>
  </si>
  <si>
    <t>Parashar Virendra Kumar</t>
  </si>
  <si>
    <t>145754</t>
  </si>
  <si>
    <t>Sayah Abdeljalil</t>
  </si>
  <si>
    <t>110149</t>
  </si>
  <si>
    <t>Groccia Marcel</t>
  </si>
  <si>
    <t>190050</t>
  </si>
  <si>
    <t>Philipoussis Fernandez Irène</t>
  </si>
  <si>
    <t>190065</t>
  </si>
  <si>
    <t>Bigler Stéphane</t>
  </si>
  <si>
    <t>184350</t>
  </si>
  <si>
    <t>Ionescu Anisoara</t>
  </si>
  <si>
    <t>134518</t>
  </si>
  <si>
    <t>Morel Pascal</t>
  </si>
  <si>
    <t>105907</t>
  </si>
  <si>
    <t>soutien STI 100% Bowen (Scrivener F0851)</t>
  </si>
  <si>
    <t>soutien STI 50% Plummer (Frauenrath F0826)</t>
  </si>
  <si>
    <t>soutien STI 30% Boillat (Logé F0813)</t>
  </si>
  <si>
    <t>soutien STI 50% Boero (Brugger F1035)</t>
  </si>
  <si>
    <t>soutien STI 75% Agbeviade (Schiffmann F0320)</t>
  </si>
  <si>
    <t>Labs</t>
  </si>
  <si>
    <t>Faculty</t>
  </si>
  <si>
    <t>Total Support</t>
  </si>
  <si>
    <t>écart</t>
  </si>
  <si>
    <t>Comparaison des scénarios pour établir le budget</t>
  </si>
  <si>
    <t>S0</t>
  </si>
  <si>
    <t>Stratégie actuelle STI</t>
  </si>
  <si>
    <t>#</t>
  </si>
  <si>
    <t>kCHF</t>
  </si>
  <si>
    <t>Définition des scénarios UNIQUEMENT POUR LES LABOS</t>
  </si>
  <si>
    <t>S0 - PATT/PA/PO</t>
  </si>
  <si>
    <t>S0 - PB/PT/MER</t>
  </si>
  <si>
    <t>S0 - résidus retraites</t>
  </si>
  <si>
    <t>CDI - admin</t>
  </si>
  <si>
    <t>date fermeture labo</t>
  </si>
  <si>
    <t>CDI - labo</t>
  </si>
  <si>
    <t>CDI - à charge</t>
  </si>
  <si>
    <t>S0 - cdi (dans labos)</t>
  </si>
  <si>
    <t>S0 - cdi (à charge faculté)</t>
  </si>
  <si>
    <t>S0 - budget faculté</t>
  </si>
  <si>
    <t>Salaires unités admin</t>
  </si>
  <si>
    <t>S0 - autres</t>
  </si>
  <si>
    <t>Répartition du budget 2019 par point de dépenses</t>
  </si>
  <si>
    <t>CHF</t>
  </si>
  <si>
    <t>Laboratories</t>
  </si>
  <si>
    <t>Dean's office + IT</t>
  </si>
  <si>
    <t>Other expenses</t>
  </si>
  <si>
    <t>%</t>
  </si>
  <si>
    <t>2018 STI Budget</t>
  </si>
  <si>
    <t>Independent scientists</t>
  </si>
  <si>
    <t>Approved initiatives</t>
  </si>
  <si>
    <t>Mechanical workshops</t>
  </si>
  <si>
    <t>VACHOUX</t>
  </si>
  <si>
    <t>new</t>
  </si>
  <si>
    <t>old</t>
  </si>
  <si>
    <t>From PATT to PA</t>
  </si>
  <si>
    <t>years</t>
  </si>
  <si>
    <t>months</t>
  </si>
  <si>
    <t>From PA to PO</t>
  </si>
  <si>
    <t>Age when hired</t>
  </si>
  <si>
    <t>year</t>
  </si>
  <si>
    <t>New hires scenarios - (starts at 01.01.20xx)</t>
  </si>
  <si>
    <t>in School of Engineering</t>
  </si>
  <si>
    <t>Simulations of budget evolution and Faculty members</t>
  </si>
  <si>
    <r>
      <t xml:space="preserve">Standard </t>
    </r>
    <r>
      <rPr>
        <b/>
        <sz val="10"/>
        <color theme="1"/>
        <rFont val="Calibri"/>
        <family val="2"/>
        <scheme val="minor"/>
      </rPr>
      <t>ABD</t>
    </r>
    <r>
      <rPr>
        <sz val="10"/>
        <color theme="1"/>
        <rFont val="Calibri"/>
        <family val="2"/>
        <scheme val="minor"/>
      </rPr>
      <t xml:space="preserve"> Budget*</t>
    </r>
  </si>
  <si>
    <t>*: social charges at 22.5%</t>
  </si>
  <si>
    <t>Hypothesis for promotion period</t>
  </si>
  <si>
    <t>Budget allocation strategy</t>
  </si>
  <si>
    <t>Promotion scenario</t>
  </si>
  <si>
    <t>Budget decreasing before retiring</t>
  </si>
  <si>
    <t>PhD (55k) p.a. for</t>
  </si>
  <si>
    <t>Results</t>
  </si>
  <si>
    <t>Bucher Céric</t>
  </si>
  <si>
    <t>Dunand Sylvain</t>
  </si>
  <si>
    <t>Niquille Xavier</t>
  </si>
  <si>
    <t>189998</t>
  </si>
  <si>
    <t>190029</t>
  </si>
  <si>
    <t>Jaccoud Sandra</t>
  </si>
  <si>
    <t>Crespi Alessandro</t>
  </si>
  <si>
    <t>Leran Jean-Baptiste</t>
  </si>
  <si>
    <t>Ong Khac, Quy</t>
  </si>
  <si>
    <t>Bouri Mohamed - 888 - 20% STI</t>
  </si>
  <si>
    <t>BOURBAN - 493</t>
  </si>
  <si>
    <t>CDI à charge à déduire des unités admin</t>
  </si>
  <si>
    <t>Baur Charles - F1039 - 20% STI</t>
  </si>
  <si>
    <t>PLUMMER - 50% STI</t>
  </si>
  <si>
    <t>Boillat - F0813 - 30% STI</t>
  </si>
  <si>
    <t>BOERO - F1035 - 50% STI</t>
  </si>
  <si>
    <t>Agbeviade - F0320 - 75-50% STI</t>
  </si>
  <si>
    <t>Somme admin</t>
  </si>
  <si>
    <t>Description</t>
  </si>
  <si>
    <t>PATT-PA y</t>
  </si>
  <si>
    <t>PATT-PA m</t>
  </si>
  <si>
    <t>PA-PO y</t>
  </si>
  <si>
    <t>PA-PO m</t>
  </si>
  <si>
    <t>Budget PATT</t>
  </si>
  <si>
    <t>Budget PA</t>
  </si>
  <si>
    <t>Budget PO</t>
  </si>
  <si>
    <t>2019 STI Budget</t>
  </si>
  <si>
    <t>NEW PA - 2020</t>
  </si>
  <si>
    <t>01.01.2020</t>
  </si>
  <si>
    <t>Gap /STI budget</t>
  </si>
  <si>
    <t>salaries increase 0.8% / AGORA / social charges 22.5%</t>
  </si>
  <si>
    <t>S0 - nombre de Profs</t>
  </si>
  <si>
    <t>Social charges at 22.5%</t>
  </si>
  <si>
    <t>Warning</t>
  </si>
  <si>
    <t>- Profs. Leblebici and Millan not replaced</t>
  </si>
  <si>
    <t>- the cut could be absorbed with the reserves or a lighter use of B envelope</t>
  </si>
  <si>
    <t>- Agora -&gt; PA should be intagrated on 01.09.2019, but will be integrated on 01.01.2020 to have a reference year</t>
  </si>
  <si>
    <t>- the offer will be respected for 3 years</t>
  </si>
  <si>
    <t>mCHF</t>
  </si>
  <si>
    <t>Budget evol. (%)</t>
  </si>
  <si>
    <t>A</t>
  </si>
  <si>
    <t>B</t>
  </si>
  <si>
    <t>Type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</si>
  <si>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</si>
  <si>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</si>
  <si>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</si>
  <si>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</si>
  <si>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</si>
  <si>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</si>
  <si>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</si>
  <si>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</si>
  <si>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</si>
  <si>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2029</t>
  </si>
  <si>
    <t>2030</t>
  </si>
  <si>
    <t>Atelier</t>
  </si>
  <si>
    <t>Decanat</t>
  </si>
  <si>
    <t>Section</t>
  </si>
  <si>
    <t>Gain année retraite</t>
  </si>
  <si>
    <t>Gain annuel : attention, décalage d'une année à faire</t>
  </si>
  <si>
    <t>Gain lié à la retraite du personnel administratif</t>
  </si>
  <si>
    <t>S0 - run strategy</t>
  </si>
  <si>
    <t>S0 - run strategy - retirement</t>
  </si>
  <si>
    <t>NB: put an x in column S to delete the simulation</t>
  </si>
  <si>
    <t>Admin retirement reduction</t>
  </si>
  <si>
    <t>Analyse pour VPFI</t>
  </si>
  <si>
    <t>Promotion PATT-PA</t>
  </si>
  <si>
    <t>Promotion PA-PO</t>
  </si>
  <si>
    <t>Fin chaires sponsorisées</t>
  </si>
  <si>
    <t>CDI à charge</t>
  </si>
  <si>
    <t>Nouvelle embauche</t>
  </si>
  <si>
    <t>Type CHF</t>
  </si>
  <si>
    <t>Départ PATT/PA/PO</t>
  </si>
  <si>
    <t>Resultat simul</t>
  </si>
  <si>
    <t>Promotion PATT</t>
  </si>
  <si>
    <t>écart mCHF</t>
  </si>
  <si>
    <t>Budget</t>
  </si>
  <si>
    <t>etape 1</t>
  </si>
  <si>
    <t>etape 2</t>
  </si>
  <si>
    <t>Avellan</t>
  </si>
  <si>
    <t>gain</t>
  </si>
  <si>
    <t>retraite</t>
  </si>
  <si>
    <t>2020-2024</t>
  </si>
  <si>
    <t>STI budget</t>
  </si>
  <si>
    <t>cumulatif</t>
  </si>
  <si>
    <t>Nb Départs PATT/PA/PO</t>
  </si>
  <si>
    <t>Départ CDI</t>
  </si>
  <si>
    <t>Départ MER/PT</t>
  </si>
  <si>
    <t>S0 - strategy until 2019 sans Admin retirement reduction - avec rplct par des PATT</t>
  </si>
  <si>
    <t>S0 - strategy until 2019 sans Admin retirement reduction - sans remplacement</t>
  </si>
  <si>
    <t>S0 - strategy until 2019 avec Admin retirement reduction - sans remplcmt</t>
  </si>
  <si>
    <t>S0 - strategy until 2019 avec Admin retirement reduction - avec rplct par des PATT</t>
  </si>
  <si>
    <t>S1 - palier à la moyenne - sans admin reduction - sans remplacment</t>
  </si>
  <si>
    <t>actuel</t>
  </si>
  <si>
    <t>moyen</t>
  </si>
  <si>
    <t>coupé</t>
  </si>
  <si>
    <t>En ETP</t>
  </si>
  <si>
    <t>S0-S3</t>
  </si>
  <si>
    <t>S4</t>
  </si>
  <si>
    <t>S5</t>
  </si>
  <si>
    <t>2020-230</t>
  </si>
  <si>
    <t>Impact chgmt stg</t>
  </si>
  <si>
    <t>2020-2030</t>
  </si>
  <si>
    <t>changement date de retratite Scrivener</t>
  </si>
  <si>
    <t>changement date de retratite Kayal</t>
  </si>
  <si>
    <t>Consolidation des reductions personnel admin</t>
  </si>
  <si>
    <t>hors part time</t>
  </si>
  <si>
    <t>Total hors atelier</t>
  </si>
  <si>
    <t>Moy 2020-2030</t>
  </si>
  <si>
    <t>Nouveau budget: +1.2 MCHF en 2020, et jusqu'à +3 MCHF après (par rapport au budget 2019)</t>
  </si>
  <si>
    <t>S0 - stg until 2019, no admin reduction, no hire</t>
  </si>
  <si>
    <t>3 - mixed envelope increase</t>
  </si>
  <si>
    <t>nb steps to_x000D_
PO full budget</t>
  </si>
  <si>
    <t>changement du graphique du bas pour avoir le nombre total de Profs</t>
  </si>
  <si>
    <t>Yes</t>
  </si>
  <si>
    <t>Ajout d'une 3ème stratégie de promotion : budget immédiat pour PATT, budget progressif pour PO</t>
  </si>
  <si>
    <t>Start year of strategy</t>
  </si>
  <si>
    <t>MàJ des reduc admin</t>
  </si>
  <si>
    <t>Ajout d'une 4ème stratégie de promotion : démarrage différé de la stg 3 // PAF FINI</t>
  </si>
  <si>
    <t>parcours d'un ensemble de paramètres sur stg 3</t>
  </si>
  <si>
    <t>nb steps</t>
  </si>
  <si>
    <t>nb PATT</t>
  </si>
  <si>
    <t>2020-2025</t>
  </si>
  <si>
    <t>S 1 - Budget PO 950 / Steps 1 / PATT 0</t>
  </si>
  <si>
    <t>S 2 - Budget PO 950 / Steps 1 / PATT 1</t>
  </si>
  <si>
    <t>S 3 - Budget PO 950 / Steps 1 / PATT 2</t>
  </si>
  <si>
    <t>S 4 - Budget PO 950 / Steps 1 / PATT 3</t>
  </si>
  <si>
    <t>S 5 - Budget PO 950 / Steps 1 / PATT 4</t>
  </si>
  <si>
    <t>S 6 - Budget PO 950 / Steps 1 / PATT 5</t>
  </si>
  <si>
    <t>S 7 - Budget PO 950 / Steps 2 / PATT 0</t>
  </si>
  <si>
    <t>S 8 - Budget PO 950 / Steps 2 / PATT 1</t>
  </si>
  <si>
    <t>S 9 - Budget PO 950 / Steps 2 / PATT 2</t>
  </si>
  <si>
    <t>S 10 - Budget PO 950 / Steps 2 / PATT 3</t>
  </si>
  <si>
    <t>S 11 - Budget PO 950 / Steps 2 / PATT 4</t>
  </si>
  <si>
    <t>S 12 - Budget PO 950 / Steps 2 / PATT 5</t>
  </si>
  <si>
    <t>S 13 - Budget PO 950 / Steps 3 / PATT 0</t>
  </si>
  <si>
    <t>S 14 - Budget PO 950 / Steps 3 / PATT 1</t>
  </si>
  <si>
    <t>S 15 - Budget PO 950 / Steps 3 / PATT 2</t>
  </si>
  <si>
    <t>S 16 - Budget PO 950 / Steps 3 / PATT 3</t>
  </si>
  <si>
    <t>S 17 - Budget PO 950 / Steps 3 / PATT 4</t>
  </si>
  <si>
    <t>S 18 - Budget PO 950 / Steps 3 / PATT 5</t>
  </si>
  <si>
    <t>S 19 - Budget PO 950 / Steps 4 / PATT 0</t>
  </si>
  <si>
    <t>S 20 - Budget PO 950 / Steps 4 / PATT 1</t>
  </si>
  <si>
    <t>S 21 - Budget PO 950 / Steps 4 / PATT 2</t>
  </si>
  <si>
    <t>S 22 - Budget PO 950 / Steps 4 / PATT 3</t>
  </si>
  <si>
    <t>S 23 - Budget PO 950 / Steps 4 / PATT 4</t>
  </si>
  <si>
    <t>S 24 - Budget PO 950 / Steps 4 / PATT 5</t>
  </si>
  <si>
    <t>S 25 - Budget PO 950 / Steps 5 / PATT 0</t>
  </si>
  <si>
    <t>S 26 - Budget PO 950 / Steps 5 / PATT 1</t>
  </si>
  <si>
    <t>S 27 - Budget PO 950 / Steps 5 / PATT 2</t>
  </si>
  <si>
    <t>S 28 - Budget PO 950 / Steps 5 / PATT 3</t>
  </si>
  <si>
    <t>S 29 - Budget PO 950 / Steps 5 / PATT 4</t>
  </si>
  <si>
    <t>S 30 - Budget PO 950 / Steps 5 / PATT 5</t>
  </si>
  <si>
    <t>S 31 - Budget PO 955 / Steps 1 / PATT 0</t>
  </si>
  <si>
    <t>S 32 - Budget PO 955 / Steps 1 / PATT 1</t>
  </si>
  <si>
    <t>S 33 - Budget PO 955 / Steps 1 / PATT 2</t>
  </si>
  <si>
    <t>S 34 - Budget PO 955 / Steps 1 / PATT 3</t>
  </si>
  <si>
    <t>S 35 - Budget PO 955 / Steps 1 / PATT 4</t>
  </si>
  <si>
    <t>S 36 - Budget PO 955 / Steps 1 / PATT 5</t>
  </si>
  <si>
    <t>S 37 - Budget PO 955 / Steps 2 / PATT 0</t>
  </si>
  <si>
    <t>S 38 - Budget PO 955 / Steps 2 / PATT 1</t>
  </si>
  <si>
    <t>S 39 - Budget PO 955 / Steps 2 / PATT 2</t>
  </si>
  <si>
    <t>S 40 - Budget PO 955 / Steps 2 / PATT 3</t>
  </si>
  <si>
    <t>S 41 - Budget PO 955 / Steps 2 / PATT 4</t>
  </si>
  <si>
    <t>S 42 - Budget PO 955 / Steps 2 / PATT 5</t>
  </si>
  <si>
    <t>S 43 - Budget PO 955 / Steps 3 / PATT 0</t>
  </si>
  <si>
    <t>S 44 - Budget PO 955 / Steps 3 / PATT 1</t>
  </si>
  <si>
    <t>S 45 - Budget PO 955 / Steps 3 / PATT 2</t>
  </si>
  <si>
    <t>S 46 - Budget PO 955 / Steps 3 / PATT 3</t>
  </si>
  <si>
    <t>S 47 - Budget PO 955 / Steps 3 / PATT 4</t>
  </si>
  <si>
    <t>S 48 - Budget PO 955 / Steps 3 / PATT 5</t>
  </si>
  <si>
    <t>S 49 - Budget PO 955 / Steps 4 / PATT 0</t>
  </si>
  <si>
    <t>S 50 - Budget PO 955 / Steps 4 / PATT 1</t>
  </si>
  <si>
    <t>S 51 - Budget PO 955 / Steps 4 / PATT 2</t>
  </si>
  <si>
    <t>S 52 - Budget PO 955 / Steps 4 / PATT 3</t>
  </si>
  <si>
    <t>S 53 - Budget PO 955 / Steps 4 / PATT 4</t>
  </si>
  <si>
    <t>S 54 - Budget PO 955 / Steps 4 / PATT 5</t>
  </si>
  <si>
    <t>S 55 - Budget PO 955 / Steps 5 / PATT 0</t>
  </si>
  <si>
    <t>S 56 - Budget PO 955 / Steps 5 / PATT 1</t>
  </si>
  <si>
    <t>S 57 - Budget PO 955 / Steps 5 / PATT 2</t>
  </si>
  <si>
    <t>S 58 - Budget PO 955 / Steps 5 / PATT 3</t>
  </si>
  <si>
    <t>S 59 - Budget PO 955 / Steps 5 / PATT 4</t>
  </si>
  <si>
    <t>S 60 - Budget PO 955 / Steps 5 / PATT 5</t>
  </si>
  <si>
    <t>S 61 - Budget PO 960 / Steps 1 / PATT 0</t>
  </si>
  <si>
    <t>S 62 - Budget PO 960 / Steps 1 / PATT 1</t>
  </si>
  <si>
    <t>S 63 - Budget PO 960 / Steps 1 / PATT 2</t>
  </si>
  <si>
    <t>S 64 - Budget PO 960 / Steps 1 / PATT 3</t>
  </si>
  <si>
    <t>S 65 - Budget PO 960 / Steps 1 / PATT 4</t>
  </si>
  <si>
    <t>S 66 - Budget PO 960 / Steps 1 / PATT 5</t>
  </si>
  <si>
    <t>S 67 - Budget PO 960 / Steps 2 / PATT 0</t>
  </si>
  <si>
    <t>S 68 - Budget PO 960 / Steps 2 / PATT 1</t>
  </si>
  <si>
    <t>S 69 - Budget PO 960 / Steps 2 / PATT 2</t>
  </si>
  <si>
    <t>S 70 - Budget PO 960 / Steps 2 / PATT 3</t>
  </si>
  <si>
    <t>S 71 - Budget PO 960 / Steps 2 / PATT 4</t>
  </si>
  <si>
    <t>S 72 - Budget PO 960 / Steps 2 / PATT 5</t>
  </si>
  <si>
    <t>S 73 - Budget PO 960 / Steps 3 / PATT 0</t>
  </si>
  <si>
    <t>S 74 - Budget PO 960 / Steps 3 / PATT 1</t>
  </si>
  <si>
    <t>S 75 - Budget PO 960 / Steps 3 / PATT 2</t>
  </si>
  <si>
    <t>S 76 - Budget PO 960 / Steps 3 / PATT 3</t>
  </si>
  <si>
    <t>S 77 - Budget PO 960 / Steps 3 / PATT 4</t>
  </si>
  <si>
    <t>S 78 - Budget PO 960 / Steps 3 / PATT 5</t>
  </si>
  <si>
    <t>S 79 - Budget PO 960 / Steps 4 / PATT 0</t>
  </si>
  <si>
    <t>S 80 - Budget PO 960 / Steps 4 / PATT 1</t>
  </si>
  <si>
    <t>S 81 - Budget PO 960 / Steps 4 / PATT 2</t>
  </si>
  <si>
    <t>S 82 - Budget PO 960 / Steps 4 / PATT 3</t>
  </si>
  <si>
    <t>S 83 - Budget PO 960 / Steps 4 / PATT 4</t>
  </si>
  <si>
    <t>S 84 - Budget PO 960 / Steps 4 / PATT 5</t>
  </si>
  <si>
    <t>S 85 - Budget PO 960 / Steps 5 / PATT 0</t>
  </si>
  <si>
    <t>S 86 - Budget PO 960 / Steps 5 / PATT 1</t>
  </si>
  <si>
    <t>S 87 - Budget PO 960 / Steps 5 / PATT 2</t>
  </si>
  <si>
    <t>S 88 - Budget PO 960 / Steps 5 / PATT 3</t>
  </si>
  <si>
    <t>S 89 - Budget PO 960 / Steps 5 / PATT 4</t>
  </si>
  <si>
    <t>S 90 - Budget PO 960 / Steps 5 / PATT 5</t>
  </si>
  <si>
    <t>S 91 - Budget PO 965 / Steps 1 / PATT 0</t>
  </si>
  <si>
    <t>S 92 - Budget PO 965 / Steps 1 / PATT 1</t>
  </si>
  <si>
    <t>S 93 - Budget PO 965 / Steps 1 / PATT 2</t>
  </si>
  <si>
    <t>S 94 - Budget PO 965 / Steps 1 / PATT 3</t>
  </si>
  <si>
    <t>S 95 - Budget PO 965 / Steps 1 / PATT 4</t>
  </si>
  <si>
    <t>S 96 - Budget PO 965 / Steps 1 / PATT 5</t>
  </si>
  <si>
    <t>S 97 - Budget PO 965 / Steps 2 / PATT 0</t>
  </si>
  <si>
    <t>S 98 - Budget PO 965 / Steps 2 / PATT 1</t>
  </si>
  <si>
    <t>S 99 - Budget PO 965 / Steps 2 / PATT 2</t>
  </si>
  <si>
    <t>S 100 - Budget PO 965 / Steps 2 / PATT 3</t>
  </si>
  <si>
    <t>S 101 - Budget PO 965 / Steps 2 / PATT 4</t>
  </si>
  <si>
    <t>S 102 - Budget PO 965 / Steps 2 / PATT 5</t>
  </si>
  <si>
    <t>S 103 - Budget PO 965 / Steps 3 / PATT 0</t>
  </si>
  <si>
    <t>S 104 - Budget PO 965 / Steps 3 / PATT 1</t>
  </si>
  <si>
    <t>S 105 - Budget PO 965 / Steps 3 / PATT 2</t>
  </si>
  <si>
    <t>S 106 - Budget PO 965 / Steps 3 / PATT 3</t>
  </si>
  <si>
    <t>S 107 - Budget PO 965 / Steps 3 / PATT 4</t>
  </si>
  <si>
    <t>S 108 - Budget PO 965 / Steps 3 / PATT 5</t>
  </si>
  <si>
    <t>S 109 - Budget PO 965 / Steps 4 / PATT 0</t>
  </si>
  <si>
    <t>S 110 - Budget PO 965 / Steps 4 / PATT 1</t>
  </si>
  <si>
    <t>S 111 - Budget PO 965 / Steps 4 / PATT 2</t>
  </si>
  <si>
    <t>S 112 - Budget PO 965 / Steps 4 / PATT 3</t>
  </si>
  <si>
    <t>S 113 - Budget PO 965 / Steps 4 / PATT 4</t>
  </si>
  <si>
    <t>S 114 - Budget PO 965 / Steps 4 / PATT 5</t>
  </si>
  <si>
    <t>S 115 - Budget PO 965 / Steps 5 / PATT 0</t>
  </si>
  <si>
    <t>S 116 - Budget PO 965 / Steps 5 / PATT 1</t>
  </si>
  <si>
    <t>S 117 - Budget PO 965 / Steps 5 / PATT 2</t>
  </si>
  <si>
    <t>S 118 - Budget PO 965 / Steps 5 / PATT 3</t>
  </si>
  <si>
    <t>S 119 - Budget PO 965 / Steps 5 / PATT 4</t>
  </si>
  <si>
    <t>S 120 - Budget PO 965 / Steps 5 / PATT 5</t>
  </si>
  <si>
    <t>S 121 - Budget PO 970 / Steps 1 / PATT 0</t>
  </si>
  <si>
    <t>S 122 - Budget PO 970 / Steps 1 / PATT 1</t>
  </si>
  <si>
    <t>S 123 - Budget PO 970 / Steps 1 / PATT 2</t>
  </si>
  <si>
    <t>S 124 - Budget PO 970 / Steps 1 / PATT 3</t>
  </si>
  <si>
    <t>S 125 - Budget PO 970 / Steps 1 / PATT 4</t>
  </si>
  <si>
    <t>S 126 - Budget PO 970 / Steps 1 / PATT 5</t>
  </si>
  <si>
    <t>S 127 - Budget PO 970 / Steps 2 / PATT 0</t>
  </si>
  <si>
    <t>S 128 - Budget PO 970 / Steps 2 / PATT 1</t>
  </si>
  <si>
    <t>S 129 - Budget PO 970 / Steps 2 / PATT 2</t>
  </si>
  <si>
    <t>S 130 - Budget PO 970 / Steps 2 / PATT 3</t>
  </si>
  <si>
    <t>S 131 - Budget PO 970 / Steps 2 / PATT 4</t>
  </si>
  <si>
    <t>S 132 - Budget PO 970 / Steps 2 / PATT 5</t>
  </si>
  <si>
    <t>S 133 - Budget PO 970 / Steps 3 / PATT 0</t>
  </si>
  <si>
    <t>S 134 - Budget PO 970 / Steps 3 / PATT 1</t>
  </si>
  <si>
    <t>S 135 - Budget PO 970 / Steps 3 / PATT 2</t>
  </si>
  <si>
    <t>S 136 - Budget PO 970 / Steps 3 / PATT 3</t>
  </si>
  <si>
    <t>S 137 - Budget PO 970 / Steps 3 / PATT 4</t>
  </si>
  <si>
    <t>S 138 - Budget PO 970 / Steps 3 / PATT 5</t>
  </si>
  <si>
    <t>S 139 - Budget PO 970 / Steps 4 / PATT 0</t>
  </si>
  <si>
    <t>S 140 - Budget PO 970 / Steps 4 / PATT 1</t>
  </si>
  <si>
    <t>S 141 - Budget PO 970 / Steps 4 / PATT 2</t>
  </si>
  <si>
    <t>S 142 - Budget PO 970 / Steps 4 / PATT 3</t>
  </si>
  <si>
    <t>S 143 - Budget PO 970 / Steps 4 / PATT 4</t>
  </si>
  <si>
    <t>S 144 - Budget PO 970 / Steps 4 / PATT 5</t>
  </si>
  <si>
    <t>S 145 - Budget PO 970 / Steps 5 / PATT 0</t>
  </si>
  <si>
    <t>S 146 - Budget PO 970 / Steps 5 / PATT 1</t>
  </si>
  <si>
    <t>S 147 - Budget PO 970 / Steps 5 / PATT 2</t>
  </si>
  <si>
    <t>S 148 - Budget PO 970 / Steps 5 / PATT 3</t>
  </si>
  <si>
    <t>S 149 - Budget PO 970 / Steps 5 / PATT 4</t>
  </si>
  <si>
    <t>S 150 - Budget PO 970 / Steps 5 / PATT 5</t>
  </si>
  <si>
    <t>S 151 - Budget PO 975 / Steps 1 / PATT 0</t>
  </si>
  <si>
    <t>S 152 - Budget PO 975 / Steps 1 / PATT 1</t>
  </si>
  <si>
    <t>S 153 - Budget PO 975 / Steps 1 / PATT 2</t>
  </si>
  <si>
    <t>S 154 - Budget PO 975 / Steps 1 / PATT 3</t>
  </si>
  <si>
    <t>S 155 - Budget PO 975 / Steps 1 / PATT 4</t>
  </si>
  <si>
    <t>S 156 - Budget PO 975 / Steps 1 / PATT 5</t>
  </si>
  <si>
    <t>S 157 - Budget PO 975 / Steps 2 / PATT 0</t>
  </si>
  <si>
    <t>S 158 - Budget PO 975 / Steps 2 / PATT 1</t>
  </si>
  <si>
    <t>S 159 - Budget PO 975 / Steps 2 / PATT 2</t>
  </si>
  <si>
    <t>S 160 - Budget PO 975 / Steps 2 / PATT 3</t>
  </si>
  <si>
    <t>S 161 - Budget PO 975 / Steps 2 / PATT 4</t>
  </si>
  <si>
    <t>S 162 - Budget PO 975 / Steps 2 / PATT 5</t>
  </si>
  <si>
    <t>S 163 - Budget PO 975 / Steps 3 / PATT 0</t>
  </si>
  <si>
    <t>S 164 - Budget PO 975 / Steps 3 / PATT 1</t>
  </si>
  <si>
    <t>S 165 - Budget PO 975 / Steps 3 / PATT 2</t>
  </si>
  <si>
    <t>S 166 - Budget PO 975 / Steps 3 / PATT 3</t>
  </si>
  <si>
    <t>S 167 - Budget PO 975 / Steps 3 / PATT 4</t>
  </si>
  <si>
    <t>S 168 - Budget PO 975 / Steps 3 / PATT 5</t>
  </si>
  <si>
    <t>S 169 - Budget PO 975 / Steps 4 / PATT 0</t>
  </si>
  <si>
    <t>S 170 - Budget PO 975 / Steps 4 / PATT 1</t>
  </si>
  <si>
    <t>S 171 - Budget PO 975 / Steps 4 / PATT 2</t>
  </si>
  <si>
    <t>S 172 - Budget PO 975 / Steps 4 / PATT 3</t>
  </si>
  <si>
    <t>S 173 - Budget PO 975 / Steps 4 / PATT 4</t>
  </si>
  <si>
    <t>S 174 - Budget PO 975 / Steps 4 / PATT 5</t>
  </si>
  <si>
    <t>S 175 - Budget PO 975 / Steps 5 / PATT 0</t>
  </si>
  <si>
    <t>S 176 - Budget PO 975 / Steps 5 / PATT 1</t>
  </si>
  <si>
    <t>S 177 - Budget PO 975 / Steps 5 / PATT 2</t>
  </si>
  <si>
    <t>S 178 - Budget PO 975 / Steps 5 / PATT 3</t>
  </si>
  <si>
    <t>S 179 - Budget PO 975 / Steps 5 / PATT 4</t>
  </si>
  <si>
    <t>S 180 - Budget PO 975 / Steps 5 / PATT 5</t>
  </si>
  <si>
    <t>S 181 - Budget PO 980 / Steps 1 / PATT 0</t>
  </si>
  <si>
    <t>S 182 - Budget PO 980 / Steps 1 / PATT 1</t>
  </si>
  <si>
    <t>S 183 - Budget PO 980 / Steps 1 / PATT 2</t>
  </si>
  <si>
    <t>S 184 - Budget PO 980 / Steps 1 / PATT 3</t>
  </si>
  <si>
    <t>S 185 - Budget PO 980 / Steps 1 / PATT 4</t>
  </si>
  <si>
    <t>S 186 - Budget PO 980 / Steps 1 / PATT 5</t>
  </si>
  <si>
    <t>S 187 - Budget PO 980 / Steps 2 / PATT 0</t>
  </si>
  <si>
    <t>S 188 - Budget PO 980 / Steps 2 / PATT 1</t>
  </si>
  <si>
    <t>S 189 - Budget PO 980 / Steps 2 / PATT 2</t>
  </si>
  <si>
    <t>S 190 - Budget PO 980 / Steps 2 / PATT 3</t>
  </si>
  <si>
    <t>S 191 - Budget PO 980 / Steps 2 / PATT 4</t>
  </si>
  <si>
    <t>S 192 - Budget PO 980 / Steps 2 / PATT 5</t>
  </si>
  <si>
    <t>S 193 - Budget PO 980 / Steps 3 / PATT 0</t>
  </si>
  <si>
    <t>S 194 - Budget PO 980 / Steps 3 / PATT 1</t>
  </si>
  <si>
    <t>S 195 - Budget PO 980 / Steps 3 / PATT 2</t>
  </si>
  <si>
    <t>S 196 - Budget PO 980 / Steps 3 / PATT 3</t>
  </si>
  <si>
    <t>S 197 - Budget PO 980 / Steps 3 / PATT 4</t>
  </si>
  <si>
    <t>S 198 - Budget PO 980 / Steps 3 / PATT 5</t>
  </si>
  <si>
    <t>S 199 - Budget PO 980 / Steps 4 / PATT 0</t>
  </si>
  <si>
    <t>S 200 - Budget PO 980 / Steps 4 / PATT 1</t>
  </si>
  <si>
    <t>S 201 - Budget PO 980 / Steps 4 / PATT 2</t>
  </si>
  <si>
    <t>S 202 - Budget PO 980 / Steps 4 / PATT 3</t>
  </si>
  <si>
    <t>S 203 - Budget PO 980 / Steps 4 / PATT 4</t>
  </si>
  <si>
    <t>S 204 - Budget PO 980 / Steps 4 / PATT 5</t>
  </si>
  <si>
    <t>S 205 - Budget PO 980 / Steps 5 / PATT 0</t>
  </si>
  <si>
    <t>S 206 - Budget PO 980 / Steps 5 / PATT 1</t>
  </si>
  <si>
    <t>S 207 - Budget PO 980 / Steps 5 / PATT 2</t>
  </si>
  <si>
    <t>S 208 - Budget PO 980 / Steps 5 / PATT 3</t>
  </si>
  <si>
    <t>S 209 - Budget PO 980 / Steps 5 / PATT 4</t>
  </si>
  <si>
    <t>S 210 - Budget PO 980 / Steps 5 / PATT 5</t>
  </si>
  <si>
    <t>S 211 - Budget PO 985 / Steps 1 / PATT 0</t>
  </si>
  <si>
    <t>S 212 - Budget PO 985 / Steps 1 / PATT 1</t>
  </si>
  <si>
    <t>S 213 - Budget PO 985 / Steps 1 / PATT 2</t>
  </si>
  <si>
    <t>S 214 - Budget PO 985 / Steps 1 / PATT 3</t>
  </si>
  <si>
    <t>S 215 - Budget PO 985 / Steps 1 / PATT 4</t>
  </si>
  <si>
    <t>S 216 - Budget PO 985 / Steps 1 / PATT 5</t>
  </si>
  <si>
    <t>S 217 - Budget PO 985 / Steps 2 / PATT 0</t>
  </si>
  <si>
    <t>S 218 - Budget PO 985 / Steps 2 / PATT 1</t>
  </si>
  <si>
    <t>S 219 - Budget PO 985 / Steps 2 / PATT 2</t>
  </si>
  <si>
    <t>S 220 - Budget PO 985 / Steps 2 / PATT 3</t>
  </si>
  <si>
    <t>S 221 - Budget PO 985 / Steps 2 / PATT 4</t>
  </si>
  <si>
    <t>S 222 - Budget PO 985 / Steps 2 / PATT 5</t>
  </si>
  <si>
    <t>S 223 - Budget PO 985 / Steps 3 / PATT 0</t>
  </si>
  <si>
    <t>S 224 - Budget PO 985 / Steps 3 / PATT 1</t>
  </si>
  <si>
    <t>S 225 - Budget PO 985 / Steps 3 / PATT 2</t>
  </si>
  <si>
    <t>S 226 - Budget PO 985 / Steps 3 / PATT 3</t>
  </si>
  <si>
    <t>S 227 - Budget PO 985 / Steps 3 / PATT 4</t>
  </si>
  <si>
    <t>S 228 - Budget PO 985 / Steps 3 / PATT 5</t>
  </si>
  <si>
    <t>S 229 - Budget PO 985 / Steps 4 / PATT 0</t>
  </si>
  <si>
    <t>S 230 - Budget PO 985 / Steps 4 / PATT 1</t>
  </si>
  <si>
    <t>S 231 - Budget PO 985 / Steps 4 / PATT 2</t>
  </si>
  <si>
    <t>S 232 - Budget PO 985 / Steps 4 / PATT 3</t>
  </si>
  <si>
    <t>S 233 - Budget PO 985 / Steps 4 / PATT 4</t>
  </si>
  <si>
    <t>S 234 - Budget PO 985 / Steps 4 / PATT 5</t>
  </si>
  <si>
    <t>S 235 - Budget PO 985 / Steps 5 / PATT 0</t>
  </si>
  <si>
    <t>S 236 - Budget PO 985 / Steps 5 / PATT 1</t>
  </si>
  <si>
    <t>S 237 - Budget PO 985 / Steps 5 / PATT 2</t>
  </si>
  <si>
    <t>S 238 - Budget PO 985 / Steps 5 / PATT 3</t>
  </si>
  <si>
    <t>S 239 - Budget PO 985 / Steps 5 / PATT 4</t>
  </si>
  <si>
    <t>S 240 - Budget PO 985 / Steps 5 / PATT 5</t>
  </si>
  <si>
    <t>S 241 - Budget PO 990 / Steps 1 / PATT 0</t>
  </si>
  <si>
    <t>S 242 - Budget PO 990 / Steps 1 / PATT 1</t>
  </si>
  <si>
    <t>S 243 - Budget PO 990 / Steps 1 / PATT 2</t>
  </si>
  <si>
    <t>S 244 - Budget PO 990 / Steps 1 / PATT 3</t>
  </si>
  <si>
    <t>S 245 - Budget PO 990 / Steps 1 / PATT 4</t>
  </si>
  <si>
    <t>S 246 - Budget PO 990 / Steps 1 / PATT 5</t>
  </si>
  <si>
    <t>S 247 - Budget PO 990 / Steps 2 / PATT 0</t>
  </si>
  <si>
    <t>S 248 - Budget PO 990 / Steps 2 / PATT 1</t>
  </si>
  <si>
    <t>S 249 - Budget PO 990 / Steps 2 / PATT 2</t>
  </si>
  <si>
    <t>S 250 - Budget PO 990 / Steps 2 / PATT 3</t>
  </si>
  <si>
    <t>S 251 - Budget PO 990 / Steps 2 / PATT 4</t>
  </si>
  <si>
    <t>S 252 - Budget PO 990 / Steps 2 / PATT 5</t>
  </si>
  <si>
    <t>S 253 - Budget PO 990 / Steps 3 / PATT 0</t>
  </si>
  <si>
    <t>S 254 - Budget PO 990 / Steps 3 / PATT 1</t>
  </si>
  <si>
    <t>S 255 - Budget PO 990 / Steps 3 / PATT 2</t>
  </si>
  <si>
    <t>S 256 - Budget PO 990 / Steps 3 / PATT 3</t>
  </si>
  <si>
    <t>S 257 - Budget PO 990 / Steps 3 / PATT 4</t>
  </si>
  <si>
    <t>S 258 - Budget PO 990 / Steps 3 / PATT 5</t>
  </si>
  <si>
    <t>S 259 - Budget PO 990 / Steps 4 / PATT 0</t>
  </si>
  <si>
    <t>S 260 - Budget PO 990 / Steps 4 / PATT 1</t>
  </si>
  <si>
    <t>S 261 - Budget PO 990 / Steps 4 / PATT 2</t>
  </si>
  <si>
    <t>S 262 - Budget PO 990 / Steps 4 / PATT 3</t>
  </si>
  <si>
    <t>S 263 - Budget PO 990 / Steps 4 / PATT 4</t>
  </si>
  <si>
    <t>S 264 - Budget PO 990 / Steps 4 / PATT 5</t>
  </si>
  <si>
    <t>S 265 - Budget PO 990 / Steps 5 / PATT 0</t>
  </si>
  <si>
    <t>S 266 - Budget PO 990 / Steps 5 / PATT 1</t>
  </si>
  <si>
    <t>S 267 - Budget PO 990 / Steps 5 / PATT 2</t>
  </si>
  <si>
    <t>S 268 - Budget PO 990 / Steps 5 / PATT 3</t>
  </si>
  <si>
    <t>S 269 - Budget PO 990 / Steps 5 / PATT 4</t>
  </si>
  <si>
    <t>S 270 - Budget PO 990 / Steps 5 / PATT 5</t>
  </si>
  <si>
    <t>S 271 - Budget PO 995 / Steps 1 / PATT 0</t>
  </si>
  <si>
    <t>S 272 - Budget PO 995 / Steps 1 / PATT 1</t>
  </si>
  <si>
    <t>S 273 - Budget PO 995 / Steps 1 / PATT 2</t>
  </si>
  <si>
    <t>S 274 - Budget PO 995 / Steps 1 / PATT 3</t>
  </si>
  <si>
    <t>S 275 - Budget PO 995 / Steps 1 / PATT 4</t>
  </si>
  <si>
    <t>S 276 - Budget PO 995 / Steps 1 / PATT 5</t>
  </si>
  <si>
    <t>S 277 - Budget PO 995 / Steps 2 / PATT 0</t>
  </si>
  <si>
    <t>S 278 - Budget PO 995 / Steps 2 / PATT 1</t>
  </si>
  <si>
    <t>S 279 - Budget PO 995 / Steps 2 / PATT 2</t>
  </si>
  <si>
    <t>S 280 - Budget PO 995 / Steps 2 / PATT 3</t>
  </si>
  <si>
    <t>S 281 - Budget PO 995 / Steps 2 / PATT 4</t>
  </si>
  <si>
    <t>S 282 - Budget PO 995 / Steps 2 / PATT 5</t>
  </si>
  <si>
    <t>S 283 - Budget PO 995 / Steps 3 / PATT 0</t>
  </si>
  <si>
    <t>S 284 - Budget PO 995 / Steps 3 / PATT 1</t>
  </si>
  <si>
    <t>S 285 - Budget PO 995 / Steps 3 / PATT 2</t>
  </si>
  <si>
    <t>S 286 - Budget PO 995 / Steps 3 / PATT 3</t>
  </si>
  <si>
    <t>S 287 - Budget PO 995 / Steps 3 / PATT 4</t>
  </si>
  <si>
    <t>S 288 - Budget PO 995 / Steps 3 / PATT 5</t>
  </si>
  <si>
    <t>S 289 - Budget PO 995 / Steps 4 / PATT 0</t>
  </si>
  <si>
    <t>S 290 - Budget PO 995 / Steps 4 / PATT 1</t>
  </si>
  <si>
    <t>S 291 - Budget PO 995 / Steps 4 / PATT 2</t>
  </si>
  <si>
    <t>S 292 - Budget PO 995 / Steps 4 / PATT 3</t>
  </si>
  <si>
    <t>S 293 - Budget PO 995 / Steps 4 / PATT 4</t>
  </si>
  <si>
    <t>S 294 - Budget PO 995 / Steps 4 / PATT 5</t>
  </si>
  <si>
    <t>S 295 - Budget PO 995 / Steps 5 / PATT 0</t>
  </si>
  <si>
    <t>S 296 - Budget PO 995 / Steps 5 / PATT 1</t>
  </si>
  <si>
    <t>S 297 - Budget PO 995 / Steps 5 / PATT 2</t>
  </si>
  <si>
    <t>S 298 - Budget PO 995 / Steps 5 / PATT 3</t>
  </si>
  <si>
    <t>S 299 - Budget PO 995 / Steps 5 / PATT 4</t>
  </si>
  <si>
    <t>S 300 - Budget PO 995 / Steps 5 / PATT 5</t>
  </si>
  <si>
    <t>S 301 - Budget PO 1000 / Steps 1 / PATT 0</t>
  </si>
  <si>
    <t>S 302 - Budget PO 1000 / Steps 1 / PATT 1</t>
  </si>
  <si>
    <t>S 303 - Budget PO 1000 / Steps 1 / PATT 2</t>
  </si>
  <si>
    <t>S 304 - Budget PO 1000 / Steps 1 / PATT 3</t>
  </si>
  <si>
    <t>S 305 - Budget PO 1000 / Steps 1 / PATT 4</t>
  </si>
  <si>
    <t>S 306 - Budget PO 1000 / Steps 1 / PATT 5</t>
  </si>
  <si>
    <t>S 307 - Budget PO 1000 / Steps 2 / PATT 0</t>
  </si>
  <si>
    <t>S 308 - Budget PO 1000 / Steps 2 / PATT 1</t>
  </si>
  <si>
    <t>S 309 - Budget PO 1000 / Steps 2 / PATT 2</t>
  </si>
  <si>
    <t>S 310 - Budget PO 1000 / Steps 2 / PATT 3</t>
  </si>
  <si>
    <t>S 311 - Budget PO 1000 / Steps 2 / PATT 4</t>
  </si>
  <si>
    <t>S 312 - Budget PO 1000 / Steps 2 / PATT 5</t>
  </si>
  <si>
    <t>S 313 - Budget PO 1000 / Steps 3 / PATT 0</t>
  </si>
  <si>
    <t>S 314 - Budget PO 1000 / Steps 3 / PATT 1</t>
  </si>
  <si>
    <t>S 315 - Budget PO 1000 / Steps 3 / PATT 2</t>
  </si>
  <si>
    <t>S 316 - Budget PO 1000 / Steps 3 / PATT 3</t>
  </si>
  <si>
    <t>S 317 - Budget PO 1000 / Steps 3 / PATT 4</t>
  </si>
  <si>
    <t>S 318 - Budget PO 1000 / Steps 3 / PATT 5</t>
  </si>
  <si>
    <t>S 319 - Budget PO 1000 / Steps 4 / PATT 0</t>
  </si>
  <si>
    <t>S 320 - Budget PO 1000 / Steps 4 / PATT 1</t>
  </si>
  <si>
    <t>S 321 - Budget PO 1000 / Steps 4 / PATT 2</t>
  </si>
  <si>
    <t>S 322 - Budget PO 1000 / Steps 4 / PATT 3</t>
  </si>
  <si>
    <t>S 323 - Budget PO 1000 / Steps 4 / PATT 4</t>
  </si>
  <si>
    <t>S 324 - Budget PO 1000 / Steps 4 / PATT 5</t>
  </si>
  <si>
    <t>S 325 - Budget PO 1000 / Steps 5 / PATT 0</t>
  </si>
  <si>
    <t>S 326 - Budget PO 1000 / Steps 5 / PATT 1</t>
  </si>
  <si>
    <t>S 327 - Budget PO 1000 / Steps 5 / PATT 2</t>
  </si>
  <si>
    <t>S 328 - Budget PO 1000 / Steps 5 / PATT 3</t>
  </si>
  <si>
    <t>S 329 - Budget PO 1000 / Steps 5 / PATT 4</t>
  </si>
  <si>
    <t>S 330 - Budget PO 1000 / Steps 5 / PATT 5</t>
  </si>
  <si>
    <t>S 331 - Budget PO 1005 / Steps 1 / PATT 0</t>
  </si>
  <si>
    <t>S 332 - Budget PO 1005 / Steps 1 / PATT 1</t>
  </si>
  <si>
    <t>S 333 - Budget PO 1005 / Steps 1 / PATT 2</t>
  </si>
  <si>
    <t>S 334 - Budget PO 1005 / Steps 1 / PATT 3</t>
  </si>
  <si>
    <t>S 335 - Budget PO 1005 / Steps 1 / PATT 4</t>
  </si>
  <si>
    <t>S 336 - Budget PO 1005 / Steps 1 / PATT 5</t>
  </si>
  <si>
    <t>S 337 - Budget PO 1005 / Steps 2 / PATT 0</t>
  </si>
  <si>
    <t>S 338 - Budget PO 1005 / Steps 2 / PATT 1</t>
  </si>
  <si>
    <t>S 339 - Budget PO 1005 / Steps 2 / PATT 2</t>
  </si>
  <si>
    <t>S 340 - Budget PO 1005 / Steps 2 / PATT 3</t>
  </si>
  <si>
    <t>S 341 - Budget PO 1005 / Steps 2 / PATT 4</t>
  </si>
  <si>
    <t>S 342 - Budget PO 1005 / Steps 2 / PATT 5</t>
  </si>
  <si>
    <t>S 343 - Budget PO 1005 / Steps 3 / PATT 0</t>
  </si>
  <si>
    <t>S 344 - Budget PO 1005 / Steps 3 / PATT 1</t>
  </si>
  <si>
    <t>S 345 - Budget PO 1005 / Steps 3 / PATT 2</t>
  </si>
  <si>
    <t>S 346 - Budget PO 1005 / Steps 3 / PATT 3</t>
  </si>
  <si>
    <t>S 347 - Budget PO 1005 / Steps 3 / PATT 4</t>
  </si>
  <si>
    <t>S 348 - Budget PO 1005 / Steps 3 / PATT 5</t>
  </si>
  <si>
    <t>S 349 - Budget PO 1005 / Steps 4 / PATT 0</t>
  </si>
  <si>
    <t>S 350 - Budget PO 1005 / Steps 4 / PATT 1</t>
  </si>
  <si>
    <t>S 351 - Budget PO 1005 / Steps 4 / PATT 2</t>
  </si>
  <si>
    <t>S 352 - Budget PO 1005 / Steps 4 / PATT 3</t>
  </si>
  <si>
    <t>S 353 - Budget PO 1005 / Steps 4 / PATT 4</t>
  </si>
  <si>
    <t>S 354 - Budget PO 1005 / Steps 4 / PATT 5</t>
  </si>
  <si>
    <t>S 355 - Budget PO 1005 / Steps 5 / PATT 0</t>
  </si>
  <si>
    <t>S 356 - Budget PO 1005 / Steps 5 / PATT 1</t>
  </si>
  <si>
    <t>S 357 - Budget PO 1005 / Steps 5 / PATT 2</t>
  </si>
  <si>
    <t>S 358 - Budget PO 1005 / Steps 5 / PATT 3</t>
  </si>
  <si>
    <t>S 359 - Budget PO 1005 / Steps 5 / PATT 4</t>
  </si>
  <si>
    <t>S 360 - Budget PO 1005 / Steps 5 / PATT 5</t>
  </si>
  <si>
    <t>S 361 - Budget PO 1010 / Steps 1 / PATT 0</t>
  </si>
  <si>
    <t>S 362 - Budget PO 1010 / Steps 1 / PATT 1</t>
  </si>
  <si>
    <t>S 363 - Budget PO 1010 / Steps 1 / PATT 2</t>
  </si>
  <si>
    <t>S 364 - Budget PO 1010 / Steps 1 / PATT 3</t>
  </si>
  <si>
    <t>S 365 - Budget PO 1010 / Steps 1 / PATT 4</t>
  </si>
  <si>
    <t>S 366 - Budget PO 1010 / Steps 1 / PATT 5</t>
  </si>
  <si>
    <t>S 367 - Budget PO 1010 / Steps 2 / PATT 0</t>
  </si>
  <si>
    <t>S 368 - Budget PO 1010 / Steps 2 / PATT 1</t>
  </si>
  <si>
    <t>S 369 - Budget PO 1010 / Steps 2 / PATT 2</t>
  </si>
  <si>
    <t>S 370 - Budget PO 1010 / Steps 2 / PATT 3</t>
  </si>
  <si>
    <t>S 371 - Budget PO 1010 / Steps 2 / PATT 4</t>
  </si>
  <si>
    <t>S 372 - Budget PO 1010 / Steps 2 / PATT 5</t>
  </si>
  <si>
    <t>S 373 - Budget PO 1010 / Steps 3 / PATT 0</t>
  </si>
  <si>
    <t>S 374 - Budget PO 1010 / Steps 3 / PATT 1</t>
  </si>
  <si>
    <t>S 375 - Budget PO 1010 / Steps 3 / PATT 2</t>
  </si>
  <si>
    <t>S 376 - Budget PO 1010 / Steps 3 / PATT 3</t>
  </si>
  <si>
    <t>S 377 - Budget PO 1010 / Steps 3 / PATT 4</t>
  </si>
  <si>
    <t>S 378 - Budget PO 1010 / Steps 3 / PATT 5</t>
  </si>
  <si>
    <t>S 379 - Budget PO 1010 / Steps 4 / PATT 0</t>
  </si>
  <si>
    <t>S 380 - Budget PO 1010 / Steps 4 / PATT 1</t>
  </si>
  <si>
    <t>S 381 - Budget PO 1010 / Steps 4 / PATT 2</t>
  </si>
  <si>
    <t>S 382 - Budget PO 1010 / Steps 4 / PATT 3</t>
  </si>
  <si>
    <t>S 383 - Budget PO 1010 / Steps 4 / PATT 4</t>
  </si>
  <si>
    <t>S 384 - Budget PO 1010 / Steps 4 / PATT 5</t>
  </si>
  <si>
    <t>S 385 - Budget PO 1010 / Steps 5 / PATT 0</t>
  </si>
  <si>
    <t>S 386 - Budget PO 1010 / Steps 5 / PATT 1</t>
  </si>
  <si>
    <t>S 387 - Budget PO 1010 / Steps 5 / PATT 2</t>
  </si>
  <si>
    <t>S 388 - Budget PO 1010 / Steps 5 / PATT 3</t>
  </si>
  <si>
    <t>S 389 - Budget PO 1010 / Steps 5 / PATT 4</t>
  </si>
  <si>
    <t>S 390 - Budget PO 1010 / Steps 5 / PATT 5</t>
  </si>
  <si>
    <t>S 391 - Budget PO 1015 / Steps 1 / PATT 0</t>
  </si>
  <si>
    <t>S 392 - Budget PO 1015 / Steps 1 / PATT 1</t>
  </si>
  <si>
    <t>S 393 - Budget PO 1015 / Steps 1 / PATT 2</t>
  </si>
  <si>
    <t>S 394 - Budget PO 1015 / Steps 1 / PATT 3</t>
  </si>
  <si>
    <t>S 395 - Budget PO 1015 / Steps 1 / PATT 4</t>
  </si>
  <si>
    <t>S 396 - Budget PO 1015 / Steps 1 / PATT 5</t>
  </si>
  <si>
    <t>S 397 - Budget PO 1015 / Steps 2 / PATT 0</t>
  </si>
  <si>
    <t>S 398 - Budget PO 1015 / Steps 2 / PATT 1</t>
  </si>
  <si>
    <t>S 399 - Budget PO 1015 / Steps 2 / PATT 2</t>
  </si>
  <si>
    <t>S 400 - Budget PO 1015 / Steps 2 / PATT 3</t>
  </si>
  <si>
    <t>S 401 - Budget PO 1015 / Steps 2 / PATT 4</t>
  </si>
  <si>
    <t>S 402 - Budget PO 1015 / Steps 2 / PATT 5</t>
  </si>
  <si>
    <t>S 403 - Budget PO 1015 / Steps 3 / PATT 0</t>
  </si>
  <si>
    <t>S 404 - Budget PO 1015 / Steps 3 / PATT 1</t>
  </si>
  <si>
    <t>S 405 - Budget PO 1015 / Steps 3 / PATT 2</t>
  </si>
  <si>
    <t>S 406 - Budget PO 1015 / Steps 3 / PATT 3</t>
  </si>
  <si>
    <t>S 407 - Budget PO 1015 / Steps 3 / PATT 4</t>
  </si>
  <si>
    <t>S 408 - Budget PO 1015 / Steps 3 / PATT 5</t>
  </si>
  <si>
    <t>S 409 - Budget PO 1015 / Steps 4 / PATT 0</t>
  </si>
  <si>
    <t>S 410 - Budget PO 1015 / Steps 4 / PATT 1</t>
  </si>
  <si>
    <t>S 411 - Budget PO 1015 / Steps 4 / PATT 2</t>
  </si>
  <si>
    <t>S 412 - Budget PO 1015 / Steps 4 / PATT 3</t>
  </si>
  <si>
    <t>S 413 - Budget PO 1015 / Steps 4 / PATT 4</t>
  </si>
  <si>
    <t>S 414 - Budget PO 1015 / Steps 4 / PATT 5</t>
  </si>
  <si>
    <t>S 415 - Budget PO 1015 / Steps 5 / PATT 0</t>
  </si>
  <si>
    <t>S 416 - Budget PO 1015 / Steps 5 / PATT 1</t>
  </si>
  <si>
    <t>S 417 - Budget PO 1015 / Steps 5 / PATT 2</t>
  </si>
  <si>
    <t>S 418 - Budget PO 1015 / Steps 5 / PATT 3</t>
  </si>
  <si>
    <t>S 419 - Budget PO 1015 / Steps 5 / PATT 4</t>
  </si>
  <si>
    <t>S 420 - Budget PO 1015 / Steps 5 / PATT 5</t>
  </si>
  <si>
    <t>S 421 - Budget PO 1020 / Steps 1 / PATT 0</t>
  </si>
  <si>
    <t>S 422 - Budget PO 1020 / Steps 1 / PATT 1</t>
  </si>
  <si>
    <t>S 423 - Budget PO 1020 / Steps 1 / PATT 2</t>
  </si>
  <si>
    <t>S 424 - Budget PO 1020 / Steps 1 / PATT 3</t>
  </si>
  <si>
    <t>S 425 - Budget PO 1020 / Steps 1 / PATT 4</t>
  </si>
  <si>
    <t>S 426 - Budget PO 1020 / Steps 1 / PATT 5</t>
  </si>
  <si>
    <t>S 427 - Budget PO 1020 / Steps 2 / PATT 0</t>
  </si>
  <si>
    <t>S 428 - Budget PO 1020 / Steps 2 / PATT 1</t>
  </si>
  <si>
    <t>S 429 - Budget PO 1020 / Steps 2 / PATT 2</t>
  </si>
  <si>
    <t>S 430 - Budget PO 1020 / Steps 2 / PATT 3</t>
  </si>
  <si>
    <t>S 431 - Budget PO 1020 / Steps 2 / PATT 4</t>
  </si>
  <si>
    <t>S 432 - Budget PO 1020 / Steps 2 / PATT 5</t>
  </si>
  <si>
    <t>S 433 - Budget PO 1020 / Steps 3 / PATT 0</t>
  </si>
  <si>
    <t>S 434 - Budget PO 1020 / Steps 3 / PATT 1</t>
  </si>
  <si>
    <t>S 435 - Budget PO 1020 / Steps 3 / PATT 2</t>
  </si>
  <si>
    <t>S 436 - Budget PO 1020 / Steps 3 / PATT 3</t>
  </si>
  <si>
    <t>S 437 - Budget PO 1020 / Steps 3 / PATT 4</t>
  </si>
  <si>
    <t>S 438 - Budget PO 1020 / Steps 3 / PATT 5</t>
  </si>
  <si>
    <t>S 439 - Budget PO 1020 / Steps 4 / PATT 0</t>
  </si>
  <si>
    <t>S 440 - Budget PO 1020 / Steps 4 / PATT 1</t>
  </si>
  <si>
    <t>S 441 - Budget PO 1020 / Steps 4 / PATT 2</t>
  </si>
  <si>
    <t>S 442 - Budget PO 1020 / Steps 4 / PATT 3</t>
  </si>
  <si>
    <t>S 443 - Budget PO 1020 / Steps 4 / PATT 4</t>
  </si>
  <si>
    <t>S 444 - Budget PO 1020 / Steps 4 / PATT 5</t>
  </si>
  <si>
    <t>S 445 - Budget PO 1020 / Steps 5 / PATT 0</t>
  </si>
  <si>
    <t>S 446 - Budget PO 1020 / Steps 5 / PATT 1</t>
  </si>
  <si>
    <t>S 447 - Budget PO 1020 / Steps 5 / PATT 2</t>
  </si>
  <si>
    <t>S 448 - Budget PO 1020 / Steps 5 / PATT 3</t>
  </si>
  <si>
    <t>S 449 - Budget PO 1020 / Steps 5 / PATT 4</t>
  </si>
  <si>
    <t>S 450 - Budget PO 1020 / Steps 5 / PATT 5</t>
  </si>
  <si>
    <t>S 451 - Budget PO 1025 / Steps 1 / PATT 0</t>
  </si>
  <si>
    <t>S 452 - Budget PO 1025 / Steps 1 / PATT 1</t>
  </si>
  <si>
    <t>S 453 - Budget PO 1025 / Steps 1 / PATT 2</t>
  </si>
  <si>
    <t>S 454 - Budget PO 1025 / Steps 1 / PATT 3</t>
  </si>
  <si>
    <t>S 455 - Budget PO 1025 / Steps 1 / PATT 4</t>
  </si>
  <si>
    <t>S 456 - Budget PO 1025 / Steps 1 / PATT 5</t>
  </si>
  <si>
    <t>S 457 - Budget PO 1025 / Steps 2 / PATT 0</t>
  </si>
  <si>
    <t>S 458 - Budget PO 1025 / Steps 2 / PATT 1</t>
  </si>
  <si>
    <t>S 459 - Budget PO 1025 / Steps 2 / PATT 2</t>
  </si>
  <si>
    <t>S 460 - Budget PO 1025 / Steps 2 / PATT 3</t>
  </si>
  <si>
    <t>S 461 - Budget PO 1025 / Steps 2 / PATT 4</t>
  </si>
  <si>
    <t>S 462 - Budget PO 1025 / Steps 2 / PATT 5</t>
  </si>
  <si>
    <t>S 463 - Budget PO 1025 / Steps 3 / PATT 0</t>
  </si>
  <si>
    <t>S 464 - Budget PO 1025 / Steps 3 / PATT 1</t>
  </si>
  <si>
    <t>S 465 - Budget PO 1025 / Steps 3 / PATT 2</t>
  </si>
  <si>
    <t>S 466 - Budget PO 1025 / Steps 3 / PATT 3</t>
  </si>
  <si>
    <t>S 467 - Budget PO 1025 / Steps 3 / PATT 4</t>
  </si>
  <si>
    <t>S 468 - Budget PO 1025 / Steps 3 / PATT 5</t>
  </si>
  <si>
    <t>S 469 - Budget PO 1025 / Steps 4 / PATT 0</t>
  </si>
  <si>
    <t>S 470 - Budget PO 1025 / Steps 4 / PATT 1</t>
  </si>
  <si>
    <t>S 471 - Budget PO 1025 / Steps 4 / PATT 2</t>
  </si>
  <si>
    <t>S 472 - Budget PO 1025 / Steps 4 / PATT 3</t>
  </si>
  <si>
    <t>S 473 - Budget PO 1025 / Steps 4 / PATT 4</t>
  </si>
  <si>
    <t>S 474 - Budget PO 1025 / Steps 4 / PATT 5</t>
  </si>
  <si>
    <t>S 475 - Budget PO 1025 / Steps 5 / PATT 0</t>
  </si>
  <si>
    <t>S 476 - Budget PO 1025 / Steps 5 / PATT 1</t>
  </si>
  <si>
    <t>S 477 - Budget PO 1025 / Steps 5 / PATT 2</t>
  </si>
  <si>
    <t>S 478 - Budget PO 1025 / Steps 5 / PATT 3</t>
  </si>
  <si>
    <t>S 479 - Budget PO 1025 / Steps 5 / PATT 4</t>
  </si>
  <si>
    <t>S 480 - Budget PO 1025 / Steps 5 / PATT 5</t>
  </si>
  <si>
    <t>S 481 - Budget PO 1030 / Steps 1 / PATT 0</t>
  </si>
  <si>
    <t>S 482 - Budget PO 1030 / Steps 1 / PATT 1</t>
  </si>
  <si>
    <t>S 483 - Budget PO 1030 / Steps 1 / PATT 2</t>
  </si>
  <si>
    <t>S 484 - Budget PO 1030 / Steps 1 / PATT 3</t>
  </si>
  <si>
    <t>S 485 - Budget PO 1030 / Steps 1 / PATT 4</t>
  </si>
  <si>
    <t>S 486 - Budget PO 1030 / Steps 1 / PATT 5</t>
  </si>
  <si>
    <t>S 487 - Budget PO 1030 / Steps 2 / PATT 0</t>
  </si>
  <si>
    <t>S 488 - Budget PO 1030 / Steps 2 / PATT 1</t>
  </si>
  <si>
    <t>S 489 - Budget PO 1030 / Steps 2 / PATT 2</t>
  </si>
  <si>
    <t>S 490 - Budget PO 1030 / Steps 2 / PATT 3</t>
  </si>
  <si>
    <t>S 491 - Budget PO 1030 / Steps 2 / PATT 4</t>
  </si>
  <si>
    <t>S 492 - Budget PO 1030 / Steps 2 / PATT 5</t>
  </si>
  <si>
    <t>S 493 - Budget PO 1030 / Steps 3 / PATT 0</t>
  </si>
  <si>
    <t>S 494 - Budget PO 1030 / Steps 3 / PATT 1</t>
  </si>
  <si>
    <t>S 495 - Budget PO 1030 / Steps 3 / PATT 2</t>
  </si>
  <si>
    <t>S 496 - Budget PO 1030 / Steps 3 / PATT 3</t>
  </si>
  <si>
    <t>S 497 - Budget PO 1030 / Steps 3 / PATT 4</t>
  </si>
  <si>
    <t>S 498 - Budget PO 1030 / Steps 3 / PATT 5</t>
  </si>
  <si>
    <t>S 499 - Budget PO 1030 / Steps 4 / PATT 0</t>
  </si>
  <si>
    <t>S 500 - Budget PO 1030 / Steps 4 / PATT 1</t>
  </si>
  <si>
    <t>S 501 - Budget PO 1030 / Steps 4 / PATT 2</t>
  </si>
  <si>
    <t>S 502 - Budget PO 1030 / Steps 4 / PATT 3</t>
  </si>
  <si>
    <t>S 503 - Budget PO 1030 / Steps 4 / PATT 4</t>
  </si>
  <si>
    <t>S 504 - Budget PO 1030 / Steps 4 / PATT 5</t>
  </si>
  <si>
    <t>S 505 - Budget PO 1030 / Steps 5 / PATT 0</t>
  </si>
  <si>
    <t>S 506 - Budget PO 1030 / Steps 5 / PATT 1</t>
  </si>
  <si>
    <t>S 507 - Budget PO 1030 / Steps 5 / PATT 2</t>
  </si>
  <si>
    <t>S 508 - Budget PO 1030 / Steps 5 / PATT 3</t>
  </si>
  <si>
    <t>S 509 - Budget PO 1030 / Steps 5 / PATT 4</t>
  </si>
  <si>
    <t>S 510 - Budget PO 1030 / Steps 5 / PATT 5</t>
  </si>
  <si>
    <t>S 511 - Budget PO 1035 / Steps 1 / PATT 0</t>
  </si>
  <si>
    <t>S 512 - Budget PO 1035 / Steps 1 / PATT 1</t>
  </si>
  <si>
    <t>S 513 - Budget PO 1035 / Steps 1 / PATT 2</t>
  </si>
  <si>
    <t>S 514 - Budget PO 1035 / Steps 1 / PATT 3</t>
  </si>
  <si>
    <t>S 515 - Budget PO 1035 / Steps 1 / PATT 4</t>
  </si>
  <si>
    <t>S 516 - Budget PO 1035 / Steps 1 / PATT 5</t>
  </si>
  <si>
    <t>S 517 - Budget PO 1035 / Steps 2 / PATT 0</t>
  </si>
  <si>
    <t>S 518 - Budget PO 1035 / Steps 2 / PATT 1</t>
  </si>
  <si>
    <t>S 519 - Budget PO 1035 / Steps 2 / PATT 2</t>
  </si>
  <si>
    <t>S 520 - Budget PO 1035 / Steps 2 / PATT 3</t>
  </si>
  <si>
    <t>S 521 - Budget PO 1035 / Steps 2 / PATT 4</t>
  </si>
  <si>
    <t>S 522 - Budget PO 1035 / Steps 2 / PATT 5</t>
  </si>
  <si>
    <t>S 523 - Budget PO 1035 / Steps 3 / PATT 0</t>
  </si>
  <si>
    <t>S 524 - Budget PO 1035 / Steps 3 / PATT 1</t>
  </si>
  <si>
    <t>S 525 - Budget PO 1035 / Steps 3 / PATT 2</t>
  </si>
  <si>
    <t>S 526 - Budget PO 1035 / Steps 3 / PATT 3</t>
  </si>
  <si>
    <t>S 527 - Budget PO 1035 / Steps 3 / PATT 4</t>
  </si>
  <si>
    <t>S 528 - Budget PO 1035 / Steps 3 / PATT 5</t>
  </si>
  <si>
    <t>S 529 - Budget PO 1035 / Steps 4 / PATT 0</t>
  </si>
  <si>
    <t>S 530 - Budget PO 1035 / Steps 4 / PATT 1</t>
  </si>
  <si>
    <t>S 531 - Budget PO 1035 / Steps 4 / PATT 2</t>
  </si>
  <si>
    <t>S 532 - Budget PO 1035 / Steps 4 / PATT 3</t>
  </si>
  <si>
    <t>S 533 - Budget PO 1035 / Steps 4 / PATT 4</t>
  </si>
  <si>
    <t>S 534 - Budget PO 1035 / Steps 4 / PATT 5</t>
  </si>
  <si>
    <t>S 535 - Budget PO 1035 / Steps 5 / PATT 0</t>
  </si>
  <si>
    <t>S 536 - Budget PO 1035 / Steps 5 / PATT 1</t>
  </si>
  <si>
    <t>S 537 - Budget PO 1035 / Steps 5 / PATT 2</t>
  </si>
  <si>
    <t>S 538 - Budget PO 1035 / Steps 5 / PATT 3</t>
  </si>
  <si>
    <t>S 539 - Budget PO 1035 / Steps 5 / PATT 4</t>
  </si>
  <si>
    <t>S 540 - Budget PO 1035 / Steps 5 / PATT 5</t>
  </si>
  <si>
    <t>S 541 - Budget PO 1040 / Steps 1 / PATT 0</t>
  </si>
  <si>
    <t>S 542 - Budget PO 1040 / Steps 1 / PATT 1</t>
  </si>
  <si>
    <t>S 543 - Budget PO 1040 / Steps 1 / PATT 2</t>
  </si>
  <si>
    <t>S 544 - Budget PO 1040 / Steps 1 / PATT 3</t>
  </si>
  <si>
    <t>S 545 - Budget PO 1040 / Steps 1 / PATT 4</t>
  </si>
  <si>
    <t>S 546 - Budget PO 1040 / Steps 1 / PATT 5</t>
  </si>
  <si>
    <t>S 547 - Budget PO 1040 / Steps 2 / PATT 0</t>
  </si>
  <si>
    <t>S 548 - Budget PO 1040 / Steps 2 / PATT 1</t>
  </si>
  <si>
    <t>S 549 - Budget PO 1040 / Steps 2 / PATT 2</t>
  </si>
  <si>
    <t>S 550 - Budget PO 1040 / Steps 2 / PATT 3</t>
  </si>
  <si>
    <t>S 551 - Budget PO 1040 / Steps 2 / PATT 4</t>
  </si>
  <si>
    <t>S 552 - Budget PO 1040 / Steps 2 / PATT 5</t>
  </si>
  <si>
    <t>S 553 - Budget PO 1040 / Steps 3 / PATT 0</t>
  </si>
  <si>
    <t>S 554 - Budget PO 1040 / Steps 3 / PATT 1</t>
  </si>
  <si>
    <t>S 555 - Budget PO 1040 / Steps 3 / PATT 2</t>
  </si>
  <si>
    <t>S 556 - Budget PO 1040 / Steps 3 / PATT 3</t>
  </si>
  <si>
    <t>S 557 - Budget PO 1040 / Steps 3 / PATT 4</t>
  </si>
  <si>
    <t>S 558 - Budget PO 1040 / Steps 3 / PATT 5</t>
  </si>
  <si>
    <t>S 559 - Budget PO 1040 / Steps 4 / PATT 0</t>
  </si>
  <si>
    <t>S 560 - Budget PO 1040 / Steps 4 / PATT 1</t>
  </si>
  <si>
    <t>S 561 - Budget PO 1040 / Steps 4 / PATT 2</t>
  </si>
  <si>
    <t>S 562 - Budget PO 1040 / Steps 4 / PATT 3</t>
  </si>
  <si>
    <t>S 563 - Budget PO 1040 / Steps 4 / PATT 4</t>
  </si>
  <si>
    <t>S 564 - Budget PO 1040 / Steps 4 / PATT 5</t>
  </si>
  <si>
    <t>S 565 - Budget PO 1040 / Steps 5 / PATT 0</t>
  </si>
  <si>
    <t>S 566 - Budget PO 1040 / Steps 5 / PATT 1</t>
  </si>
  <si>
    <t>S 567 - Budget PO 1040 / Steps 5 / PATT 2</t>
  </si>
  <si>
    <t>S 568 - Budget PO 1040 / Steps 5 / PATT 3</t>
  </si>
  <si>
    <t>S 569 - Budget PO 1040 / Steps 5 / PATT 4</t>
  </si>
  <si>
    <t>S 570 - Budget PO 1040 / Steps 5 / PATT 5</t>
  </si>
  <si>
    <t>S 571 - Budget PO 1045 / Steps 1 / PATT 0</t>
  </si>
  <si>
    <t>S 572 - Budget PO 1045 / Steps 1 / PATT 1</t>
  </si>
  <si>
    <t>S 573 - Budget PO 1045 / Steps 1 / PATT 2</t>
  </si>
  <si>
    <t>S 574 - Budget PO 1045 / Steps 1 / PATT 3</t>
  </si>
  <si>
    <t>S 575 - Budget PO 1045 / Steps 1 / PATT 4</t>
  </si>
  <si>
    <t>S 576 - Budget PO 1045 / Steps 1 / PATT 5</t>
  </si>
  <si>
    <t>S 577 - Budget PO 1045 / Steps 2 / PATT 0</t>
  </si>
  <si>
    <t>S 578 - Budget PO 1045 / Steps 2 / PATT 1</t>
  </si>
  <si>
    <t>S 579 - Budget PO 1045 / Steps 2 / PATT 2</t>
  </si>
  <si>
    <t>S 580 - Budget PO 1045 / Steps 2 / PATT 3</t>
  </si>
  <si>
    <t>S 581 - Budget PO 1045 / Steps 2 / PATT 4</t>
  </si>
  <si>
    <t>S 582 - Budget PO 1045 / Steps 2 / PATT 5</t>
  </si>
  <si>
    <t>S 583 - Budget PO 1045 / Steps 3 / PATT 0</t>
  </si>
  <si>
    <t>S 584 - Budget PO 1045 / Steps 3 / PATT 1</t>
  </si>
  <si>
    <t>S 585 - Budget PO 1045 / Steps 3 / PATT 2</t>
  </si>
  <si>
    <t>S 586 - Budget PO 1045 / Steps 3 / PATT 3</t>
  </si>
  <si>
    <t>S 587 - Budget PO 1045 / Steps 3 / PATT 4</t>
  </si>
  <si>
    <t>S 588 - Budget PO 1045 / Steps 3 / PATT 5</t>
  </si>
  <si>
    <t>S 589 - Budget PO 1045 / Steps 4 / PATT 0</t>
  </si>
  <si>
    <t>S 590 - Budget PO 1045 / Steps 4 / PATT 1</t>
  </si>
  <si>
    <t>S 591 - Budget PO 1045 / Steps 4 / PATT 2</t>
  </si>
  <si>
    <t>S 592 - Budget PO 1045 / Steps 4 / PATT 3</t>
  </si>
  <si>
    <t>S 593 - Budget PO 1045 / Steps 4 / PATT 4</t>
  </si>
  <si>
    <t>S 594 - Budget PO 1045 / Steps 4 / PATT 5</t>
  </si>
  <si>
    <t>S 595 - Budget PO 1045 / Steps 5 / PATT 0</t>
  </si>
  <si>
    <t>S 596 - Budget PO 1045 / Steps 5 / PATT 1</t>
  </si>
  <si>
    <t>S 597 - Budget PO 1045 / Steps 5 / PATT 2</t>
  </si>
  <si>
    <t>S 598 - Budget PO 1045 / Steps 5 / PATT 3</t>
  </si>
  <si>
    <t>S 599 - Budget PO 1045 / Steps 5 / PATT 4</t>
  </si>
  <si>
    <t>S 600 - Budget PO 1045 / Steps 5 / PATT 5</t>
  </si>
  <si>
    <t>S 601 - Budget PO 1050 / Steps 1 / PATT 0</t>
  </si>
  <si>
    <t>S 602 - Budget PO 1050 / Steps 1 / PATT 1</t>
  </si>
  <si>
    <t>S 603 - Budget PO 1050 / Steps 1 / PATT 2</t>
  </si>
  <si>
    <t>S 604 - Budget PO 1050 / Steps 1 / PATT 3</t>
  </si>
  <si>
    <t>S 605 - Budget PO 1050 / Steps 1 / PATT 4</t>
  </si>
  <si>
    <t>S 606 - Budget PO 1050 / Steps 1 / PATT 5</t>
  </si>
  <si>
    <t>S 607 - Budget PO 1050 / Steps 2 / PATT 0</t>
  </si>
  <si>
    <t>S 608 - Budget PO 1050 / Steps 2 / PATT 1</t>
  </si>
  <si>
    <t>S 609 - Budget PO 1050 / Steps 2 / PATT 2</t>
  </si>
  <si>
    <t>S 610 - Budget PO 1050 / Steps 2 / PATT 3</t>
  </si>
  <si>
    <t>S 611 - Budget PO 1050 / Steps 2 / PATT 4</t>
  </si>
  <si>
    <t>S 612 - Budget PO 1050 / Steps 2 / PATT 5</t>
  </si>
  <si>
    <t>S 613 - Budget PO 1050 / Steps 3 / PATT 0</t>
  </si>
  <si>
    <t>S 614 - Budget PO 1050 / Steps 3 / PATT 1</t>
  </si>
  <si>
    <t>S 615 - Budget PO 1050 / Steps 3 / PATT 2</t>
  </si>
  <si>
    <t>S 616 - Budget PO 1050 / Steps 3 / PATT 3</t>
  </si>
  <si>
    <t>S 617 - Budget PO 1050 / Steps 3 / PATT 4</t>
  </si>
  <si>
    <t>S 618 - Budget PO 1050 / Steps 3 / PATT 5</t>
  </si>
  <si>
    <t>S 619 - Budget PO 1050 / Steps 4 / PATT 0</t>
  </si>
  <si>
    <t>S 620 - Budget PO 1050 / Steps 4 / PATT 1</t>
  </si>
  <si>
    <t>S 621 - Budget PO 1050 / Steps 4 / PATT 2</t>
  </si>
  <si>
    <t>S 622 - Budget PO 1050 / Steps 4 / PATT 3</t>
  </si>
  <si>
    <t>S 623 - Budget PO 1050 / Steps 4 / PATT 4</t>
  </si>
  <si>
    <t>S 624 - Budget PO 1050 / Steps 4 / PATT 5</t>
  </si>
  <si>
    <t>S 625 - Budget PO 1050 / Steps 5 / PATT 0</t>
  </si>
  <si>
    <t>S 626 - Budget PO 1050 / Steps 5 / PATT 1</t>
  </si>
  <si>
    <t>S 627 - Budget PO 1050 / Steps 5 / PATT 2</t>
  </si>
  <si>
    <t>S 628 - Budget PO 1050 / Steps 5 / PATT 3</t>
  </si>
  <si>
    <t>S 629 - Budget PO 1050 / Steps 5 / PATT 4</t>
  </si>
  <si>
    <t>S 630 - Budget PO 1050 / Steps 5 / PATT 5</t>
  </si>
  <si>
    <t>S 631 - Budget PO 1055 / Steps 1 / PATT 0</t>
  </si>
  <si>
    <t>S 632 - Budget PO 1055 / Steps 1 / PATT 1</t>
  </si>
  <si>
    <t>S 633 - Budget PO 1055 / Steps 1 / PATT 2</t>
  </si>
  <si>
    <t>S 634 - Budget PO 1055 / Steps 1 / PATT 3</t>
  </si>
  <si>
    <t>S 635 - Budget PO 1055 / Steps 1 / PATT 4</t>
  </si>
  <si>
    <t>S 636 - Budget PO 1055 / Steps 1 / PATT 5</t>
  </si>
  <si>
    <t>S 637 - Budget PO 1055 / Steps 2 / PATT 0</t>
  </si>
  <si>
    <t>S 638 - Budget PO 1055 / Steps 2 / PATT 1</t>
  </si>
  <si>
    <t>S 639 - Budget PO 1055 / Steps 2 / PATT 2</t>
  </si>
  <si>
    <t>S 640 - Budget PO 1055 / Steps 2 / PATT 3</t>
  </si>
  <si>
    <t>S 641 - Budget PO 1055 / Steps 2 / PATT 4</t>
  </si>
  <si>
    <t>S 642 - Budget PO 1055 / Steps 2 / PATT 5</t>
  </si>
  <si>
    <t>S 643 - Budget PO 1055 / Steps 3 / PATT 0</t>
  </si>
  <si>
    <t>S 644 - Budget PO 1055 / Steps 3 / PATT 1</t>
  </si>
  <si>
    <t>S 645 - Budget PO 1055 / Steps 3 / PATT 2</t>
  </si>
  <si>
    <t>S 646 - Budget PO 1055 / Steps 3 / PATT 3</t>
  </si>
  <si>
    <t>S 647 - Budget PO 1055 / Steps 3 / PATT 4</t>
  </si>
  <si>
    <t>S 648 - Budget PO 1055 / Steps 3 / PATT 5</t>
  </si>
  <si>
    <t>S 649 - Budget PO 1055 / Steps 4 / PATT 0</t>
  </si>
  <si>
    <t>S 650 - Budget PO 1055 / Steps 4 / PATT 1</t>
  </si>
  <si>
    <t>S 651 - Budget PO 1055 / Steps 4 / PATT 2</t>
  </si>
  <si>
    <t>S 652 - Budget PO 1055 / Steps 4 / PATT 3</t>
  </si>
  <si>
    <t>S 653 - Budget PO 1055 / Steps 4 / PATT 4</t>
  </si>
  <si>
    <t>S 654 - Budget PO 1055 / Steps 4 / PATT 5</t>
  </si>
  <si>
    <t>S 655 - Budget PO 1055 / Steps 5 / PATT 0</t>
  </si>
  <si>
    <t>S 656 - Budget PO 1055 / Steps 5 / PATT 1</t>
  </si>
  <si>
    <t>S 657 - Budget PO 1055 / Steps 5 / PATT 2</t>
  </si>
  <si>
    <t>S 658 - Budget PO 1055 / Steps 5 / PATT 3</t>
  </si>
  <si>
    <t>S 659 - Budget PO 1055 / Steps 5 / PATT 4</t>
  </si>
  <si>
    <t>S 660 - Budget PO 1055 / Steps 5 / PATT 5</t>
  </si>
  <si>
    <t>S 661 - Budget PO 1060 / Steps 1 / PATT 0</t>
  </si>
  <si>
    <t>S 662 - Budget PO 1060 / Steps 1 / PATT 1</t>
  </si>
  <si>
    <t>S 663 - Budget PO 1060 / Steps 1 / PATT 2</t>
  </si>
  <si>
    <t>S 664 - Budget PO 1060 / Steps 1 / PATT 3</t>
  </si>
  <si>
    <t>S 665 - Budget PO 1060 / Steps 1 / PATT 4</t>
  </si>
  <si>
    <t>S 666 - Budget PO 1060 / Steps 1 / PATT 5</t>
  </si>
  <si>
    <t>S 667 - Budget PO 1060 / Steps 2 / PATT 0</t>
  </si>
  <si>
    <t>S 668 - Budget PO 1060 / Steps 2 / PATT 1</t>
  </si>
  <si>
    <t>S 669 - Budget PO 1060 / Steps 2 / PATT 2</t>
  </si>
  <si>
    <t>S 670 - Budget PO 1060 / Steps 2 / PATT 3</t>
  </si>
  <si>
    <t>S 671 - Budget PO 1060 / Steps 2 / PATT 4</t>
  </si>
  <si>
    <t>S 672 - Budget PO 1060 / Steps 2 / PATT 5</t>
  </si>
  <si>
    <t>S 673 - Budget PO 1060 / Steps 3 / PATT 0</t>
  </si>
  <si>
    <t>S 674 - Budget PO 1060 / Steps 3 / PATT 1</t>
  </si>
  <si>
    <t>S 675 - Budget PO 1060 / Steps 3 / PATT 2</t>
  </si>
  <si>
    <t>S 676 - Budget PO 1060 / Steps 3 / PATT 3</t>
  </si>
  <si>
    <t>S 677 - Budget PO 1060 / Steps 3 / PATT 4</t>
  </si>
  <si>
    <t>S 678 - Budget PO 1060 / Steps 3 / PATT 5</t>
  </si>
  <si>
    <t>S 679 - Budget PO 1060 / Steps 4 / PATT 0</t>
  </si>
  <si>
    <t>S 680 - Budget PO 1060 / Steps 4 / PATT 1</t>
  </si>
  <si>
    <t>S 681 - Budget PO 1060 / Steps 4 / PATT 2</t>
  </si>
  <si>
    <t>S 682 - Budget PO 1060 / Steps 4 / PATT 3</t>
  </si>
  <si>
    <t>S 683 - Budget PO 1060 / Steps 4 / PATT 4</t>
  </si>
  <si>
    <t>S 684 - Budget PO 1060 / Steps 4 / PATT 5</t>
  </si>
  <si>
    <t>S 685 - Budget PO 1060 / Steps 5 / PATT 0</t>
  </si>
  <si>
    <t>S 686 - Budget PO 1060 / Steps 5 / PATT 1</t>
  </si>
  <si>
    <t>S 687 - Budget PO 1060 / Steps 5 / PATT 2</t>
  </si>
  <si>
    <t>S 688 - Budget PO 1060 / Steps 5 / PATT 3</t>
  </si>
  <si>
    <t>S 689 - Budget PO 1060 / Steps 5 / PATT 4</t>
  </si>
  <si>
    <t>S 690 - Budget PO 1060 / Steps 5 / PATT 5</t>
  </si>
  <si>
    <t>S 691 - Budget PO 1065 / Steps 1 / PATT 0</t>
  </si>
  <si>
    <t>S 692 - Budget PO 1065 / Steps 1 / PATT 1</t>
  </si>
  <si>
    <t>S 693 - Budget PO 1065 / Steps 1 / PATT 2</t>
  </si>
  <si>
    <t>S 694 - Budget PO 1065 / Steps 1 / PATT 3</t>
  </si>
  <si>
    <t>S 695 - Budget PO 1065 / Steps 1 / PATT 4</t>
  </si>
  <si>
    <t>S 696 - Budget PO 1065 / Steps 1 / PATT 5</t>
  </si>
  <si>
    <t>S 697 - Budget PO 1065 / Steps 2 / PATT 0</t>
  </si>
  <si>
    <t>S 698 - Budget PO 1065 / Steps 2 / PATT 1</t>
  </si>
  <si>
    <t>S 699 - Budget PO 1065 / Steps 2 / PATT 2</t>
  </si>
  <si>
    <t>S 700 - Budget PO 1065 / Steps 2 / PATT 3</t>
  </si>
  <si>
    <t>S 701 - Budget PO 1065 / Steps 2 / PATT 4</t>
  </si>
  <si>
    <t>S 702 - Budget PO 1065 / Steps 2 / PATT 5</t>
  </si>
  <si>
    <t>S 703 - Budget PO 1065 / Steps 3 / PATT 0</t>
  </si>
  <si>
    <t>S 704 - Budget PO 1065 / Steps 3 / PATT 1</t>
  </si>
  <si>
    <t>S 705 - Budget PO 1065 / Steps 3 / PATT 2</t>
  </si>
  <si>
    <t>S 706 - Budget PO 1065 / Steps 3 / PATT 3</t>
  </si>
  <si>
    <t>S 707 - Budget PO 1065 / Steps 3 / PATT 4</t>
  </si>
  <si>
    <t>S 708 - Budget PO 1065 / Steps 3 / PATT 5</t>
  </si>
  <si>
    <t>S 709 - Budget PO 1065 / Steps 4 / PATT 0</t>
  </si>
  <si>
    <t>S 710 - Budget PO 1065 / Steps 4 / PATT 1</t>
  </si>
  <si>
    <t>S 711 - Budget PO 1065 / Steps 4 / PATT 2</t>
  </si>
  <si>
    <t>S 712 - Budget PO 1065 / Steps 4 / PATT 3</t>
  </si>
  <si>
    <t>S 713 - Budget PO 1065 / Steps 4 / PATT 4</t>
  </si>
  <si>
    <t>S 714 - Budget PO 1065 / Steps 4 / PATT 5</t>
  </si>
  <si>
    <t>S 715 - Budget PO 1065 / Steps 5 / PATT 0</t>
  </si>
  <si>
    <t>S 716 - Budget PO 1065 / Steps 5 / PATT 1</t>
  </si>
  <si>
    <t>S 717 - Budget PO 1065 / Steps 5 / PATT 2</t>
  </si>
  <si>
    <t>S 718 - Budget PO 1065 / Steps 5 / PATT 3</t>
  </si>
  <si>
    <t>S 719 - Budget PO 1065 / Steps 5 / PATT 4</t>
  </si>
  <si>
    <t>S 720 - Budget PO 1065 / Steps 5 / PATT 5</t>
  </si>
  <si>
    <t>S 721 - Budget PO 1070 / Steps 1 / PATT 0</t>
  </si>
  <si>
    <t>S 722 - Budget PO 1070 / Steps 1 / PATT 1</t>
  </si>
  <si>
    <t>S 723 - Budget PO 1070 / Steps 1 / PATT 2</t>
  </si>
  <si>
    <t>S 724 - Budget PO 1070 / Steps 1 / PATT 3</t>
  </si>
  <si>
    <t>S 725 - Budget PO 1070 / Steps 1 / PATT 4</t>
  </si>
  <si>
    <t>S 726 - Budget PO 1070 / Steps 1 / PATT 5</t>
  </si>
  <si>
    <t>S 727 - Budget PO 1070 / Steps 2 / PATT 0</t>
  </si>
  <si>
    <t>S 728 - Budget PO 1070 / Steps 2 / PATT 1</t>
  </si>
  <si>
    <t>S 729 - Budget PO 1070 / Steps 2 / PATT 2</t>
  </si>
  <si>
    <t>S 730 - Budget PO 1070 / Steps 2 / PATT 3</t>
  </si>
  <si>
    <t>S 731 - Budget PO 1070 / Steps 2 / PATT 4</t>
  </si>
  <si>
    <t>S 732 - Budget PO 1070 / Steps 2 / PATT 5</t>
  </si>
  <si>
    <t>S 733 - Budget PO 1070 / Steps 3 / PATT 0</t>
  </si>
  <si>
    <t>S 734 - Budget PO 1070 / Steps 3 / PATT 1</t>
  </si>
  <si>
    <t>S 735 - Budget PO 1070 / Steps 3 / PATT 2</t>
  </si>
  <si>
    <t>S 736 - Budget PO 1070 / Steps 3 / PATT 3</t>
  </si>
  <si>
    <t>S 737 - Budget PO 1070 / Steps 3 / PATT 4</t>
  </si>
  <si>
    <t>S 738 - Budget PO 1070 / Steps 3 / PATT 5</t>
  </si>
  <si>
    <t>S 739 - Budget PO 1070 / Steps 4 / PATT 0</t>
  </si>
  <si>
    <t>S 740 - Budget PO 1070 / Steps 4 / PATT 1</t>
  </si>
  <si>
    <t>S 741 - Budget PO 1070 / Steps 4 / PATT 2</t>
  </si>
  <si>
    <t>S 742 - Budget PO 1070 / Steps 4 / PATT 3</t>
  </si>
  <si>
    <t>S 743 - Budget PO 1070 / Steps 4 / PATT 4</t>
  </si>
  <si>
    <t>S 744 - Budget PO 1070 / Steps 4 / PATT 5</t>
  </si>
  <si>
    <t>S 745 - Budget PO 1070 / Steps 5 / PATT 0</t>
  </si>
  <si>
    <t>S 746 - Budget PO 1070 / Steps 5 / PATT 1</t>
  </si>
  <si>
    <t>S 747 - Budget PO 1070 / Steps 5 / PATT 2</t>
  </si>
  <si>
    <t>S 748 - Budget PO 1070 / Steps 5 / PATT 3</t>
  </si>
  <si>
    <t>S 749 - Budget PO 1070 / Steps 5 / PATT 4</t>
  </si>
  <si>
    <t>S 750 - Budget PO 1070 / Steps 5 / PATT 5</t>
  </si>
  <si>
    <t>S 751 - Budget PO 1075 / Steps 1 / PATT 0</t>
  </si>
  <si>
    <t>S 752 - Budget PO 1075 / Steps 1 / PATT 1</t>
  </si>
  <si>
    <t>S 753 - Budget PO 1075 / Steps 1 / PATT 2</t>
  </si>
  <si>
    <t>S 754 - Budget PO 1075 / Steps 1 / PATT 3</t>
  </si>
  <si>
    <t>S 755 - Budget PO 1075 / Steps 1 / PATT 4</t>
  </si>
  <si>
    <t>S 756 - Budget PO 1075 / Steps 1 / PATT 5</t>
  </si>
  <si>
    <t>S 757 - Budget PO 1075 / Steps 2 / PATT 0</t>
  </si>
  <si>
    <t>S 758 - Budget PO 1075 / Steps 2 / PATT 1</t>
  </si>
  <si>
    <t>S 759 - Budget PO 1075 / Steps 2 / PATT 2</t>
  </si>
  <si>
    <t>S 760 - Budget PO 1075 / Steps 2 / PATT 3</t>
  </si>
  <si>
    <t>S 761 - Budget PO 1075 / Steps 2 / PATT 4</t>
  </si>
  <si>
    <t>S 762 - Budget PO 1075 / Steps 2 / PATT 5</t>
  </si>
  <si>
    <t>S 763 - Budget PO 1075 / Steps 3 / PATT 0</t>
  </si>
  <si>
    <t>S 764 - Budget PO 1075 / Steps 3 / PATT 1</t>
  </si>
  <si>
    <t>S 765 - Budget PO 1075 / Steps 3 / PATT 2</t>
  </si>
  <si>
    <t>S 766 - Budget PO 1075 / Steps 3 / PATT 3</t>
  </si>
  <si>
    <t>S 767 - Budget PO 1075 / Steps 3 / PATT 4</t>
  </si>
  <si>
    <t>S 768 - Budget PO 1075 / Steps 3 / PATT 5</t>
  </si>
  <si>
    <t>S 769 - Budget PO 1075 / Steps 4 / PATT 0</t>
  </si>
  <si>
    <t>S 770 - Budget PO 1075 / Steps 4 / PATT 1</t>
  </si>
  <si>
    <t>S 771 - Budget PO 1075 / Steps 4 / PATT 2</t>
  </si>
  <si>
    <t>S 772 - Budget PO 1075 / Steps 4 / PATT 3</t>
  </si>
  <si>
    <t>S 773 - Budget PO 1075 / Steps 4 / PATT 4</t>
  </si>
  <si>
    <t>S 774 - Budget PO 1075 / Steps 4 / PATT 5</t>
  </si>
  <si>
    <t>S 775 - Budget PO 1075 / Steps 5 / PATT 0</t>
  </si>
  <si>
    <t>S 776 - Budget PO 1075 / Steps 5 / PATT 1</t>
  </si>
  <si>
    <t>S 777 - Budget PO 1075 / Steps 5 / PATT 2</t>
  </si>
  <si>
    <t>S 778 - Budget PO 1075 / Steps 5 / PATT 3</t>
  </si>
  <si>
    <t>S 779 - Budget PO 1075 / Steps 5 / PATT 4</t>
  </si>
  <si>
    <t>S 780 - Budget PO 1075 / Steps 5 / PATT 5</t>
  </si>
  <si>
    <t>S 781 - Budget PO 1080 / Steps 1 / PATT 0</t>
  </si>
  <si>
    <t>S 782 - Budget PO 1080 / Steps 1 / PATT 1</t>
  </si>
  <si>
    <t>S 783 - Budget PO 1080 / Steps 1 / PATT 2</t>
  </si>
  <si>
    <t>S 784 - Budget PO 1080 / Steps 1 / PATT 3</t>
  </si>
  <si>
    <t>S 785 - Budget PO 1080 / Steps 1 / PATT 4</t>
  </si>
  <si>
    <t>S 786 - Budget PO 1080 / Steps 1 / PATT 5</t>
  </si>
  <si>
    <t>S 787 - Budget PO 1080 / Steps 2 / PATT 0</t>
  </si>
  <si>
    <t>S 788 - Budget PO 1080 / Steps 2 / PATT 1</t>
  </si>
  <si>
    <t>S 789 - Budget PO 1080 / Steps 2 / PATT 2</t>
  </si>
  <si>
    <t>S 790 - Budget PO 1080 / Steps 2 / PATT 3</t>
  </si>
  <si>
    <t>S 791 - Budget PO 1080 / Steps 2 / PATT 4</t>
  </si>
  <si>
    <t>S 792 - Budget PO 1080 / Steps 2 / PATT 5</t>
  </si>
  <si>
    <t>S 793 - Budget PO 1080 / Steps 3 / PATT 0</t>
  </si>
  <si>
    <t>S 794 - Budget PO 1080 / Steps 3 / PATT 1</t>
  </si>
  <si>
    <t>S 795 - Budget PO 1080 / Steps 3 / PATT 2</t>
  </si>
  <si>
    <t>S 796 - Budget PO 1080 / Steps 3 / PATT 3</t>
  </si>
  <si>
    <t>S 797 - Budget PO 1080 / Steps 3 / PATT 4</t>
  </si>
  <si>
    <t>S 798 - Budget PO 1080 / Steps 3 / PATT 5</t>
  </si>
  <si>
    <t>S 799 - Budget PO 1080 / Steps 4 / PATT 0</t>
  </si>
  <si>
    <t>S 800 - Budget PO 1080 / Steps 4 / PATT 1</t>
  </si>
  <si>
    <t>S 801 - Budget PO 1080 / Steps 4 / PATT 2</t>
  </si>
  <si>
    <t>S 802 - Budget PO 1080 / Steps 4 / PATT 3</t>
  </si>
  <si>
    <t>S 803 - Budget PO 1080 / Steps 4 / PATT 4</t>
  </si>
  <si>
    <t>S 804 - Budget PO 1080 / Steps 4 / PATT 5</t>
  </si>
  <si>
    <t>S 805 - Budget PO 1080 / Steps 5 / PATT 0</t>
  </si>
  <si>
    <t>S 806 - Budget PO 1080 / Steps 5 / PATT 1</t>
  </si>
  <si>
    <t>S 807 - Budget PO 1080 / Steps 5 / PATT 2</t>
  </si>
  <si>
    <t>S 808 - Budget PO 1080 / Steps 5 / PATT 3</t>
  </si>
  <si>
    <t>S 809 - Budget PO 1080 / Steps 5 / PATT 4</t>
  </si>
  <si>
    <t>S 810 - Budget PO 1080 / Steps 5 / PATT 5</t>
  </si>
  <si>
    <t>Total 20-30</t>
  </si>
  <si>
    <t>Total 20-25</t>
  </si>
  <si>
    <t>Ecart 20-30</t>
  </si>
  <si>
    <t>Ecart 20-25</t>
  </si>
  <si>
    <t>ajout des couts incompressibles (env. A) et dépenses 2018 sur B pour les 4 1ères années</t>
  </si>
  <si>
    <t>S1 - budget 1000 CHF - impact incompres.</t>
  </si>
  <si>
    <t>Unité</t>
  </si>
  <si>
    <t>NomUnité</t>
  </si>
  <si>
    <t>Resp. unité</t>
  </si>
  <si>
    <t>ferm. unité</t>
  </si>
  <si>
    <t>F0301</t>
  </si>
  <si>
    <t>LNET</t>
  </si>
  <si>
    <t>TAGLIABUE GIULIA</t>
  </si>
  <si>
    <t>F0304</t>
  </si>
  <si>
    <t>ASL</t>
  </si>
  <si>
    <t>SAYED ALI H.</t>
  </si>
  <si>
    <t>F0305</t>
  </si>
  <si>
    <t>FLEXLAB</t>
  </si>
  <si>
    <t>REIS PEDRO</t>
  </si>
  <si>
    <t>F0307</t>
  </si>
  <si>
    <t>QMAT</t>
  </si>
  <si>
    <t>MOLL PHILIP</t>
  </si>
  <si>
    <t>F0315</t>
  </si>
  <si>
    <t>LFMI</t>
  </si>
  <si>
    <t>GALLAIRE FRANÇOIS</t>
  </si>
  <si>
    <t>F0318</t>
  </si>
  <si>
    <t>RRL</t>
  </si>
  <si>
    <t>PAIK JAMIE</t>
  </si>
  <si>
    <t>F0319</t>
  </si>
  <si>
    <t>LAMMM</t>
  </si>
  <si>
    <t>CURTIN WILLIAM</t>
  </si>
  <si>
    <t>F0320</t>
  </si>
  <si>
    <t>LAMD</t>
  </si>
  <si>
    <t>SCHIFFMANN JÜRG</t>
  </si>
  <si>
    <t>F0321</t>
  </si>
  <si>
    <t>ECPS</t>
  </si>
  <si>
    <t>SCHNEIDER TOBIAS</t>
  </si>
  <si>
    <t>F0322</t>
  </si>
  <si>
    <t>LRESE</t>
  </si>
  <si>
    <t>HAUSSENER SOPHIA</t>
  </si>
  <si>
    <t>F0329</t>
  </si>
  <si>
    <t>PTMH</t>
  </si>
  <si>
    <t>CERRUTTI PHILIPPE</t>
  </si>
  <si>
    <t>F0332</t>
  </si>
  <si>
    <t>LMH</t>
  </si>
  <si>
    <t>AVELLAN FRANÇOIS</t>
  </si>
  <si>
    <t>F0338</t>
  </si>
  <si>
    <t>LIS</t>
  </si>
  <si>
    <t>FLOREANO DARIO</t>
  </si>
  <si>
    <t>F0339</t>
  </si>
  <si>
    <t>LASA</t>
  </si>
  <si>
    <t>BILLARD AUDE</t>
  </si>
  <si>
    <t>F0343</t>
  </si>
  <si>
    <t>LMAF</t>
  </si>
  <si>
    <t>BOTSIS JOHN</t>
  </si>
  <si>
    <t>F0364</t>
  </si>
  <si>
    <t>LA3</t>
  </si>
  <si>
    <t>JONES COLIN</t>
  </si>
  <si>
    <t>F0365</t>
  </si>
  <si>
    <t>MICROBS</t>
  </si>
  <si>
    <t>SAKAR SELMAN</t>
  </si>
  <si>
    <t>F0370</t>
  </si>
  <si>
    <t>EMSI</t>
  </si>
  <si>
    <t>KOLINSKI JOHN</t>
  </si>
  <si>
    <t>F0377</t>
  </si>
  <si>
    <t>AQUA</t>
  </si>
  <si>
    <t>CHARBON EDOARDO</t>
  </si>
  <si>
    <t>F0405</t>
  </si>
  <si>
    <t>LTS5</t>
  </si>
  <si>
    <t>THIRAN JEAN-PHILIPPE</t>
  </si>
  <si>
    <t>F0407</t>
  </si>
  <si>
    <t>LMTS</t>
  </si>
  <si>
    <t>SHEA HERBERT</t>
  </si>
  <si>
    <t>F0414</t>
  </si>
  <si>
    <t>LSM</t>
  </si>
  <si>
    <t>LEBLEBICI YUSUF</t>
  </si>
  <si>
    <t>F0418</t>
  </si>
  <si>
    <t>NANOLAB</t>
  </si>
  <si>
    <t>IONESCU MIHAI ADRIAN</t>
  </si>
  <si>
    <t>F0423</t>
  </si>
  <si>
    <t>LTS2</t>
  </si>
  <si>
    <t>VANDERGHEYNST PIERRE</t>
  </si>
  <si>
    <t>F0425</t>
  </si>
  <si>
    <t>NAM</t>
  </si>
  <si>
    <t>MARTIN OLIVIER</t>
  </si>
  <si>
    <t>F0426</t>
  </si>
  <si>
    <t>LTS4</t>
  </si>
  <si>
    <t>FROSSARD PASCAL</t>
  </si>
  <si>
    <t>F0427</t>
  </si>
  <si>
    <t>LPMQM2</t>
  </si>
  <si>
    <t>KIPPENBERG TOBIAS</t>
  </si>
  <si>
    <t>F0428</t>
  </si>
  <si>
    <t>LANES</t>
  </si>
  <si>
    <t>KIS ANDRAS</t>
  </si>
  <si>
    <t>F0433</t>
  </si>
  <si>
    <t>ESL</t>
  </si>
  <si>
    <t>ATIENZA ALONSO DAVID</t>
  </si>
  <si>
    <t>F0437</t>
  </si>
  <si>
    <t>LIONS</t>
  </si>
  <si>
    <t>CEVHER VOLKAN</t>
  </si>
  <si>
    <t>F0438</t>
  </si>
  <si>
    <t>PHOSL</t>
  </si>
  <si>
    <t>BRES CAMILLE-SOPHIE</t>
  </si>
  <si>
    <t>F0439</t>
  </si>
  <si>
    <t>TCL</t>
  </si>
  <si>
    <t>BURG ANDREAS</t>
  </si>
  <si>
    <t>F0442</t>
  </si>
  <si>
    <t>DESL</t>
  </si>
  <si>
    <t>PAOLONE MARIO</t>
  </si>
  <si>
    <t>F0446</t>
  </si>
  <si>
    <t>PEL</t>
  </si>
  <si>
    <t>DUJIC DRAZEN</t>
  </si>
  <si>
    <t>F0449</t>
  </si>
  <si>
    <t>LWE</t>
  </si>
  <si>
    <t>FLEURY ROMAIN</t>
  </si>
  <si>
    <t>F0808</t>
  </si>
  <si>
    <t>SUNMIL</t>
  </si>
  <si>
    <t>STELLACCI FRANCESCO</t>
  </si>
  <si>
    <t>F0813</t>
  </si>
  <si>
    <t>LMTM</t>
  </si>
  <si>
    <t>LOGE ROLAND</t>
  </si>
  <si>
    <t>F0824</t>
  </si>
  <si>
    <t>LMSC</t>
  </si>
  <si>
    <t>FONTCUBERTA I MORRAL ANNA</t>
  </si>
  <si>
    <t>F0825</t>
  </si>
  <si>
    <t>LMM</t>
  </si>
  <si>
    <t>MORTENSEN ANDREAS</t>
  </si>
  <si>
    <t>F0826</t>
  </si>
  <si>
    <t>LMOM</t>
  </si>
  <si>
    <t>FRAUENRATH HOLGER</t>
  </si>
  <si>
    <t>F0828</t>
  </si>
  <si>
    <t>THEOS</t>
  </si>
  <si>
    <t>MARZARI NICOLA</t>
  </si>
  <si>
    <t>F0829</t>
  </si>
  <si>
    <t>NXMM</t>
  </si>
  <si>
    <t>VAN SWYGENHOVEN HELENA</t>
  </si>
  <si>
    <t>F0830</t>
  </si>
  <si>
    <t>LP</t>
  </si>
  <si>
    <t>KLOK HARM-ANTON</t>
  </si>
  <si>
    <t>F0831</t>
  </si>
  <si>
    <t>FIMAP</t>
  </si>
  <si>
    <t>SORIN FABIEN</t>
  </si>
  <si>
    <t>F0832</t>
  </si>
  <si>
    <t>COSMO</t>
  </si>
  <si>
    <t>CERIOTTI MICHELE</t>
  </si>
  <si>
    <t>F0833</t>
  </si>
  <si>
    <t>SMAL</t>
  </si>
  <si>
    <t>AMSTAD ESTHER</t>
  </si>
  <si>
    <t>F0837</t>
  </si>
  <si>
    <t>INE</t>
  </si>
  <si>
    <t>TILELI VASILIKI</t>
  </si>
  <si>
    <t>F0838</t>
  </si>
  <si>
    <t>PBL</t>
  </si>
  <si>
    <t>BASTINGS MAARTJE</t>
  </si>
  <si>
    <t>F0839</t>
  </si>
  <si>
    <t>LBI</t>
  </si>
  <si>
    <t>TANG LI</t>
  </si>
  <si>
    <t>F0841</t>
  </si>
  <si>
    <t>LPAC</t>
  </si>
  <si>
    <t>MICHAUD VERONIQUE</t>
  </si>
  <si>
    <t>F0851</t>
  </si>
  <si>
    <t>LMC</t>
  </si>
  <si>
    <t>SCRIVENER KAREN</t>
  </si>
  <si>
    <t>F0862</t>
  </si>
  <si>
    <t>CNBI</t>
  </si>
  <si>
    <t>MILLAN RUIZ JOSÉ DEL</t>
  </si>
  <si>
    <t>F0864</t>
  </si>
  <si>
    <t>TNE</t>
  </si>
  <si>
    <t>MICERA SILVESTRO</t>
  </si>
  <si>
    <t>F0880</t>
  </si>
  <si>
    <t>LBNC</t>
  </si>
  <si>
    <t>MÄRKL SEBASTIAN</t>
  </si>
  <si>
    <t>F0881</t>
  </si>
  <si>
    <t>LBEN</t>
  </si>
  <si>
    <t>RADENOVIC ALEKSANDRA</t>
  </si>
  <si>
    <t>F0886</t>
  </si>
  <si>
    <t>CLSE</t>
  </si>
  <si>
    <t>GUIDUCCI CARLOTTA</t>
  </si>
  <si>
    <t>F0887</t>
  </si>
  <si>
    <t>MIPLAB</t>
  </si>
  <si>
    <t>F0888</t>
  </si>
  <si>
    <t>BIOROB</t>
  </si>
  <si>
    <t>IJSPEERT AUKE</t>
  </si>
  <si>
    <t>F0889</t>
  </si>
  <si>
    <t>LBNI</t>
  </si>
  <si>
    <t>FANTNER GEORG</t>
  </si>
  <si>
    <t>F0890</t>
  </si>
  <si>
    <t>LBP</t>
  </si>
  <si>
    <t>ROKE SYLVIE</t>
  </si>
  <si>
    <t>F0891</t>
  </si>
  <si>
    <t>BIOS</t>
  </si>
  <si>
    <t>ALTUG HATICE</t>
  </si>
  <si>
    <t>F0892</t>
  </si>
  <si>
    <t>LPDI</t>
  </si>
  <si>
    <t>CORREIA BRUNO</t>
  </si>
  <si>
    <t>F0893</t>
  </si>
  <si>
    <t>LNE</t>
  </si>
  <si>
    <t>GHEZZI DIEGO</t>
  </si>
  <si>
    <t>F1001</t>
  </si>
  <si>
    <t>LAFT</t>
  </si>
  <si>
    <t>SUBRAMANIAN VIVEK</t>
  </si>
  <si>
    <t>F1022</t>
  </si>
  <si>
    <t>LIB</t>
  </si>
  <si>
    <t>UNSER MICHAEL</t>
  </si>
  <si>
    <t>F1024</t>
  </si>
  <si>
    <t>LO</t>
  </si>
  <si>
    <t>PSALTIS DIMITRIOS</t>
  </si>
  <si>
    <t>F1026</t>
  </si>
  <si>
    <t>LAPD</t>
  </si>
  <si>
    <t>MOSER CHRISTOPHE</t>
  </si>
  <si>
    <t>F1032</t>
  </si>
  <si>
    <t>LMIS4</t>
  </si>
  <si>
    <t>RENAUD PHILIPPE</t>
  </si>
  <si>
    <t>F1034</t>
  </si>
  <si>
    <t>LMIS2</t>
  </si>
  <si>
    <t>GIJS MARTINUS</t>
  </si>
  <si>
    <t>F1035</t>
  </si>
  <si>
    <t>LMIS1</t>
  </si>
  <si>
    <t>BRUGGER JÜRGEN</t>
  </si>
  <si>
    <t>F1038</t>
  </si>
  <si>
    <t>LSBI</t>
  </si>
  <si>
    <t>LACOUR STÉPHANIE</t>
  </si>
  <si>
    <t>F1039</t>
  </si>
  <si>
    <t>INSTANT-LAB</t>
  </si>
  <si>
    <t>HENEIN SIMON</t>
  </si>
  <si>
    <t>F1047</t>
  </si>
  <si>
    <t>PV-LAB</t>
  </si>
  <si>
    <t>BALLIF CHRISTOPHE</t>
  </si>
  <si>
    <t>F1052</t>
  </si>
  <si>
    <t>ICLAB</t>
  </si>
  <si>
    <t>ENZ CHRISTIAN</t>
  </si>
  <si>
    <t>F1053</t>
  </si>
  <si>
    <t>NEMS</t>
  </si>
  <si>
    <t>VILLANUEVA LUIS GUILLERMO</t>
  </si>
  <si>
    <t>F1054</t>
  </si>
  <si>
    <t>GALATEA</t>
  </si>
  <si>
    <t>BELLOUARD YVES</t>
  </si>
  <si>
    <t>F1055</t>
  </si>
  <si>
    <t>UNFOLD</t>
  </si>
  <si>
    <t>MULLENERS KAREN</t>
  </si>
  <si>
    <t>F1056</t>
  </si>
  <si>
    <t>POWERLAB</t>
  </si>
  <si>
    <t>MATIOLI ELISON</t>
  </si>
  <si>
    <t>F1057</t>
  </si>
  <si>
    <t>LMGN</t>
  </si>
  <si>
    <t>GRUNDLER DIRK</t>
  </si>
  <si>
    <t>F1062</t>
  </si>
  <si>
    <t>LHTC</t>
  </si>
  <si>
    <t>STERGIOPULOS NIKOLAOS</t>
  </si>
  <si>
    <t>F1063</t>
  </si>
  <si>
    <t>LBO</t>
  </si>
  <si>
    <t>PIOLETTI DOMINIQUE</t>
  </si>
  <si>
    <t/>
  </si>
  <si>
    <t>LMAM - fonct.</t>
  </si>
  <si>
    <t>1066-1</t>
  </si>
  <si>
    <t>LBO - fonct.</t>
  </si>
  <si>
    <t>1063-1</t>
  </si>
  <si>
    <t>LHTC - fonct.</t>
  </si>
  <si>
    <t>1062-1</t>
  </si>
  <si>
    <t>GR-QUACK fonct.</t>
  </si>
  <si>
    <t>1058-1</t>
  </si>
  <si>
    <t>LMGN fonct.</t>
  </si>
  <si>
    <t>1057-1</t>
  </si>
  <si>
    <t>POWERLAB fonct.</t>
  </si>
  <si>
    <t>1056-1</t>
  </si>
  <si>
    <t>ES Small equiment</t>
  </si>
  <si>
    <t>1055-2</t>
  </si>
  <si>
    <t>UNFOLD fonct.</t>
  </si>
  <si>
    <t>1055-1</t>
  </si>
  <si>
    <t>GALATEA fonct.</t>
  </si>
  <si>
    <t>1054-1</t>
  </si>
  <si>
    <t>NEMS fonct.</t>
  </si>
  <si>
    <t>1053-1</t>
  </si>
  <si>
    <t>ICLAB fonct.</t>
  </si>
  <si>
    <t>1052-1</t>
  </si>
  <si>
    <t>LPMAT fonctionnement</t>
  </si>
  <si>
    <t>1051-1</t>
  </si>
  <si>
    <t>ESPLAB - fonct.</t>
  </si>
  <si>
    <t>1048-1</t>
  </si>
  <si>
    <t>PV-LAB fonct.</t>
  </si>
  <si>
    <t>1047-1</t>
  </si>
  <si>
    <t>STI - INSTANT fonct.</t>
  </si>
  <si>
    <t>1039-1</t>
  </si>
  <si>
    <t>LSBI fonct.</t>
  </si>
  <si>
    <t>1038-1</t>
  </si>
  <si>
    <t>LMIS-CO - fonct.</t>
  </si>
  <si>
    <t>1036-1</t>
  </si>
  <si>
    <t>LMIS1 - BOERO fonct.</t>
  </si>
  <si>
    <t>1035-2</t>
  </si>
  <si>
    <t>LMIS1 - fonct.</t>
  </si>
  <si>
    <t>1035-1</t>
  </si>
  <si>
    <t>LMIS2 - fonct.</t>
  </si>
  <si>
    <t>1034-1</t>
  </si>
  <si>
    <t>LMIS4 - fonct.</t>
  </si>
  <si>
    <t>1032-1</t>
  </si>
  <si>
    <t>LAPD - fonctionnement</t>
  </si>
  <si>
    <t>1026-1</t>
  </si>
  <si>
    <t>LO - fonct.</t>
  </si>
  <si>
    <t>1024-1</t>
  </si>
  <si>
    <t>LIB - fonct.</t>
  </si>
  <si>
    <t>1022-1</t>
  </si>
  <si>
    <t>SEM Microcity</t>
  </si>
  <si>
    <t>1020-9</t>
  </si>
  <si>
    <t>Consommables salle grise</t>
  </si>
  <si>
    <t>1020-8</t>
  </si>
  <si>
    <t>Atelier de Mécanique</t>
  </si>
  <si>
    <t>1020-7</t>
  </si>
  <si>
    <t>Déplacements GE</t>
  </si>
  <si>
    <t>1020-4</t>
  </si>
  <si>
    <t>IMT-LS fonct.</t>
  </si>
  <si>
    <t>1020-3</t>
  </si>
  <si>
    <t>IMT-NE fonct.</t>
  </si>
  <si>
    <t>1020-2</t>
  </si>
  <si>
    <t>IMT-GE - fonct.</t>
  </si>
  <si>
    <t>1020-1</t>
  </si>
  <si>
    <t>ATPR - fonct.</t>
  </si>
  <si>
    <t>1017-1</t>
  </si>
  <si>
    <t>SMT-GE - fonct.</t>
  </si>
  <si>
    <t>1006-1</t>
  </si>
  <si>
    <t>LAFT fonct.</t>
  </si>
  <si>
    <t>1001-1</t>
  </si>
  <si>
    <t>LNE fonct.</t>
  </si>
  <si>
    <t>0893-1</t>
  </si>
  <si>
    <t>LPDI fonct.</t>
  </si>
  <si>
    <t>0892-1</t>
  </si>
  <si>
    <t>BIOS fonct.</t>
  </si>
  <si>
    <t>0891-1</t>
  </si>
  <si>
    <t>LBP fonct.</t>
  </si>
  <si>
    <t>0890-1</t>
  </si>
  <si>
    <t>LBNI - fonct.</t>
  </si>
  <si>
    <t>0889-1</t>
  </si>
  <si>
    <t>BIOROB Compétition robotique</t>
  </si>
  <si>
    <t>0888-2</t>
  </si>
  <si>
    <t>BIOROB - fonct.</t>
  </si>
  <si>
    <t>0888-1</t>
  </si>
  <si>
    <t>MIPLAB fonct.</t>
  </si>
  <si>
    <t>0887-1</t>
  </si>
  <si>
    <t>Swiss-up Guiducci</t>
  </si>
  <si>
    <t>0886-1</t>
  </si>
  <si>
    <t>LBEN - fonct.</t>
  </si>
  <si>
    <t>0881-1</t>
  </si>
  <si>
    <t>iGEM course</t>
  </si>
  <si>
    <t>0880-2</t>
  </si>
  <si>
    <t>LBNC - fonct.</t>
  </si>
  <si>
    <t>0880-1</t>
  </si>
  <si>
    <t>PRN-ROBITICS fonctionnement</t>
  </si>
  <si>
    <t>0871-1</t>
  </si>
  <si>
    <t>MHMC fonct.</t>
  </si>
  <si>
    <t>0865-1</t>
  </si>
  <si>
    <t>TNE fonct.</t>
  </si>
  <si>
    <t>0864-1</t>
  </si>
  <si>
    <t>CNBI fonctionnement</t>
  </si>
  <si>
    <t>0862-1</t>
  </si>
  <si>
    <t>Seed Money Concrete eXperience</t>
  </si>
  <si>
    <t>0851-20</t>
  </si>
  <si>
    <t>LMC - fonct.</t>
  </si>
  <si>
    <t>0851-1</t>
  </si>
  <si>
    <t>Seed Money 3D PRINTING FOR PEACE IN COLO</t>
  </si>
  <si>
    <t>0841-20</t>
  </si>
  <si>
    <t>LPAC fonct.</t>
  </si>
  <si>
    <t>0841-1</t>
  </si>
  <si>
    <t>LBI fonct.</t>
  </si>
  <si>
    <t>0839-1</t>
  </si>
  <si>
    <t>Equipement PBL installation</t>
  </si>
  <si>
    <t>0838-2</t>
  </si>
  <si>
    <t>PBL fonct.</t>
  </si>
  <si>
    <t>0838-1</t>
  </si>
  <si>
    <t>INE fonct.</t>
  </si>
  <si>
    <t>0837-1</t>
  </si>
  <si>
    <t>Fonct. SMAL</t>
  </si>
  <si>
    <t>0833-1</t>
  </si>
  <si>
    <t>COSMO fonct.</t>
  </si>
  <si>
    <t>0832-1</t>
  </si>
  <si>
    <t>FIMAP - fonct.</t>
  </si>
  <si>
    <t>0831-1</t>
  </si>
  <si>
    <t>LP - fonct.</t>
  </si>
  <si>
    <t>0830-1</t>
  </si>
  <si>
    <t>NXMM fonct.</t>
  </si>
  <si>
    <t>0829-1</t>
  </si>
  <si>
    <t>Running costs NCCR</t>
  </si>
  <si>
    <t>0828-2</t>
  </si>
  <si>
    <t>THEOS fonct.</t>
  </si>
  <si>
    <t>0828-1</t>
  </si>
  <si>
    <t>LMOM - fonct.</t>
  </si>
  <si>
    <t>0826-1</t>
  </si>
  <si>
    <t>LMM - fonct.</t>
  </si>
  <si>
    <t>0825-1</t>
  </si>
  <si>
    <t>LMSC - fonct.</t>
  </si>
  <si>
    <t>0824-1</t>
  </si>
  <si>
    <t>LMTM fonctionnement</t>
  </si>
  <si>
    <t>0813-1</t>
  </si>
  <si>
    <t>P.Moll fonct.</t>
  </si>
  <si>
    <t>0810-3</t>
  </si>
  <si>
    <t>IMX - magasin CH</t>
  </si>
  <si>
    <t>0810-2</t>
  </si>
  <si>
    <t>IMX-GE - fonct.</t>
  </si>
  <si>
    <t>0810-1</t>
  </si>
  <si>
    <t>SUNMIL - fonct.</t>
  </si>
  <si>
    <t>0808-1</t>
  </si>
  <si>
    <t>ATMX - fonct.</t>
  </si>
  <si>
    <t>0807-1</t>
  </si>
  <si>
    <t>SMX-GE - fonct.</t>
  </si>
  <si>
    <t>0806-1</t>
  </si>
  <si>
    <t>Mechanical design</t>
  </si>
  <si>
    <t>0493-1</t>
  </si>
  <si>
    <t>Bio</t>
  </si>
  <si>
    <t>0492-2</t>
  </si>
  <si>
    <t>Mat fonct.</t>
  </si>
  <si>
    <t>0492-1</t>
  </si>
  <si>
    <t>Puissance</t>
  </si>
  <si>
    <t>0491-4</t>
  </si>
  <si>
    <t>Photo</t>
  </si>
  <si>
    <t>0491-3</t>
  </si>
  <si>
    <t>Electro</t>
  </si>
  <si>
    <t>0491-2</t>
  </si>
  <si>
    <t>Auto</t>
  </si>
  <si>
    <t>0491-1</t>
  </si>
  <si>
    <t>DLL-STI-GE fonct.</t>
  </si>
  <si>
    <t>0490-1</t>
  </si>
  <si>
    <t>IBI-STI-GE - fonct.</t>
  </si>
  <si>
    <t>0476-1</t>
  </si>
  <si>
    <t>LAI - fonct.</t>
  </si>
  <si>
    <t>0457-1</t>
  </si>
  <si>
    <t>SCI-STI-AS fonct.</t>
  </si>
  <si>
    <t>0450-1</t>
  </si>
  <si>
    <t>LWE fonct.</t>
  </si>
  <si>
    <t>0449-1</t>
  </si>
  <si>
    <t>SCI-STI-RC Fonctionnement</t>
  </si>
  <si>
    <t>0448-1</t>
  </si>
  <si>
    <t>PEL fonctionnement</t>
  </si>
  <si>
    <t>0446-1</t>
  </si>
  <si>
    <t>Fonct. Koukab</t>
  </si>
  <si>
    <t>0443-3</t>
  </si>
  <si>
    <t>Fonct. Sallese</t>
  </si>
  <si>
    <t>0443-1</t>
  </si>
  <si>
    <t>DESL fonct.</t>
  </si>
  <si>
    <t>0442-1</t>
  </si>
  <si>
    <t>TCL fonct.</t>
  </si>
  <si>
    <t>0439-1</t>
  </si>
  <si>
    <t>PHOSL fonct.</t>
  </si>
  <si>
    <t>0438-1</t>
  </si>
  <si>
    <t>LIONS - fonct.</t>
  </si>
  <si>
    <t>0437-1</t>
  </si>
  <si>
    <t>GR-KA fonct.</t>
  </si>
  <si>
    <t>0434-1</t>
  </si>
  <si>
    <t>ESL - fonct.</t>
  </si>
  <si>
    <t>0433-1</t>
  </si>
  <si>
    <t>GR-EB fonct.</t>
  </si>
  <si>
    <t>0429-1</t>
  </si>
  <si>
    <t>LANES - fonct.</t>
  </si>
  <si>
    <t>0428-1</t>
  </si>
  <si>
    <t>LPQM2 - fonct.</t>
  </si>
  <si>
    <t>0427-1</t>
  </si>
  <si>
    <t>LTS4 - fonctionnement</t>
  </si>
  <si>
    <t>0426-1</t>
  </si>
  <si>
    <t>NAM - fonct.</t>
  </si>
  <si>
    <t>0425-1</t>
  </si>
  <si>
    <t>Groupe Acoustique</t>
  </si>
  <si>
    <t>0423-3</t>
  </si>
  <si>
    <t>Fonds commun</t>
  </si>
  <si>
    <t>0423-2</t>
  </si>
  <si>
    <t>LTS2 - fonct.</t>
  </si>
  <si>
    <t>0423-1</t>
  </si>
  <si>
    <t>LIDIAP - fonct.</t>
  </si>
  <si>
    <t>0421-1</t>
  </si>
  <si>
    <t>0418-2</t>
  </si>
  <si>
    <t>NANOLAB - fonct.</t>
  </si>
  <si>
    <t>0418-1</t>
  </si>
  <si>
    <t>LSM - fonct.</t>
  </si>
  <si>
    <t>0414-1</t>
  </si>
  <si>
    <t>IEL-GE - fonct.</t>
  </si>
  <si>
    <t>0413-1</t>
  </si>
  <si>
    <t>LSI2 fonctionnement</t>
  </si>
  <si>
    <t>0408-1</t>
  </si>
  <si>
    <t>LMTS - fonctionnement</t>
  </si>
  <si>
    <t>0407-1</t>
  </si>
  <si>
    <t>SEL-GE - fonct.</t>
  </si>
  <si>
    <t>0406-1</t>
  </si>
  <si>
    <t>LTS5 - fonctionnement</t>
  </si>
  <si>
    <t>0405-1</t>
  </si>
  <si>
    <t>ACCES fonct.</t>
  </si>
  <si>
    <t>0396-1</t>
  </si>
  <si>
    <t>PAT - fonctionnement</t>
  </si>
  <si>
    <t>0392-1</t>
  </si>
  <si>
    <t>ACI fonct.</t>
  </si>
  <si>
    <t>0387-1</t>
  </si>
  <si>
    <t>STI-IT - fonct.</t>
  </si>
  <si>
    <t>0385-1</t>
  </si>
  <si>
    <t>STI-FI - fonct.</t>
  </si>
  <si>
    <t>0383-1</t>
  </si>
  <si>
    <t>STI-RH - fonct.</t>
  </si>
  <si>
    <t>0382-1</t>
  </si>
  <si>
    <t>Media &amp; Outreach</t>
  </si>
  <si>
    <t>0380-7</t>
  </si>
  <si>
    <t>STI-DO - fonct.</t>
  </si>
  <si>
    <t>0380-1</t>
  </si>
  <si>
    <t>SCI-STI-DG fonds</t>
  </si>
  <si>
    <t>0379-1</t>
  </si>
  <si>
    <t>AQUA fonctionnement</t>
  </si>
  <si>
    <t>0377-1</t>
  </si>
  <si>
    <t>STI-SCI-SM</t>
  </si>
  <si>
    <t>0376-1</t>
  </si>
  <si>
    <t>SCI-STI-JMV - fonct.</t>
  </si>
  <si>
    <t>0375-1</t>
  </si>
  <si>
    <t>SCI-STI-MM fonct.</t>
  </si>
  <si>
    <t>0374-1</t>
  </si>
  <si>
    <t>SCI-STI-CD</t>
  </si>
  <si>
    <t>0373-1</t>
  </si>
  <si>
    <t>STI-SCI-FR</t>
  </si>
  <si>
    <t>0372-1</t>
  </si>
  <si>
    <t>STI-SCI-LT</t>
  </si>
  <si>
    <t>0371-1</t>
  </si>
  <si>
    <t>EMSI fonct.</t>
  </si>
  <si>
    <t>0370-1</t>
  </si>
  <si>
    <t>SCI-STI-PO fonct.</t>
  </si>
  <si>
    <t>0369-1</t>
  </si>
  <si>
    <t>SCI-STI-HL fonct.</t>
  </si>
  <si>
    <t>0368-1</t>
  </si>
  <si>
    <t>SCI-STI-DD fonct.</t>
  </si>
  <si>
    <t>0367-1</t>
  </si>
  <si>
    <t>SCI-STI-PM fonct.</t>
  </si>
  <si>
    <t>0366-1</t>
  </si>
  <si>
    <t>MICROBS fonct.</t>
  </si>
  <si>
    <t>0365-1</t>
  </si>
  <si>
    <t>LA3 fonctionnement</t>
  </si>
  <si>
    <t>0364-1</t>
  </si>
  <si>
    <t>SCI-STI-DK fonct.</t>
  </si>
  <si>
    <t>0350-1</t>
  </si>
  <si>
    <t>SCI-STI-JVH fonct.</t>
  </si>
  <si>
    <t>0347-1</t>
  </si>
  <si>
    <t>SCI-STI-FM fonct.</t>
  </si>
  <si>
    <t>0345-1</t>
  </si>
  <si>
    <t>LMAF - fonct.</t>
  </si>
  <si>
    <t>0343-1</t>
  </si>
  <si>
    <t>LASA - fonctionnement</t>
  </si>
  <si>
    <t>0339-1</t>
  </si>
  <si>
    <t>LIS - fonct.</t>
  </si>
  <si>
    <t>0338-1</t>
  </si>
  <si>
    <t>LMH - fonct.</t>
  </si>
  <si>
    <t>0332-1</t>
  </si>
  <si>
    <t>PTMH - fonctionnement</t>
  </si>
  <si>
    <t>0329-1</t>
  </si>
  <si>
    <t>SCI-STI-GFT fonct.</t>
  </si>
  <si>
    <t>0324-1</t>
  </si>
  <si>
    <t>AFA fonctionnement</t>
  </si>
  <si>
    <t>0323-1</t>
  </si>
  <si>
    <t>LRESE fonct.</t>
  </si>
  <si>
    <t>0322-1</t>
  </si>
  <si>
    <t>ECPS fonctionnement</t>
  </si>
  <si>
    <t>0321-1</t>
  </si>
  <si>
    <t>LAMD fonctionnement</t>
  </si>
  <si>
    <t>0320-1</t>
  </si>
  <si>
    <t>LAMMM fonct.</t>
  </si>
  <si>
    <t>0319-1</t>
  </si>
  <si>
    <t>RRL fonct.</t>
  </si>
  <si>
    <t>0318-1</t>
  </si>
  <si>
    <t>LFMI - fonct.</t>
  </si>
  <si>
    <t>0315-1</t>
  </si>
  <si>
    <t>ATME - fonct.</t>
  </si>
  <si>
    <t>0313-1</t>
  </si>
  <si>
    <t>IGM-GE - fonct.</t>
  </si>
  <si>
    <t>0311-1</t>
  </si>
  <si>
    <t>QMAT fonct.</t>
  </si>
  <si>
    <t>0307-1</t>
  </si>
  <si>
    <t>SGM-GE - fonct.</t>
  </si>
  <si>
    <t>0306-1</t>
  </si>
  <si>
    <t>Colloques IGM</t>
  </si>
  <si>
    <t>0305-2</t>
  </si>
  <si>
    <t>FLEXLAB fonct.</t>
  </si>
  <si>
    <t>0305-1</t>
  </si>
  <si>
    <t>ASL fonct.</t>
  </si>
  <si>
    <t>0304-1</t>
  </si>
  <si>
    <t>LNET fonct.</t>
  </si>
  <si>
    <t>0301-1</t>
  </si>
  <si>
    <t>Devise interne</t>
  </si>
  <si>
    <t>Disponible</t>
  </si>
  <si>
    <t>Engagements</t>
  </si>
  <si>
    <t>Solde</t>
  </si>
  <si>
    <t>Réel Pér.</t>
  </si>
  <si>
    <t>Recettes</t>
  </si>
  <si>
    <t>Dépenses</t>
  </si>
  <si>
    <t>Bud. actuel</t>
  </si>
  <si>
    <t>Autre description</t>
  </si>
  <si>
    <t>Désignation du fonds</t>
  </si>
  <si>
    <t>Caractéristique</t>
  </si>
  <si>
    <t>Fonds</t>
  </si>
  <si>
    <t>Type de fonds : Budg</t>
  </si>
  <si>
    <t>Unite</t>
  </si>
  <si>
    <t>dépenses env. B</t>
  </si>
  <si>
    <t>Fin Sponsoring</t>
  </si>
  <si>
    <t>Total dépenses</t>
  </si>
  <si>
    <t>Autres recettes (sponsoring)</t>
  </si>
  <si>
    <t>sur A</t>
  </si>
  <si>
    <t>Autres recettes/dépenses</t>
  </si>
  <si>
    <t>dépenses incompressibles env. A HORS ch.soc.</t>
  </si>
  <si>
    <t>0</t>
  </si>
  <si>
    <t>Fabrice Favre (282321)</t>
  </si>
  <si>
    <t>282321</t>
  </si>
  <si>
    <t>Transfert de D vers B pour bouclement</t>
  </si>
  <si>
    <t>D</t>
  </si>
  <si>
    <t>F0380</t>
  </si>
  <si>
    <t>0058-98</t>
  </si>
  <si>
    <t>F0383</t>
  </si>
  <si>
    <t>Transfert émis</t>
  </si>
  <si>
    <t>KBUS</t>
  </si>
  <si>
    <t>1085218</t>
  </si>
  <si>
    <t>500097597</t>
  </si>
  <si>
    <t>Transfert reçu</t>
  </si>
  <si>
    <t>KBUE</t>
  </si>
  <si>
    <t>Transfert de A vers B pour bouclement (1/3)</t>
  </si>
  <si>
    <t>3029012</t>
  </si>
  <si>
    <t>1085217</t>
  </si>
  <si>
    <t>500097596</t>
  </si>
  <si>
    <t>Transfert de A vers B pour bouclement (2/3)</t>
  </si>
  <si>
    <t>1085216</t>
  </si>
  <si>
    <t>500097595</t>
  </si>
  <si>
    <t>Transfert de A vers B pour bouclement (3/3)</t>
  </si>
  <si>
    <t>1085215</t>
  </si>
  <si>
    <t>500097594</t>
  </si>
  <si>
    <t>Audrey Barras (170845)</t>
  </si>
  <si>
    <t>170845</t>
  </si>
  <si>
    <t>1085195</t>
  </si>
  <si>
    <t>500097574</t>
  </si>
  <si>
    <t>1085194</t>
  </si>
  <si>
    <t>500097573</t>
  </si>
  <si>
    <t>1085193</t>
  </si>
  <si>
    <t>500097572</t>
  </si>
  <si>
    <t>1085192</t>
  </si>
  <si>
    <t>500097571</t>
  </si>
  <si>
    <t>Marie Drouillard (290390)</t>
  </si>
  <si>
    <t>290390</t>
  </si>
  <si>
    <t>transfert de B vers PI/HA</t>
  </si>
  <si>
    <t>6029016</t>
  </si>
  <si>
    <t>1085173</t>
  </si>
  <si>
    <t>500097552</t>
  </si>
  <si>
    <t>contrib. LMSC salaire Craig Carter</t>
  </si>
  <si>
    <t>1085172</t>
  </si>
  <si>
    <t>500097551</t>
  </si>
  <si>
    <t>Pier Paolo Paganini (228745)</t>
  </si>
  <si>
    <t>228745</t>
  </si>
  <si>
    <t>Remb LSBI 20% salaire C. Daidié oct-dec 18 env A</t>
  </si>
  <si>
    <t>1085131</t>
  </si>
  <si>
    <t>500097510</t>
  </si>
  <si>
    <t>Remb LSBI 20% salaire C. Daidié oct-dec 18 env D</t>
  </si>
  <si>
    <t>1085130</t>
  </si>
  <si>
    <t>500097509</t>
  </si>
  <si>
    <t>Transfert de STI à VPR pour remboursmt prêt Moll</t>
  </si>
  <si>
    <t>1085129</t>
  </si>
  <si>
    <t>500097508</t>
  </si>
  <si>
    <t>1085128</t>
  </si>
  <si>
    <t>500097507</t>
  </si>
  <si>
    <t>Transfert de STI à VPR pour contrib. salaire Moll</t>
  </si>
  <si>
    <t>1085127</t>
  </si>
  <si>
    <t>500097506</t>
  </si>
  <si>
    <t>1085126</t>
  </si>
  <si>
    <t>500097505</t>
  </si>
  <si>
    <t>transfert de B vers AE/AC</t>
  </si>
  <si>
    <t>6029011</t>
  </si>
  <si>
    <t>1085108</t>
  </si>
  <si>
    <t>500097487</t>
  </si>
  <si>
    <t>1085107</t>
  </si>
  <si>
    <t>500097486</t>
  </si>
  <si>
    <t>transfert de A vers B</t>
  </si>
  <si>
    <t>1085106</t>
  </si>
  <si>
    <t>500097485</t>
  </si>
  <si>
    <t>transfert de D vers B</t>
  </si>
  <si>
    <t>1085105</t>
  </si>
  <si>
    <t>500097484</t>
  </si>
  <si>
    <t>1085102</t>
  </si>
  <si>
    <t>500097481</t>
  </si>
  <si>
    <t>F0324</t>
  </si>
  <si>
    <t>1085097</t>
  </si>
  <si>
    <t>500097476</t>
  </si>
  <si>
    <t>Rossana Papaux (162299)</t>
  </si>
  <si>
    <t>162299</t>
  </si>
  <si>
    <t>#1028/3784 Startup Prof. Mulleners: small equip</t>
  </si>
  <si>
    <t>1084949</t>
  </si>
  <si>
    <t>500097328</t>
  </si>
  <si>
    <t>CORR Financement 50% Currit F1020</t>
  </si>
  <si>
    <t>F1020</t>
  </si>
  <si>
    <t>1084928</t>
  </si>
  <si>
    <t>500097307</t>
  </si>
  <si>
    <t>transfert IMT -&gt; PI/HA Prof. Gandhi F1035</t>
  </si>
  <si>
    <t>1084846</t>
  </si>
  <si>
    <t>500097225</t>
  </si>
  <si>
    <t>1084845</t>
  </si>
  <si>
    <t>500097224</t>
  </si>
  <si>
    <t>retour surplus AE/AC</t>
  </si>
  <si>
    <t>1084828</t>
  </si>
  <si>
    <t>500097207</t>
  </si>
  <si>
    <t>1084827</t>
  </si>
  <si>
    <t>500097206</t>
  </si>
  <si>
    <t>1084826</t>
  </si>
  <si>
    <t>500097205</t>
  </si>
  <si>
    <t>1084825</t>
  </si>
  <si>
    <t>500097204</t>
  </si>
  <si>
    <t>transfert SMT AE/AC</t>
  </si>
  <si>
    <t>F1006</t>
  </si>
  <si>
    <t>1084824</t>
  </si>
  <si>
    <t>500097203</t>
  </si>
  <si>
    <t>1084823</t>
  </si>
  <si>
    <t>500097202</t>
  </si>
  <si>
    <t>1084822</t>
  </si>
  <si>
    <t>500097201</t>
  </si>
  <si>
    <t>F1016</t>
  </si>
  <si>
    <t>1084821</t>
  </si>
  <si>
    <t>500097200</t>
  </si>
  <si>
    <t>1084820</t>
  </si>
  <si>
    <t>500097199</t>
  </si>
  <si>
    <t>1084819</t>
  </si>
  <si>
    <t>500097198</t>
  </si>
  <si>
    <t>1084803</t>
  </si>
  <si>
    <t>500097182</t>
  </si>
  <si>
    <t>transfert AE/AC SGM -&gt; SMX</t>
  </si>
  <si>
    <t>F0306</t>
  </si>
  <si>
    <t>F0806</t>
  </si>
  <si>
    <t>1084801</t>
  </si>
  <si>
    <t>500097180</t>
  </si>
  <si>
    <t>soutien STI Bowen (Scrivener F0851)</t>
  </si>
  <si>
    <t>1084799</t>
  </si>
  <si>
    <t>500097178</t>
  </si>
  <si>
    <t>1084791</t>
  </si>
  <si>
    <t>500097170</t>
  </si>
  <si>
    <t>complément budget F1066</t>
  </si>
  <si>
    <t>F1066</t>
  </si>
  <si>
    <t>1084728</t>
  </si>
  <si>
    <t>500097107</t>
  </si>
  <si>
    <t>1084727</t>
  </si>
  <si>
    <t>500097106</t>
  </si>
  <si>
    <t>1084726</t>
  </si>
  <si>
    <t>500097105</t>
  </si>
  <si>
    <t>soutien STI 20% Baur (Henein F1039)</t>
  </si>
  <si>
    <t>1084725</t>
  </si>
  <si>
    <t>500097104</t>
  </si>
  <si>
    <t>1084724</t>
  </si>
  <si>
    <t>500097103</t>
  </si>
  <si>
    <t>retour solde F1020</t>
  </si>
  <si>
    <t>1084723</t>
  </si>
  <si>
    <t>500097102</t>
  </si>
  <si>
    <t>salaire 40% I. Philippoussis</t>
  </si>
  <si>
    <t>1084722</t>
  </si>
  <si>
    <t>500097101</t>
  </si>
  <si>
    <t>Financement 50% Currit F1020</t>
  </si>
  <si>
    <t>1084721</t>
  </si>
  <si>
    <t>500097100</t>
  </si>
  <si>
    <t>Budget Subramanian PO au 01.08.2018</t>
  </si>
  <si>
    <t>1084720</t>
  </si>
  <si>
    <t>500097099</t>
  </si>
  <si>
    <t>soutien STI 25% Boegli (Perriard F0872)</t>
  </si>
  <si>
    <t>F0872</t>
  </si>
  <si>
    <t>1084719</t>
  </si>
  <si>
    <t>500097098</t>
  </si>
  <si>
    <t>1084718</t>
  </si>
  <si>
    <t>500097097</t>
  </si>
  <si>
    <t>retour solde F0810</t>
  </si>
  <si>
    <t>F0810</t>
  </si>
  <si>
    <t>1084717</t>
  </si>
  <si>
    <t>500097096</t>
  </si>
  <si>
    <t>complément budget F0829</t>
  </si>
  <si>
    <t>1084716</t>
  </si>
  <si>
    <t>500097095</t>
  </si>
  <si>
    <t>1084715</t>
  </si>
  <si>
    <t>500097094</t>
  </si>
  <si>
    <t>1084714</t>
  </si>
  <si>
    <t>500097093</t>
  </si>
  <si>
    <t>Transfert AE/AC de SEL à LTS2</t>
  </si>
  <si>
    <t>F0406</t>
  </si>
  <si>
    <t>1084713</t>
  </si>
  <si>
    <t>500097092</t>
  </si>
  <si>
    <t>Transfert AE/AC de SEL à LTS5</t>
  </si>
  <si>
    <t>1084712</t>
  </si>
  <si>
    <t>500097091</t>
  </si>
  <si>
    <t>complément budget F0448</t>
  </si>
  <si>
    <t>F0448</t>
  </si>
  <si>
    <t>1084711</t>
  </si>
  <si>
    <t>500097090</t>
  </si>
  <si>
    <t>Prime de fidélité Menein 12.2018</t>
  </si>
  <si>
    <t>F0382</t>
  </si>
  <si>
    <t>F0434</t>
  </si>
  <si>
    <t>1084709</t>
  </si>
  <si>
    <t>500097088</t>
  </si>
  <si>
    <t>F0490</t>
  </si>
  <si>
    <t>1084708</t>
  </si>
  <si>
    <t>500097087</t>
  </si>
  <si>
    <t>Prime de fidélité Laroche 12.2018</t>
  </si>
  <si>
    <t>1084707</t>
  </si>
  <si>
    <t>500097086</t>
  </si>
  <si>
    <t>Prime de fidélité Laaroussi 12.2018</t>
  </si>
  <si>
    <t>1084706</t>
  </si>
  <si>
    <t>500097085</t>
  </si>
  <si>
    <t>1084705</t>
  </si>
  <si>
    <t>500097084</t>
  </si>
  <si>
    <t>complément budget F0429</t>
  </si>
  <si>
    <t>F0429</t>
  </si>
  <si>
    <t>1084704</t>
  </si>
  <si>
    <t>500097083</t>
  </si>
  <si>
    <t>retour solde F0413</t>
  </si>
  <si>
    <t>F0413</t>
  </si>
  <si>
    <t>1084703</t>
  </si>
  <si>
    <t>500097082</t>
  </si>
  <si>
    <t>retour solde F0406</t>
  </si>
  <si>
    <t>1084702</t>
  </si>
  <si>
    <t>500097081</t>
  </si>
  <si>
    <t>retour solde F0395</t>
  </si>
  <si>
    <t>F0395</t>
  </si>
  <si>
    <t>1084701</t>
  </si>
  <si>
    <t>500097080</t>
  </si>
  <si>
    <t>Ajustement budget F0387</t>
  </si>
  <si>
    <t>F0387</t>
  </si>
  <si>
    <t>1084700</t>
  </si>
  <si>
    <t>500097079</t>
  </si>
  <si>
    <t>Augmentation budget Marcel Groccia F1049-F0387</t>
  </si>
  <si>
    <t>1084699</t>
  </si>
  <si>
    <t>500097078</t>
  </si>
  <si>
    <t>Prime de fidélité Gillet 12.2018</t>
  </si>
  <si>
    <t>F0379</t>
  </si>
  <si>
    <t>1084698</t>
  </si>
  <si>
    <t>500097077</t>
  </si>
  <si>
    <t>retour solde F0329</t>
  </si>
  <si>
    <t>1084697</t>
  </si>
  <si>
    <t>500097076</t>
  </si>
  <si>
    <t>1084696</t>
  </si>
  <si>
    <t>500097075</t>
  </si>
  <si>
    <t>1084695</t>
  </si>
  <si>
    <t>500097074</t>
  </si>
  <si>
    <t>retour solde F0311</t>
  </si>
  <si>
    <t>F0311</t>
  </si>
  <si>
    <t>1084694</t>
  </si>
  <si>
    <t>500097073</t>
  </si>
  <si>
    <t>retour solde F0306</t>
  </si>
  <si>
    <t>1084693</t>
  </si>
  <si>
    <t>500097072</t>
  </si>
  <si>
    <t>transfert de B vers PI/HA (J. Gundlach)</t>
  </si>
  <si>
    <t>1084692</t>
  </si>
  <si>
    <t>500097071</t>
  </si>
  <si>
    <t>retour solde F1048 (ex-Farine)</t>
  </si>
  <si>
    <t>F1048</t>
  </si>
  <si>
    <t>1084668</t>
  </si>
  <si>
    <t>500097047</t>
  </si>
  <si>
    <t>retour solde F1049 (ex-Herzig)</t>
  </si>
  <si>
    <t>F1049</t>
  </si>
  <si>
    <t>1049-1</t>
  </si>
  <si>
    <t>1084667</t>
  </si>
  <si>
    <t>500097046</t>
  </si>
  <si>
    <t>1084666</t>
  </si>
  <si>
    <t>500097045</t>
  </si>
  <si>
    <t>1084665</t>
  </si>
  <si>
    <t>500097044</t>
  </si>
  <si>
    <t>1084664</t>
  </si>
  <si>
    <t>500097043</t>
  </si>
  <si>
    <t>1084663</t>
  </si>
  <si>
    <t>500097042</t>
  </si>
  <si>
    <t>Retour solde 0314-1 (ex-Thome)</t>
  </si>
  <si>
    <t>F0314</t>
  </si>
  <si>
    <t>0314-1</t>
  </si>
  <si>
    <t>1084662</t>
  </si>
  <si>
    <t>500097041</t>
  </si>
  <si>
    <t>1084661</t>
  </si>
  <si>
    <t>500097040</t>
  </si>
  <si>
    <t>1084659</t>
  </si>
  <si>
    <t>500097038</t>
  </si>
  <si>
    <t>1084658</t>
  </si>
  <si>
    <t>500097037</t>
  </si>
  <si>
    <t>remb. user fees CIME 2018</t>
  </si>
  <si>
    <t>1084653</t>
  </si>
  <si>
    <t>500097032</t>
  </si>
  <si>
    <t>DNA Synthesizer_ contribution LMGN</t>
  </si>
  <si>
    <t>1867-185</t>
  </si>
  <si>
    <t>1084652</t>
  </si>
  <si>
    <t>500097031</t>
  </si>
  <si>
    <t>Contribution SEL AE/AC LIDIAP F0421</t>
  </si>
  <si>
    <t>F0421</t>
  </si>
  <si>
    <t>1084651</t>
  </si>
  <si>
    <t>500097030</t>
  </si>
  <si>
    <t>Contribution SEL AE/AC Rachidi F0372</t>
  </si>
  <si>
    <t>F0372</t>
  </si>
  <si>
    <t>1084650</t>
  </si>
  <si>
    <t>500097029</t>
  </si>
  <si>
    <t>Contribution IEL AE/AC Rachidi F0372</t>
  </si>
  <si>
    <t>1084649</t>
  </si>
  <si>
    <t>500097028</t>
  </si>
  <si>
    <t>transfert de IEL -&gt; SEL</t>
  </si>
  <si>
    <t>1084648</t>
  </si>
  <si>
    <t>500097027</t>
  </si>
  <si>
    <t>Participation IGM colloques IGM Automne 2018</t>
  </si>
  <si>
    <t>1084641</t>
  </si>
  <si>
    <t>500097020</t>
  </si>
  <si>
    <t>#8177/3776 Startup Prof. Ceriotti: scitas</t>
  </si>
  <si>
    <t>1084629</t>
  </si>
  <si>
    <t>500097008</t>
  </si>
  <si>
    <t>Remboursement AE/AC automne 2018</t>
  </si>
  <si>
    <t>1084627</t>
  </si>
  <si>
    <t>500097006</t>
  </si>
  <si>
    <t>transfert de AE/AC vers B</t>
  </si>
  <si>
    <t>1084626</t>
  </si>
  <si>
    <t>500097005</t>
  </si>
  <si>
    <t>1084625</t>
  </si>
  <si>
    <t>500097004</t>
  </si>
  <si>
    <t>1084624</t>
  </si>
  <si>
    <t>500097003</t>
  </si>
  <si>
    <t>1084621</t>
  </si>
  <si>
    <t>500097000</t>
  </si>
  <si>
    <t>Contribution STI compétition robotique</t>
  </si>
  <si>
    <t>1084614</t>
  </si>
  <si>
    <t>500096993</t>
  </si>
  <si>
    <t>CORRECTION oubli de libellé</t>
  </si>
  <si>
    <t>1084613</t>
  </si>
  <si>
    <t>500096992</t>
  </si>
  <si>
    <t>1084612</t>
  </si>
  <si>
    <t>500096991</t>
  </si>
  <si>
    <t>transfert de B vers A</t>
  </si>
  <si>
    <t>1084611</t>
  </si>
  <si>
    <t>500096990</t>
  </si>
  <si>
    <t>transfert de B vers D</t>
  </si>
  <si>
    <t>1084610</t>
  </si>
  <si>
    <t>500096989</t>
  </si>
  <si>
    <t>transfert de A vers AE/AC</t>
  </si>
  <si>
    <t>1084601</t>
  </si>
  <si>
    <t>500096980</t>
  </si>
  <si>
    <t>transfert de D vers AE/AC</t>
  </si>
  <si>
    <t>1084600</t>
  </si>
  <si>
    <t>500096979</t>
  </si>
  <si>
    <t>1084595</t>
  </si>
  <si>
    <t>500096974</t>
  </si>
  <si>
    <t>transfert SMX vers AE/AC SMAL (0833)</t>
  </si>
  <si>
    <t>1084557</t>
  </si>
  <si>
    <t>500096936</t>
  </si>
  <si>
    <t>transfert de A vers PI/HA (Prof. Amini)</t>
  </si>
  <si>
    <t>1084553</t>
  </si>
  <si>
    <t>500096932</t>
  </si>
  <si>
    <t>transfert de D vers PI/HA (Prof. Amini)</t>
  </si>
  <si>
    <t>1084552</t>
  </si>
  <si>
    <t>500096931</t>
  </si>
  <si>
    <t>1084551</t>
  </si>
  <si>
    <t>500096930</t>
  </si>
  <si>
    <t>1084550</t>
  </si>
  <si>
    <t>500096929</t>
  </si>
  <si>
    <t>1084530</t>
  </si>
  <si>
    <t>500096909</t>
  </si>
  <si>
    <t>Interview Guilherme Migliato Marega</t>
  </si>
  <si>
    <t>1084529</t>
  </si>
  <si>
    <t>500096908</t>
  </si>
  <si>
    <t>#7054/3768 Startup Prof. Schneider: scitas10-11.18</t>
  </si>
  <si>
    <t>1084527</t>
  </si>
  <si>
    <t>500096906</t>
  </si>
  <si>
    <t>#3094/3769 Startup Prof. Gallaire: scitas10-11.18</t>
  </si>
  <si>
    <t>1084526</t>
  </si>
  <si>
    <t>500096905</t>
  </si>
  <si>
    <t>Contribution STI IGM Colloquium (2ème partie)</t>
  </si>
  <si>
    <t>1084502</t>
  </si>
  <si>
    <t>500096881</t>
  </si>
  <si>
    <t>ajustement budget Perriard F0457</t>
  </si>
  <si>
    <t>F0457</t>
  </si>
  <si>
    <t>1084501</t>
  </si>
  <si>
    <t>500096880</t>
  </si>
  <si>
    <t>salaire 3 mois Paul Marchand (ex-Lasser)</t>
  </si>
  <si>
    <t>1084500</t>
  </si>
  <si>
    <t>500096879</t>
  </si>
  <si>
    <t>Prime de fidélité Stettler 11.2108</t>
  </si>
  <si>
    <t>F1017</t>
  </si>
  <si>
    <t>1084499</t>
  </si>
  <si>
    <t>500096878</t>
  </si>
  <si>
    <t>Prime de fidélité Salimi 11.2108</t>
  </si>
  <si>
    <t>1084498</t>
  </si>
  <si>
    <t>500096877</t>
  </si>
  <si>
    <t>Prime de fidélité Hauser 11.2108</t>
  </si>
  <si>
    <t>1084497</t>
  </si>
  <si>
    <t>500096876</t>
  </si>
  <si>
    <t>Prime de fidélité Manné 11.2108</t>
  </si>
  <si>
    <t>1084496</t>
  </si>
  <si>
    <t>500096875</t>
  </si>
  <si>
    <t>1084495</t>
  </si>
  <si>
    <t>500096874</t>
  </si>
  <si>
    <t>Prime de fidélité Sallese 08.2108</t>
  </si>
  <si>
    <t>F0443</t>
  </si>
  <si>
    <t>1084494</t>
  </si>
  <si>
    <t>500096873</t>
  </si>
  <si>
    <t>Prime de fidélité Scheidegger 11.2018</t>
  </si>
  <si>
    <t>1084493</t>
  </si>
  <si>
    <t>500096872</t>
  </si>
  <si>
    <t>Prime de fidélité Brühlmeirer 10.2018</t>
  </si>
  <si>
    <t>1084492</t>
  </si>
  <si>
    <t>500096871</t>
  </si>
  <si>
    <t>Prime de fidélité Garciacano 11.2018</t>
  </si>
  <si>
    <t>1084491</t>
  </si>
  <si>
    <t>500096870</t>
  </si>
  <si>
    <t>20% supplémentaire S. Gautsch à partir du 01.07.18</t>
  </si>
  <si>
    <t>1084490</t>
  </si>
  <si>
    <t>500096869</t>
  </si>
  <si>
    <t>10% supplémentaire J. Maxwell à partir du 01.08.18</t>
  </si>
  <si>
    <t>1084489</t>
  </si>
  <si>
    <t>500096868</t>
  </si>
  <si>
    <t>contribution STI salaire M. Gaci 09-12 2018</t>
  </si>
  <si>
    <t>1084488</t>
  </si>
  <si>
    <t>500096867</t>
  </si>
  <si>
    <t>prime de fidélité Limberger 10.2018 F0368</t>
  </si>
  <si>
    <t>F0368</t>
  </si>
  <si>
    <t>1084487</t>
  </si>
  <si>
    <t>500096866</t>
  </si>
  <si>
    <t>prime de fidélité Bruschini 11.2018</t>
  </si>
  <si>
    <t>1084486</t>
  </si>
  <si>
    <t>500096865</t>
  </si>
  <si>
    <t>1084485</t>
  </si>
  <si>
    <t>500096864</t>
  </si>
  <si>
    <t>1084484</t>
  </si>
  <si>
    <t>500096863</t>
  </si>
  <si>
    <t>Susan Durussel (190740)</t>
  </si>
  <si>
    <t>190740</t>
  </si>
  <si>
    <t>Participation SV 20% IT Campus Biotech</t>
  </si>
  <si>
    <t>1084483</t>
  </si>
  <si>
    <t>500096862</t>
  </si>
  <si>
    <t>1084482</t>
  </si>
  <si>
    <t>500096861</t>
  </si>
  <si>
    <t>Moll's moving expenses F0307</t>
  </si>
  <si>
    <t>1084464</t>
  </si>
  <si>
    <t>500096843</t>
  </si>
  <si>
    <t>Transfert de B vers PI/HA</t>
  </si>
  <si>
    <t>1084448</t>
  </si>
  <si>
    <t>500096827</t>
  </si>
  <si>
    <t>Transfert de A vers B</t>
  </si>
  <si>
    <t>1084447</t>
  </si>
  <si>
    <t>500096826</t>
  </si>
  <si>
    <t>Transfert de D vers B</t>
  </si>
  <si>
    <t>1084446</t>
  </si>
  <si>
    <t>500096825</t>
  </si>
  <si>
    <t>transferts IBI AE-AC 2018</t>
  </si>
  <si>
    <t>F0476</t>
  </si>
  <si>
    <t>1084436</t>
  </si>
  <si>
    <t>500096815</t>
  </si>
  <si>
    <t>1084435</t>
  </si>
  <si>
    <t>500096814</t>
  </si>
  <si>
    <t>1084434</t>
  </si>
  <si>
    <t>500096813</t>
  </si>
  <si>
    <t>1084433</t>
  </si>
  <si>
    <t>500096812</t>
  </si>
  <si>
    <t>1084432</t>
  </si>
  <si>
    <t>500096811</t>
  </si>
  <si>
    <t>Transfer de A vers B</t>
  </si>
  <si>
    <t>1016-1</t>
  </si>
  <si>
    <t>1084431</t>
  </si>
  <si>
    <t>500096810</t>
  </si>
  <si>
    <t>Transfer de D vers B</t>
  </si>
  <si>
    <t>1084430</t>
  </si>
  <si>
    <t>500096809</t>
  </si>
  <si>
    <t>1084427</t>
  </si>
  <si>
    <t>500096806</t>
  </si>
  <si>
    <t>Contrib. STI Animal costs</t>
  </si>
  <si>
    <t>1084426</t>
  </si>
  <si>
    <t>500096805</t>
  </si>
  <si>
    <t>1084425</t>
  </si>
  <si>
    <t>500096804</t>
  </si>
  <si>
    <t>Rembt frais interview candidat A. Goscinsky</t>
  </si>
  <si>
    <t>1084415</t>
  </si>
  <si>
    <t>500096794</t>
  </si>
  <si>
    <t>Rembt frais interview candidat D. Liu</t>
  </si>
  <si>
    <t>1084414</t>
  </si>
  <si>
    <t>500096793</t>
  </si>
  <si>
    <t>Rembt frais visiteur A. Kurum</t>
  </si>
  <si>
    <t>1084413</t>
  </si>
  <si>
    <t>500096792</t>
  </si>
  <si>
    <t>STI support towards Craig Carter costs</t>
  </si>
  <si>
    <t>1084372</t>
  </si>
  <si>
    <t>500096751</t>
  </si>
  <si>
    <t>1084371</t>
  </si>
  <si>
    <t>500096750</t>
  </si>
  <si>
    <t>1084370</t>
  </si>
  <si>
    <t>500096749</t>
  </si>
  <si>
    <t>transfert de A vers PI/HA (Craig Carter)</t>
  </si>
  <si>
    <t>1084369</t>
  </si>
  <si>
    <t>500096748</t>
  </si>
  <si>
    <t>transfert de D vers PI/HA (Craig Carter)</t>
  </si>
  <si>
    <t>1084368</t>
  </si>
  <si>
    <t>500096747</t>
  </si>
  <si>
    <t>René-Pierre Bonvin (178652)</t>
  </si>
  <si>
    <t>178652</t>
  </si>
  <si>
    <t>IC/LSI1-&gt;STI/ICLAB: salaire Sandro Carrara 75% 9m</t>
  </si>
  <si>
    <t>1084366</t>
  </si>
  <si>
    <t>500096745</t>
  </si>
  <si>
    <t>IC/LSI1-&gt;STI/ICLAB: charges Sandro Carrara 75% 9m</t>
  </si>
  <si>
    <t>1084365</t>
  </si>
  <si>
    <t>500096744</t>
  </si>
  <si>
    <t>1084355</t>
  </si>
  <si>
    <t>500096734</t>
  </si>
  <si>
    <t>1084354</t>
  </si>
  <si>
    <t>500096733</t>
  </si>
  <si>
    <t>Participation d'IGM à achat équipement pour LBO</t>
  </si>
  <si>
    <t>1084350</t>
  </si>
  <si>
    <t>500096729</t>
  </si>
  <si>
    <t>Participation d'IGM à adhésion CISM de l'EDME</t>
  </si>
  <si>
    <t>1084349</t>
  </si>
  <si>
    <t>500096728</t>
  </si>
  <si>
    <t>1084322</t>
  </si>
  <si>
    <t>500096701</t>
  </si>
  <si>
    <t>1084321</t>
  </si>
  <si>
    <t>500096700</t>
  </si>
  <si>
    <t>#12302/3754 Startup Prof. Sakar: small equipment</t>
  </si>
  <si>
    <t>1084291</t>
  </si>
  <si>
    <t>500096670</t>
  </si>
  <si>
    <t>#8640/3753 Startup Prof. Amstad: small equipment</t>
  </si>
  <si>
    <t>1084290</t>
  </si>
  <si>
    <t>500096669</t>
  </si>
  <si>
    <t>#12196/3747 Startup Prof. Tang: small equip</t>
  </si>
  <si>
    <t>1084261</t>
  </si>
  <si>
    <t>500096640</t>
  </si>
  <si>
    <t>Participation à l'achat d'un présentoir GEM</t>
  </si>
  <si>
    <t>F0347</t>
  </si>
  <si>
    <t>1084190</t>
  </si>
  <si>
    <t>500096569</t>
  </si>
  <si>
    <t>1084157</t>
  </si>
  <si>
    <t>500096536</t>
  </si>
  <si>
    <t>1084156</t>
  </si>
  <si>
    <t>500096535</t>
  </si>
  <si>
    <t>Contribution STI IGM Colloquium</t>
  </si>
  <si>
    <t>1084155</t>
  </si>
  <si>
    <t>500096534</t>
  </si>
  <si>
    <t>#13414/3740 Startup Prof. Reis: small equipment</t>
  </si>
  <si>
    <t>1084154</t>
  </si>
  <si>
    <t>500096533</t>
  </si>
  <si>
    <t>1084119</t>
  </si>
  <si>
    <t>500096498</t>
  </si>
  <si>
    <t>1084118</t>
  </si>
  <si>
    <t>500096497</t>
  </si>
  <si>
    <t>#291 contrat maintenance laser 18 Prof. Mortensen</t>
  </si>
  <si>
    <t>1084117</t>
  </si>
  <si>
    <t>500096496</t>
  </si>
  <si>
    <t>contrib. SMX iPad Prof. Tileli</t>
  </si>
  <si>
    <t>1084116</t>
  </si>
  <si>
    <t>500096495</t>
  </si>
  <si>
    <t>1084115</t>
  </si>
  <si>
    <t>500096494</t>
  </si>
  <si>
    <t>1084114</t>
  </si>
  <si>
    <t>500096493</t>
  </si>
  <si>
    <t>Remboursement du solde non utilisé au CODEV</t>
  </si>
  <si>
    <t>0318-20</t>
  </si>
  <si>
    <t>1084113</t>
  </si>
  <si>
    <t>500096492</t>
  </si>
  <si>
    <t>contrib. IBI pour Prof. Tyrode (Prof. invité)</t>
  </si>
  <si>
    <t>1084108</t>
  </si>
  <si>
    <t>500096487</t>
  </si>
  <si>
    <t>transfert de B IMX vers AE/AC SMX</t>
  </si>
  <si>
    <t>1084107</t>
  </si>
  <si>
    <t>500096486</t>
  </si>
  <si>
    <t>Contrib. STI séminaires IMX</t>
  </si>
  <si>
    <t>1084106</t>
  </si>
  <si>
    <t>500096485</t>
  </si>
  <si>
    <t>#5579/3720: Startup Prof. Paik: small equipment</t>
  </si>
  <si>
    <t>1084064</t>
  </si>
  <si>
    <t>500096443</t>
  </si>
  <si>
    <t>transfert de B vers PI/HA (M. Sahafi)</t>
  </si>
  <si>
    <t>1084056</t>
  </si>
  <si>
    <t>500096435</t>
  </si>
  <si>
    <t>1084053</t>
  </si>
  <si>
    <t>500096432</t>
  </si>
  <si>
    <t>transfert de B vers PI/HA (A. Laszlo)</t>
  </si>
  <si>
    <t>1084052</t>
  </si>
  <si>
    <t>500096431</t>
  </si>
  <si>
    <t>1084051</t>
  </si>
  <si>
    <t>500096430</t>
  </si>
  <si>
    <t>1084050</t>
  </si>
  <si>
    <t>500096429</t>
  </si>
  <si>
    <t>1084049</t>
  </si>
  <si>
    <t>500096428</t>
  </si>
  <si>
    <t>1084047</t>
  </si>
  <si>
    <t>500096426</t>
  </si>
  <si>
    <t>1084046</t>
  </si>
  <si>
    <t>500096425</t>
  </si>
  <si>
    <t>Rbt course étude Applied mech. design (Schiffmann)</t>
  </si>
  <si>
    <t>1084015</t>
  </si>
  <si>
    <t>500096394</t>
  </si>
  <si>
    <t>transfert budget IBI-STI -&gt; IBI-SV</t>
  </si>
  <si>
    <t>1084010</t>
  </si>
  <si>
    <t>500096389</t>
  </si>
  <si>
    <t>1083999</t>
  </si>
  <si>
    <t>500096378</t>
  </si>
  <si>
    <t>1083998</t>
  </si>
  <si>
    <t>500096377</t>
  </si>
  <si>
    <t>Indemnités 2018 SMX - TP et projets</t>
  </si>
  <si>
    <t>1083991</t>
  </si>
  <si>
    <t>500096370</t>
  </si>
  <si>
    <t>1083990</t>
  </si>
  <si>
    <t>500096369</t>
  </si>
  <si>
    <t>1083989</t>
  </si>
  <si>
    <t>500096368</t>
  </si>
  <si>
    <t>1083988</t>
  </si>
  <si>
    <t>500096367</t>
  </si>
  <si>
    <t>1083987</t>
  </si>
  <si>
    <t>500096366</t>
  </si>
  <si>
    <t>F0366</t>
  </si>
  <si>
    <t>1083986</t>
  </si>
  <si>
    <t>500096365</t>
  </si>
  <si>
    <t>F0376</t>
  </si>
  <si>
    <t>1083985</t>
  </si>
  <si>
    <t>500096364</t>
  </si>
  <si>
    <t>1083984</t>
  </si>
  <si>
    <t>500096363</t>
  </si>
  <si>
    <t>1083983</t>
  </si>
  <si>
    <t>500096362</t>
  </si>
  <si>
    <t>1083982</t>
  </si>
  <si>
    <t>500096361</t>
  </si>
  <si>
    <t>1083981</t>
  </si>
  <si>
    <t>500096360</t>
  </si>
  <si>
    <t>1083980</t>
  </si>
  <si>
    <t>500096359</t>
  </si>
  <si>
    <t>1083979</t>
  </si>
  <si>
    <t>500096358</t>
  </si>
  <si>
    <t>1083978</t>
  </si>
  <si>
    <t>500096357</t>
  </si>
  <si>
    <t>1083977</t>
  </si>
  <si>
    <t>500096356</t>
  </si>
  <si>
    <t>1083976</t>
  </si>
  <si>
    <t>500096355</t>
  </si>
  <si>
    <t>1083975</t>
  </si>
  <si>
    <t>500096354</t>
  </si>
  <si>
    <t>1083974</t>
  </si>
  <si>
    <t>500096353</t>
  </si>
  <si>
    <t>1083973</t>
  </si>
  <si>
    <t>500096352</t>
  </si>
  <si>
    <t>1083972</t>
  </si>
  <si>
    <t>500096351</t>
  </si>
  <si>
    <t>1083971</t>
  </si>
  <si>
    <t>500096350</t>
  </si>
  <si>
    <t>F0367</t>
  </si>
  <si>
    <t>1083970</t>
  </si>
  <si>
    <t>500096349</t>
  </si>
  <si>
    <t>Mise à zéro du fonds AE/AC</t>
  </si>
  <si>
    <t>1083969</t>
  </si>
  <si>
    <t>500096348</t>
  </si>
  <si>
    <t>Rbt Note de frais Prof. Reis</t>
  </si>
  <si>
    <t>1083968</t>
  </si>
  <si>
    <t>500096347</t>
  </si>
  <si>
    <t>#291: contrat maintenance laser 2018. Prof. Martin</t>
  </si>
  <si>
    <t>1083967</t>
  </si>
  <si>
    <t>500096346</t>
  </si>
  <si>
    <t>#7413/3714 Startup Prof. Matioli: small equipment</t>
  </si>
  <si>
    <t>1083909</t>
  </si>
  <si>
    <t>500096288</t>
  </si>
  <si>
    <t>#7303/3705 Startup Prof. Correia: small equipment</t>
  </si>
  <si>
    <t>1083904</t>
  </si>
  <si>
    <t>500096283</t>
  </si>
  <si>
    <t>cplt correction salaire I. Sivak</t>
  </si>
  <si>
    <t>1083899</t>
  </si>
  <si>
    <t>500096278</t>
  </si>
  <si>
    <t>contrib STI correction salaire I. Sivak F0321</t>
  </si>
  <si>
    <t>1083898</t>
  </si>
  <si>
    <t>500096277</t>
  </si>
  <si>
    <t>1083897</t>
  </si>
  <si>
    <t>500096276</t>
  </si>
  <si>
    <t>1083886</t>
  </si>
  <si>
    <t>500096265</t>
  </si>
  <si>
    <t>1083885</t>
  </si>
  <si>
    <t>500096264</t>
  </si>
  <si>
    <t>1083877</t>
  </si>
  <si>
    <t>500096256</t>
  </si>
  <si>
    <t>1083876</t>
  </si>
  <si>
    <t>500096255</t>
  </si>
  <si>
    <t>Rbt 40% salaire F. Jazaeri (19.10-31.12) F418-1052</t>
  </si>
  <si>
    <t>1083875</t>
  </si>
  <si>
    <t>500096254</t>
  </si>
  <si>
    <t>Participation IMX équipemt "DNA synthesizer" F0838</t>
  </si>
  <si>
    <t>1083874</t>
  </si>
  <si>
    <t>500096253</t>
  </si>
  <si>
    <t>Wind Tunnel Contribution LIS</t>
  </si>
  <si>
    <t>1083768</t>
  </si>
  <si>
    <t>500096147</t>
  </si>
  <si>
    <t>Yolanda Bühlmann (147054)</t>
  </si>
  <si>
    <t>147054</t>
  </si>
  <si>
    <t>transfert compensation salaire R. Blanchard 09/18</t>
  </si>
  <si>
    <t>1083652</t>
  </si>
  <si>
    <t>500096031</t>
  </si>
  <si>
    <t>transfert de A vers PI/HA (Prof. Tyrode)</t>
  </si>
  <si>
    <t>1083648</t>
  </si>
  <si>
    <t>500096027</t>
  </si>
  <si>
    <t>transfert de D vers PI/HA (Prof. Tyrode)</t>
  </si>
  <si>
    <t>1083647</t>
  </si>
  <si>
    <t>500096026</t>
  </si>
  <si>
    <t>1083646</t>
  </si>
  <si>
    <t>500096025</t>
  </si>
  <si>
    <t>1083645</t>
  </si>
  <si>
    <t>500096024</t>
  </si>
  <si>
    <t>1083644</t>
  </si>
  <si>
    <t>500096023</t>
  </si>
  <si>
    <t>1083643</t>
  </si>
  <si>
    <t>500096022</t>
  </si>
  <si>
    <t>contribution STI laser Prof. Limberger F0368</t>
  </si>
  <si>
    <t>1083626</t>
  </si>
  <si>
    <t>500096005</t>
  </si>
  <si>
    <t>contribution IMT laser Prof. Limberger F0368</t>
  </si>
  <si>
    <t>1083625</t>
  </si>
  <si>
    <t>500096004</t>
  </si>
  <si>
    <t>1083624</t>
  </si>
  <si>
    <t>500096003</t>
  </si>
  <si>
    <t>1083623</t>
  </si>
  <si>
    <t>500096002</t>
  </si>
  <si>
    <t>Rbt Note de frais Moll</t>
  </si>
  <si>
    <t>1083617</t>
  </si>
  <si>
    <t>500095996</t>
  </si>
  <si>
    <t>1083616</t>
  </si>
  <si>
    <t>500095995</t>
  </si>
  <si>
    <t>EDEE PhD thesis award (2018)</t>
  </si>
  <si>
    <t>1083604</t>
  </si>
  <si>
    <t>500095983</t>
  </si>
  <si>
    <t>contribution travail d'Hassan Laaroussi ICLAB</t>
  </si>
  <si>
    <t>1083603</t>
  </si>
  <si>
    <t>500095982</t>
  </si>
  <si>
    <t>Participation IGM achat petits équipements ECPS</t>
  </si>
  <si>
    <t>1083602</t>
  </si>
  <si>
    <t>500095981</t>
  </si>
  <si>
    <t>Particip. IGM achat matériels info. D.Kyritsis</t>
  </si>
  <si>
    <t>F0350</t>
  </si>
  <si>
    <t>1083601</t>
  </si>
  <si>
    <t>500095980</t>
  </si>
  <si>
    <t>Charges de cours externes STI 2018</t>
  </si>
  <si>
    <t>1083600</t>
  </si>
  <si>
    <t>500095979</t>
  </si>
  <si>
    <t>1083599</t>
  </si>
  <si>
    <t>500095978</t>
  </si>
  <si>
    <t>1083598</t>
  </si>
  <si>
    <t>500095977</t>
  </si>
  <si>
    <t>1083597</t>
  </si>
  <si>
    <t>500095976</t>
  </si>
  <si>
    <t>1083596</t>
  </si>
  <si>
    <t>500095975</t>
  </si>
  <si>
    <t>1083537</t>
  </si>
  <si>
    <t>500095916</t>
  </si>
  <si>
    <t>Couverture dépassement enveloppe A</t>
  </si>
  <si>
    <t>1083536</t>
  </si>
  <si>
    <t>500095915</t>
  </si>
  <si>
    <t>Participation IGM au Prof.Invité D Kyritsis</t>
  </si>
  <si>
    <t>1083535</t>
  </si>
  <si>
    <t>500095914</t>
  </si>
  <si>
    <t>Contribution IEL au POWERLAB F1056</t>
  </si>
  <si>
    <t>1083534</t>
  </si>
  <si>
    <t>500095913</t>
  </si>
  <si>
    <t>1083533</t>
  </si>
  <si>
    <t>500095912</t>
  </si>
  <si>
    <t>Contribution IEL à SCISTI DG F0379</t>
  </si>
  <si>
    <t>1083532</t>
  </si>
  <si>
    <t>500095911</t>
  </si>
  <si>
    <t>AE/AC de SEL vers DESL F0442</t>
  </si>
  <si>
    <t>1083531</t>
  </si>
  <si>
    <t>500095910</t>
  </si>
  <si>
    <t>AE/AC de SEL vers LTS2 F0423</t>
  </si>
  <si>
    <t>1083530</t>
  </si>
  <si>
    <t>500095909</t>
  </si>
  <si>
    <t>AE/AC de SEL vers STI-FORM F0395</t>
  </si>
  <si>
    <t>1083529</t>
  </si>
  <si>
    <t>500095908</t>
  </si>
  <si>
    <t>Participation IGM au Prof.Invité LMH, M Gavaises</t>
  </si>
  <si>
    <t>1083528</t>
  </si>
  <si>
    <t>500095907</t>
  </si>
  <si>
    <t>#12197/3694 Startup Prof. Reis: part. wind tunnel</t>
  </si>
  <si>
    <t>1083526</t>
  </si>
  <si>
    <t>500095905</t>
  </si>
  <si>
    <t>#12197/3692 Startup Prof. Bastings: part Thermo eq</t>
  </si>
  <si>
    <t>1083525</t>
  </si>
  <si>
    <t>500095904</t>
  </si>
  <si>
    <t>#8640/3690 Startup Prof. Amstad: part Thermo eq</t>
  </si>
  <si>
    <t>1083524</t>
  </si>
  <si>
    <t>500095903</t>
  </si>
  <si>
    <t>#14011/3689 Startup Prof. Michaud: part Thermo eq</t>
  </si>
  <si>
    <t>1083523</t>
  </si>
  <si>
    <t>500095902</t>
  </si>
  <si>
    <t>Transfert PhD STI Tucci Michele</t>
  </si>
  <si>
    <t>1083509</t>
  </si>
  <si>
    <t>500095888</t>
  </si>
  <si>
    <t>1083508</t>
  </si>
  <si>
    <t>500095887</t>
  </si>
  <si>
    <t>transfert de B vers PI/HA (Prof. Zeng-Qiang WU)</t>
  </si>
  <si>
    <t>1083408</t>
  </si>
  <si>
    <t>500095787</t>
  </si>
  <si>
    <t>1083407</t>
  </si>
  <si>
    <t>500095786</t>
  </si>
  <si>
    <t>1083406</t>
  </si>
  <si>
    <t>500095785</t>
  </si>
  <si>
    <t>1083393</t>
  </si>
  <si>
    <t>500095772</t>
  </si>
  <si>
    <t>1083392</t>
  </si>
  <si>
    <t>500095771</t>
  </si>
  <si>
    <t>1083365</t>
  </si>
  <si>
    <t>500095744</t>
  </si>
  <si>
    <t>1083364</t>
  </si>
  <si>
    <t>500095743</t>
  </si>
  <si>
    <t>Rbt SMX frais voyage Japon Prof. Ceriotti</t>
  </si>
  <si>
    <t>1083363</t>
  </si>
  <si>
    <t>500095742</t>
  </si>
  <si>
    <t>1083361</t>
  </si>
  <si>
    <t>500095740</t>
  </si>
  <si>
    <t>1083360</t>
  </si>
  <si>
    <t>500095739</t>
  </si>
  <si>
    <t>1083344</t>
  </si>
  <si>
    <t>500095723</t>
  </si>
  <si>
    <t>1083343</t>
  </si>
  <si>
    <t>500095722</t>
  </si>
  <si>
    <t>Participation IGM achat petits équipements LAMD</t>
  </si>
  <si>
    <t>1083342</t>
  </si>
  <si>
    <t>500095721</t>
  </si>
  <si>
    <t>#12302/3672 Startup Prof. Sakar: small equipment</t>
  </si>
  <si>
    <t>1083341</t>
  </si>
  <si>
    <t>500095720</t>
  </si>
  <si>
    <t>#11941/3671 Startup Prof. Charbon: IT equipment</t>
  </si>
  <si>
    <t>1083340</t>
  </si>
  <si>
    <t>500095719</t>
  </si>
  <si>
    <t>#7054/3669 Startup Prof. Schneider: scitas 2018</t>
  </si>
  <si>
    <t>1083339</t>
  </si>
  <si>
    <t>500095718</t>
  </si>
  <si>
    <t>#3094/3667 Startup Prof. Gallaire:scitas 2017-2018</t>
  </si>
  <si>
    <t>1083337</t>
  </si>
  <si>
    <t>500095716</t>
  </si>
  <si>
    <t>particip. IMX équipmt caractérisation thermoméca.</t>
  </si>
  <si>
    <t>1083263</t>
  </si>
  <si>
    <t>500095642</t>
  </si>
  <si>
    <t>#291 contrat maintenance laser 2018 Prof.Limberger</t>
  </si>
  <si>
    <t>1083207</t>
  </si>
  <si>
    <t>500095586</t>
  </si>
  <si>
    <t>Mise à zéro de la dotation F0845</t>
  </si>
  <si>
    <t>F0845</t>
  </si>
  <si>
    <t>1083203</t>
  </si>
  <si>
    <t>500095582</t>
  </si>
  <si>
    <t>complt budget IGM 2018</t>
  </si>
  <si>
    <t>1083130</t>
  </si>
  <si>
    <t>500095509</t>
  </si>
  <si>
    <t>transfert salaire phD Moll avant création unité</t>
  </si>
  <si>
    <t>1083123</t>
  </si>
  <si>
    <t>500095502</t>
  </si>
  <si>
    <t>transfert Budget Moll IMX-QMAT</t>
  </si>
  <si>
    <t>1083122</t>
  </si>
  <si>
    <t>500095501</t>
  </si>
  <si>
    <t>Budget initial Moll 0810-3</t>
  </si>
  <si>
    <t>1083121</t>
  </si>
  <si>
    <t>500095500</t>
  </si>
  <si>
    <t>Participation IGM à l'achat de petits équipements</t>
  </si>
  <si>
    <t>1083117</t>
  </si>
  <si>
    <t>500095496</t>
  </si>
  <si>
    <t>Rbt frais inscription JSP F. Gallaire</t>
  </si>
  <si>
    <t>1083116</t>
  </si>
  <si>
    <t>500095495</t>
  </si>
  <si>
    <t>1083113</t>
  </si>
  <si>
    <t>500095492</t>
  </si>
  <si>
    <t>1083112</t>
  </si>
  <si>
    <t>500095491</t>
  </si>
  <si>
    <t>1083108</t>
  </si>
  <si>
    <t>500095487</t>
  </si>
  <si>
    <t>1083107</t>
  </si>
  <si>
    <t>500095486</t>
  </si>
  <si>
    <t>1083101</t>
  </si>
  <si>
    <t>500095480</t>
  </si>
  <si>
    <t>1083100</t>
  </si>
  <si>
    <t>500095479</t>
  </si>
  <si>
    <t>1083091</t>
  </si>
  <si>
    <t>500095470</t>
  </si>
  <si>
    <t>1083090</t>
  </si>
  <si>
    <t>500095469</t>
  </si>
  <si>
    <t>1083089</t>
  </si>
  <si>
    <t>500095468</t>
  </si>
  <si>
    <t>1083088</t>
  </si>
  <si>
    <t>500095467</t>
  </si>
  <si>
    <t>1083087</t>
  </si>
  <si>
    <t>500095466</t>
  </si>
  <si>
    <t>1083078</t>
  </si>
  <si>
    <t>500095457</t>
  </si>
  <si>
    <t>1083077</t>
  </si>
  <si>
    <t>500095456</t>
  </si>
  <si>
    <t>#291: contrat maintenance laser 18 Prof Kippenberg</t>
  </si>
  <si>
    <t>1083071</t>
  </si>
  <si>
    <t>500095450</t>
  </si>
  <si>
    <t>Transfert budget MER G. Boero</t>
  </si>
  <si>
    <t>1083069</t>
  </si>
  <si>
    <t>500095448</t>
  </si>
  <si>
    <t>Interview Min GAO</t>
  </si>
  <si>
    <t>1083068</t>
  </si>
  <si>
    <t>500095447</t>
  </si>
  <si>
    <t>1083060</t>
  </si>
  <si>
    <t>500095439</t>
  </si>
  <si>
    <t>1083059</t>
  </si>
  <si>
    <t>500095438</t>
  </si>
  <si>
    <t>1083056</t>
  </si>
  <si>
    <t>500095435</t>
  </si>
  <si>
    <t>1083055</t>
  </si>
  <si>
    <t>500095434</t>
  </si>
  <si>
    <t>1083054</t>
  </si>
  <si>
    <t>500095433</t>
  </si>
  <si>
    <t>1083053</t>
  </si>
  <si>
    <t>500095432</t>
  </si>
  <si>
    <t>transfert de A vers PI/HA (Prof. Q-Han Park)</t>
  </si>
  <si>
    <t>1083051</t>
  </si>
  <si>
    <t>500095430</t>
  </si>
  <si>
    <t>transfert de D vers PI/HA (Prof. Q-Han Park)</t>
  </si>
  <si>
    <t>1083050</t>
  </si>
  <si>
    <t>500095429</t>
  </si>
  <si>
    <t>Véronique Bridel (196965)</t>
  </si>
  <si>
    <t>196965</t>
  </si>
  <si>
    <t>Projets de Master automne 2018 - SIE</t>
  </si>
  <si>
    <t>F0345</t>
  </si>
  <si>
    <t>1083000</t>
  </si>
  <si>
    <t>500095379</t>
  </si>
  <si>
    <t>AE/AC de IMX vers SMX</t>
  </si>
  <si>
    <t>1082973</t>
  </si>
  <si>
    <t>500095352</t>
  </si>
  <si>
    <t>#7486/3660 Startup Prof. Ghezzi: small equipment</t>
  </si>
  <si>
    <t>1082972</t>
  </si>
  <si>
    <t>500095351</t>
  </si>
  <si>
    <t>#14900/3655 Startup Prof. Moll: Ioan small equip</t>
  </si>
  <si>
    <t>1082971</t>
  </si>
  <si>
    <t>500095350</t>
  </si>
  <si>
    <t>Remboursement AE/AC SMT-SEL</t>
  </si>
  <si>
    <t>1082930</t>
  </si>
  <si>
    <t>500095309</t>
  </si>
  <si>
    <t>corr écriture Note de Frais Frauenrath</t>
  </si>
  <si>
    <t>1082928</t>
  </si>
  <si>
    <t>500095307</t>
  </si>
  <si>
    <t>F0373</t>
  </si>
  <si>
    <t>1082883</t>
  </si>
  <si>
    <t>500095262</t>
  </si>
  <si>
    <t>1082882</t>
  </si>
  <si>
    <t>500095261</t>
  </si>
  <si>
    <t>1082866</t>
  </si>
  <si>
    <t>500095245</t>
  </si>
  <si>
    <t>1082865</t>
  </si>
  <si>
    <t>500095244</t>
  </si>
  <si>
    <t>1082864</t>
  </si>
  <si>
    <t>500095243</t>
  </si>
  <si>
    <t>1082863</t>
  </si>
  <si>
    <t>500095242</t>
  </si>
  <si>
    <t>Participation IMX "Oscilloscope &amp; nanovolt meter"</t>
  </si>
  <si>
    <t>1082862</t>
  </si>
  <si>
    <t>500095241</t>
  </si>
  <si>
    <t>Remb. frais IMT2016-AMM</t>
  </si>
  <si>
    <t>1082861</t>
  </si>
  <si>
    <t>500095240</t>
  </si>
  <si>
    <t>1082844</t>
  </si>
  <si>
    <t>500095223</t>
  </si>
  <si>
    <t>1082843</t>
  </si>
  <si>
    <t>500095222</t>
  </si>
  <si>
    <t>#291 maintenance laser 2018 particip. Prof Psaltis</t>
  </si>
  <si>
    <t>1082842</t>
  </si>
  <si>
    <t>500095221</t>
  </si>
  <si>
    <t>#291 maintenance laser 2018 particip. Prof Roke</t>
  </si>
  <si>
    <t>1082841</t>
  </si>
  <si>
    <t>500095220</t>
  </si>
  <si>
    <t>1082816</t>
  </si>
  <si>
    <t>500095195</t>
  </si>
  <si>
    <t>1082815</t>
  </si>
  <si>
    <t>500095194</t>
  </si>
  <si>
    <t>1082814</t>
  </si>
  <si>
    <t>500095193</t>
  </si>
  <si>
    <t>transfert de D vers AE/AC F0433</t>
  </si>
  <si>
    <t>1082813</t>
  </si>
  <si>
    <t>500095192</t>
  </si>
  <si>
    <t>Contribution IBI Prof.Invité Gundlach F0881</t>
  </si>
  <si>
    <t>1082796</t>
  </si>
  <si>
    <t>500095175</t>
  </si>
  <si>
    <t>contribution travail d'Hassan Laaroussi GALATEA</t>
  </si>
  <si>
    <t>1082543</t>
  </si>
  <si>
    <t>500094922</t>
  </si>
  <si>
    <t>Equilibre AE/AC F0888</t>
  </si>
  <si>
    <t>1082506</t>
  </si>
  <si>
    <t>500094885</t>
  </si>
  <si>
    <t>Versement budget SMT 2018</t>
  </si>
  <si>
    <t>1082503</t>
  </si>
  <si>
    <t>500094882</t>
  </si>
  <si>
    <t>Allocation SGM pour cours J.Paik</t>
  </si>
  <si>
    <t>1082497</t>
  </si>
  <si>
    <t>500094876</t>
  </si>
  <si>
    <t>#13414/3646 Startup Prof. Reis: small equipment</t>
  </si>
  <si>
    <t>1082482</t>
  </si>
  <si>
    <t>500094861</t>
  </si>
  <si>
    <t>financement P. Moll + secrétariat F0810</t>
  </si>
  <si>
    <t>1082412</t>
  </si>
  <si>
    <t>500094791</t>
  </si>
  <si>
    <t>Budget B initial P. Moll F0307</t>
  </si>
  <si>
    <t>1082411</t>
  </si>
  <si>
    <t>500094790</t>
  </si>
  <si>
    <t>Budget A initial P. Moll F0307</t>
  </si>
  <si>
    <t>1082410</t>
  </si>
  <si>
    <t>500094789</t>
  </si>
  <si>
    <t>Transfert interne IGM -&gt; SGM</t>
  </si>
  <si>
    <t>1082390</t>
  </si>
  <si>
    <t>500094769</t>
  </si>
  <si>
    <t>1082378</t>
  </si>
  <si>
    <t>500094757</t>
  </si>
  <si>
    <t>1082377</t>
  </si>
  <si>
    <t>500094756</t>
  </si>
  <si>
    <t>1082376</t>
  </si>
  <si>
    <t>500094755</t>
  </si>
  <si>
    <t>1082375</t>
  </si>
  <si>
    <t>500094754</t>
  </si>
  <si>
    <t>#13518/3634 VPRSpring 2017 Prof. Matioli: small eq</t>
  </si>
  <si>
    <t>1082368</t>
  </si>
  <si>
    <t>500094747</t>
  </si>
  <si>
    <t>1082360</t>
  </si>
  <si>
    <t>500094739</t>
  </si>
  <si>
    <t>1082359</t>
  </si>
  <si>
    <t>500094738</t>
  </si>
  <si>
    <t>EFFRA Membership 2018 F0350</t>
  </si>
  <si>
    <t>1082348</t>
  </si>
  <si>
    <t>500094727</t>
  </si>
  <si>
    <t>Professeurs invités IEL</t>
  </si>
  <si>
    <t>1082347</t>
  </si>
  <si>
    <t>500094726</t>
  </si>
  <si>
    <t>Natacha Blanc Zabaleta (192446)</t>
  </si>
  <si>
    <t>192446</t>
  </si>
  <si>
    <t>Remboursement Colloque Enseignants</t>
  </si>
  <si>
    <t>1082329</t>
  </si>
  <si>
    <t>500094708</t>
  </si>
  <si>
    <t>Indemnités départ Grassi, Robert, Stadelmann F1048</t>
  </si>
  <si>
    <t>1082296</t>
  </si>
  <si>
    <t>500094675</t>
  </si>
  <si>
    <t>#12196/3624 Startup Prof. Tang: small equipment</t>
  </si>
  <si>
    <t>1082295</t>
  </si>
  <si>
    <t>500094674</t>
  </si>
  <si>
    <t>prêt de budget 2018 LTS2(F0423)-LTS5(F0405)</t>
  </si>
  <si>
    <t>1082287</t>
  </si>
  <si>
    <t>500094666</t>
  </si>
  <si>
    <t>Interview EMSI Kaviani</t>
  </si>
  <si>
    <t>1082263</t>
  </si>
  <si>
    <t>500094642</t>
  </si>
  <si>
    <t>#6391/3616 Startup Prof. Haussener: small equip.</t>
  </si>
  <si>
    <t>1082253</t>
  </si>
  <si>
    <t>500094632</t>
  </si>
  <si>
    <t>transfert LBO-IGM 10% salaire Ph Müllhaupt 5 mois</t>
  </si>
  <si>
    <t>1082252</t>
  </si>
  <si>
    <t>500094631</t>
  </si>
  <si>
    <t>Augmentation budget promotion S. Micera 01.08.18</t>
  </si>
  <si>
    <t>1082251</t>
  </si>
  <si>
    <t>500094630</t>
  </si>
  <si>
    <t>Aug. budget promotion C. Guiducci au 01.04.18</t>
  </si>
  <si>
    <t>1082250</t>
  </si>
  <si>
    <t>500094629</t>
  </si>
  <si>
    <t>contribution travail d'Hassan Laaroussi AQUA F1047</t>
  </si>
  <si>
    <t>1082249</t>
  </si>
  <si>
    <t>500094628</t>
  </si>
  <si>
    <t>transfert de A vers B - cplt bourse pr Haohua Li</t>
  </si>
  <si>
    <t>1082248</t>
  </si>
  <si>
    <t>500094627</t>
  </si>
  <si>
    <t>transfert de D vers B - cplt bourse pr Haohua Li</t>
  </si>
  <si>
    <t>1082247</t>
  </si>
  <si>
    <t>500094626</t>
  </si>
  <si>
    <t>Prime de fidélité Margot 07.2018</t>
  </si>
  <si>
    <t>1082246</t>
  </si>
  <si>
    <t>500094625</t>
  </si>
  <si>
    <t>1082243</t>
  </si>
  <si>
    <t>500094622</t>
  </si>
  <si>
    <t>1082242</t>
  </si>
  <si>
    <t>500094621</t>
  </si>
  <si>
    <t>1082237</t>
  </si>
  <si>
    <t>500094616</t>
  </si>
  <si>
    <t>1082236</t>
  </si>
  <si>
    <t>500094615</t>
  </si>
  <si>
    <t>Participation IGM Colloquium 2018</t>
  </si>
  <si>
    <t>1082235</t>
  </si>
  <si>
    <t>500094614</t>
  </si>
  <si>
    <t>augmentation taux 10% Eva Klok F0806</t>
  </si>
  <si>
    <t>1082230</t>
  </si>
  <si>
    <t>500094609</t>
  </si>
  <si>
    <t>1082229</t>
  </si>
  <si>
    <t>500094608</t>
  </si>
  <si>
    <t>1082228</t>
  </si>
  <si>
    <t>500094607</t>
  </si>
  <si>
    <t>Augmentation budget promotion A. Burg au 01.06.18</t>
  </si>
  <si>
    <t>1082220</t>
  </si>
  <si>
    <t>500094599</t>
  </si>
  <si>
    <t>transfert 30% Allenbach du F0406 au F0380 01.04.18</t>
  </si>
  <si>
    <t>1082219</t>
  </si>
  <si>
    <t>500094598</t>
  </si>
  <si>
    <t>transfert Décurnex du F0395 au F0406 au 01.03.2018</t>
  </si>
  <si>
    <t>1082218</t>
  </si>
  <si>
    <t>500094597</t>
  </si>
  <si>
    <t>transfert Hodder du F0395 au F0406 au 01.03.2018</t>
  </si>
  <si>
    <t>1082217</t>
  </si>
  <si>
    <t>500094596</t>
  </si>
  <si>
    <t>transfert Zoia du F0395 au F0406 au 01.03.2018</t>
  </si>
  <si>
    <t>1082216</t>
  </si>
  <si>
    <t>500094595</t>
  </si>
  <si>
    <t>transfert Zysman du F0395 au F0406 au 01.03.2018</t>
  </si>
  <si>
    <t>1082215</t>
  </si>
  <si>
    <t>500094594</t>
  </si>
  <si>
    <t>transfert Robert du F0395 au F0406 au 01.04.2018</t>
  </si>
  <si>
    <t>1082214</t>
  </si>
  <si>
    <t>500094593</t>
  </si>
  <si>
    <t>transfert Gaumier du F0395 au F0406 au 01.04.2018</t>
  </si>
  <si>
    <t>1082213</t>
  </si>
  <si>
    <t>500094592</t>
  </si>
  <si>
    <t>transfert 30% Allenbach du F0395 au F0406 01.04.18</t>
  </si>
  <si>
    <t>1082212</t>
  </si>
  <si>
    <t>500094591</t>
  </si>
  <si>
    <t>transfert 50% S.Burri du F0395 au F0490 au15.03.18</t>
  </si>
  <si>
    <t>1082210</t>
  </si>
  <si>
    <t>500094589</t>
  </si>
  <si>
    <t>transfert Koechli du F0395 au F1006 au 01.07.2018</t>
  </si>
  <si>
    <t>1082209</t>
  </si>
  <si>
    <t>500094588</t>
  </si>
  <si>
    <t>transfert C.Mary du F0395 au F0380 au 15.03.2018</t>
  </si>
  <si>
    <t>1082208</t>
  </si>
  <si>
    <t>500094587</t>
  </si>
  <si>
    <t>transfert S. Gautsch du F0395 au F0380 au 15.03.18</t>
  </si>
  <si>
    <t>1082207</t>
  </si>
  <si>
    <t>500094586</t>
  </si>
  <si>
    <t>transfert 50% S.Burri du F0395 au F0380 au15.03.18</t>
  </si>
  <si>
    <t>1082206</t>
  </si>
  <si>
    <t>500094585</t>
  </si>
  <si>
    <t>transfert 20% Allenbach du F395au F0380 au01.04.18</t>
  </si>
  <si>
    <t>1082205</t>
  </si>
  <si>
    <t>500094584</t>
  </si>
  <si>
    <t>transfert 50% Sutter du F0395 au F0380 au 01.07.18</t>
  </si>
  <si>
    <t>1082204</t>
  </si>
  <si>
    <t>500094583</t>
  </si>
  <si>
    <t>transfert DOT 10% R.De Pietro de F0375 vers F0423</t>
  </si>
  <si>
    <t>F0375</t>
  </si>
  <si>
    <t>1082203</t>
  </si>
  <si>
    <t>500094582</t>
  </si>
  <si>
    <t>transfert DOT 10% A. de Witte de F0375 vers F0423</t>
  </si>
  <si>
    <t>1082202</t>
  </si>
  <si>
    <t>500094581</t>
  </si>
  <si>
    <t>transfert de F0383 à F0375- réajustement enveloppe</t>
  </si>
  <si>
    <t>1082201</t>
  </si>
  <si>
    <t>500094580</t>
  </si>
  <si>
    <t>contribution STI pr 75% salaire K.Agbeviade F0320</t>
  </si>
  <si>
    <t>1082191</t>
  </si>
  <si>
    <t>500094570</t>
  </si>
  <si>
    <t>Transfert du F0332 LMH vers F0315 LFMI</t>
  </si>
  <si>
    <t>1082190</t>
  </si>
  <si>
    <t>500094569</t>
  </si>
  <si>
    <t>Prime de fidélité Schafer 04.2018</t>
  </si>
  <si>
    <t>1082189</t>
  </si>
  <si>
    <t>500094568</t>
  </si>
  <si>
    <t>Prime de fidélité Sage 02.2018</t>
  </si>
  <si>
    <t>1082188</t>
  </si>
  <si>
    <t>500094567</t>
  </si>
  <si>
    <t>Prime de fidélité Gasparini 03.2018</t>
  </si>
  <si>
    <t>1082187</t>
  </si>
  <si>
    <t>500094566</t>
  </si>
  <si>
    <t>prime de fidélité Pachoud 01.2018</t>
  </si>
  <si>
    <t>1082186</t>
  </si>
  <si>
    <t>500094565</t>
  </si>
  <si>
    <t>Prime de fidélité Bigler 05.2018</t>
  </si>
  <si>
    <t>1082185</t>
  </si>
  <si>
    <t>500094564</t>
  </si>
  <si>
    <t>Prime de fidélité Leterrier 01.2018</t>
  </si>
  <si>
    <t>1082184</t>
  </si>
  <si>
    <t>500094563</t>
  </si>
  <si>
    <t>Prime de fidélité Costarella 03.2018</t>
  </si>
  <si>
    <t>1082183</t>
  </si>
  <si>
    <t>500094562</t>
  </si>
  <si>
    <t>1082182</t>
  </si>
  <si>
    <t>500094561</t>
  </si>
  <si>
    <t>Prime de fidélité Gabriel 06.2018</t>
  </si>
  <si>
    <t>1082181</t>
  </si>
  <si>
    <t>500094560</t>
  </si>
  <si>
    <t>Prime de fidélité Kayal 02.2018</t>
  </si>
  <si>
    <t>1082180</t>
  </si>
  <si>
    <t>500094559</t>
  </si>
  <si>
    <t>Prime de fidélité Cherkaoui 04.2018</t>
  </si>
  <si>
    <t>1082179</t>
  </si>
  <si>
    <t>500094558</t>
  </si>
  <si>
    <t>Prime de fidélité Sunderland 03.2018</t>
  </si>
  <si>
    <t>1082178</t>
  </si>
  <si>
    <t>500094557</t>
  </si>
  <si>
    <t>Prime de fidélité Ruschetta 05.2018</t>
  </si>
  <si>
    <t>F0807</t>
  </si>
  <si>
    <t>1082177</t>
  </si>
  <si>
    <t>500094556</t>
  </si>
  <si>
    <t>Prime de fidélité Demierre 02.2018</t>
  </si>
  <si>
    <t>1082176</t>
  </si>
  <si>
    <t>500094555</t>
  </si>
  <si>
    <t>1082175</t>
  </si>
  <si>
    <t>500094554</t>
  </si>
  <si>
    <t>Prime de fidélité Gay-Balmaz 05.2018</t>
  </si>
  <si>
    <t>1082174</t>
  </si>
  <si>
    <t>500094553</t>
  </si>
  <si>
    <t>Prime de fidélité Fernandez-Bolanas 02.2018</t>
  </si>
  <si>
    <t>1082173</t>
  </si>
  <si>
    <t>500094552</t>
  </si>
  <si>
    <t>Prime de fidélité Schneeberger 02.2018</t>
  </si>
  <si>
    <t>1082172</t>
  </si>
  <si>
    <t>500094551</t>
  </si>
  <si>
    <t>Prime de fidélité Lissek 02.2018</t>
  </si>
  <si>
    <t>1082171</t>
  </si>
  <si>
    <t>500094550</t>
  </si>
  <si>
    <t>Prime de fidélité De Pietro 04.2018</t>
  </si>
  <si>
    <t>1082170</t>
  </si>
  <si>
    <t>500094549</t>
  </si>
  <si>
    <t>1082169</t>
  </si>
  <si>
    <t>500094548</t>
  </si>
  <si>
    <t>1082168</t>
  </si>
  <si>
    <t>500094547</t>
  </si>
  <si>
    <t>1082167</t>
  </si>
  <si>
    <t>500094546</t>
  </si>
  <si>
    <t>Prime de fidélité Zysman 05.2018</t>
  </si>
  <si>
    <t>1082166</t>
  </si>
  <si>
    <t>500094545</t>
  </si>
  <si>
    <t>Prime de fidélité Magnenat 02.2018</t>
  </si>
  <si>
    <t>1082165</t>
  </si>
  <si>
    <t>500094544</t>
  </si>
  <si>
    <t>Prime de fidélité Leitos 04.2018</t>
  </si>
  <si>
    <t>F0323</t>
  </si>
  <si>
    <t>1082164</t>
  </si>
  <si>
    <t>500094543</t>
  </si>
  <si>
    <t>1082163</t>
  </si>
  <si>
    <t>500094542</t>
  </si>
  <si>
    <t>Prime de fidélité Thévenaz 03.2018</t>
  </si>
  <si>
    <t>F0371</t>
  </si>
  <si>
    <t>1082162</t>
  </si>
  <si>
    <t>500094541</t>
  </si>
  <si>
    <t>Prime de fidélité Maxwell 03.2018</t>
  </si>
  <si>
    <t>1082161</t>
  </si>
  <si>
    <t>500094540</t>
  </si>
  <si>
    <t>1082160</t>
  </si>
  <si>
    <t>500094539</t>
  </si>
  <si>
    <t>1082159</t>
  </si>
  <si>
    <t>500094538</t>
  </si>
  <si>
    <t>Fermeture STI-FORM</t>
  </si>
  <si>
    <t>0395-2</t>
  </si>
  <si>
    <t>1082150</t>
  </si>
  <si>
    <t>500094529</t>
  </si>
  <si>
    <t>1082149</t>
  </si>
  <si>
    <t>500094528</t>
  </si>
  <si>
    <t>1082112</t>
  </si>
  <si>
    <t>500094491</t>
  </si>
  <si>
    <t>1082111</t>
  </si>
  <si>
    <t>500094490</t>
  </si>
  <si>
    <t>0395-1</t>
  </si>
  <si>
    <t>1082091</t>
  </si>
  <si>
    <t>500094470</t>
  </si>
  <si>
    <t>1082090</t>
  </si>
  <si>
    <t>500094469</t>
  </si>
  <si>
    <t>1082089</t>
  </si>
  <si>
    <t>500094468</t>
  </si>
  <si>
    <t>1082088</t>
  </si>
  <si>
    <t>500094467</t>
  </si>
  <si>
    <t>1082071</t>
  </si>
  <si>
    <t>500094450</t>
  </si>
  <si>
    <t>1082070</t>
  </si>
  <si>
    <t>500094449</t>
  </si>
  <si>
    <t>Paiement solde Swiss Machine ATPR</t>
  </si>
  <si>
    <t>1082062</t>
  </si>
  <si>
    <t>500094441</t>
  </si>
  <si>
    <t>#1799/3588 Startup Prof. Psaltis: small equipment</t>
  </si>
  <si>
    <t>1081993</t>
  </si>
  <si>
    <t>500094372</t>
  </si>
  <si>
    <t>#7303/3587 Startup Prof. Correia: small equipment</t>
  </si>
  <si>
    <t>1081992</t>
  </si>
  <si>
    <t>500094371</t>
  </si>
  <si>
    <t>#14031/3577 Startup Prof. Kolinski: small equip</t>
  </si>
  <si>
    <t>1081877</t>
  </si>
  <si>
    <t>500094256</t>
  </si>
  <si>
    <t>#7054/3578 Startup Prof. Schneider: order Newport</t>
  </si>
  <si>
    <t>1081876</t>
  </si>
  <si>
    <t>500094255</t>
  </si>
  <si>
    <t>Rembt double paiement - annulation transfert</t>
  </si>
  <si>
    <t>1081837</t>
  </si>
  <si>
    <t>500094216</t>
  </si>
  <si>
    <t>1081836</t>
  </si>
  <si>
    <t>500094215</t>
  </si>
  <si>
    <t>Research Internship Program Ronan Perry</t>
  </si>
  <si>
    <t>1081817</t>
  </si>
  <si>
    <t>500094196</t>
  </si>
  <si>
    <t>complément bourse Iryna Sivak période 06-08 2018</t>
  </si>
  <si>
    <t>1081772</t>
  </si>
  <si>
    <t>500094151</t>
  </si>
  <si>
    <t>ch soc. cplt bourse Iryna Sivak période 06-08 2018</t>
  </si>
  <si>
    <t>1081771</t>
  </si>
  <si>
    <t>500094150</t>
  </si>
  <si>
    <t>1081716</t>
  </si>
  <si>
    <t>500094095</t>
  </si>
  <si>
    <t>1081715</t>
  </si>
  <si>
    <t>500094094</t>
  </si>
  <si>
    <t>1081714</t>
  </si>
  <si>
    <t>500094093</t>
  </si>
  <si>
    <t>1081713</t>
  </si>
  <si>
    <t>500094092</t>
  </si>
  <si>
    <t>1081666</t>
  </si>
  <si>
    <t>500094045</t>
  </si>
  <si>
    <t>1081665</t>
  </si>
  <si>
    <t>500094044</t>
  </si>
  <si>
    <t>PI/HA Ricardo Merched</t>
  </si>
  <si>
    <t>1081636</t>
  </si>
  <si>
    <t>500094015</t>
  </si>
  <si>
    <t>Remb. frais IGM 2018 Search Thermal Science</t>
  </si>
  <si>
    <t>1081626</t>
  </si>
  <si>
    <t>500094005</t>
  </si>
  <si>
    <t>1081607</t>
  </si>
  <si>
    <t>500093986</t>
  </si>
  <si>
    <t>1081606</t>
  </si>
  <si>
    <t>500093985</t>
  </si>
  <si>
    <t>#8942/3559 Startup Prof. Schneider: small equip</t>
  </si>
  <si>
    <t>1081596</t>
  </si>
  <si>
    <t>500093975</t>
  </si>
  <si>
    <t>#14900/3563 Startup Prof. Moll: small equip</t>
  </si>
  <si>
    <t>1081595</t>
  </si>
  <si>
    <t>500093974</t>
  </si>
  <si>
    <t>#298/3549 Prof. Sayed: convention HOSR 2018</t>
  </si>
  <si>
    <t>1081577</t>
  </si>
  <si>
    <t>500093956</t>
  </si>
  <si>
    <t>1081576</t>
  </si>
  <si>
    <t>500093955</t>
  </si>
  <si>
    <t>#7931/3551 NCCR Marvel Prof. Marzari : running env</t>
  </si>
  <si>
    <t>1081574</t>
  </si>
  <si>
    <t>500093953</t>
  </si>
  <si>
    <t>#7413/3554 Startup fund: Prof. Matioli: part oscil</t>
  </si>
  <si>
    <t>1081572</t>
  </si>
  <si>
    <t>500093951</t>
  </si>
  <si>
    <t>remb. user fees CIME 2017</t>
  </si>
  <si>
    <t>1081570</t>
  </si>
  <si>
    <t>500093949</t>
  </si>
  <si>
    <t>1081569</t>
  </si>
  <si>
    <t>500093948</t>
  </si>
  <si>
    <t>1081568</t>
  </si>
  <si>
    <t>500093947</t>
  </si>
  <si>
    <t>1081567</t>
  </si>
  <si>
    <t>500093946</t>
  </si>
  <si>
    <t>1081566</t>
  </si>
  <si>
    <t>500093945</t>
  </si>
  <si>
    <t>1081565</t>
  </si>
  <si>
    <t>500093944</t>
  </si>
  <si>
    <t>1081564</t>
  </si>
  <si>
    <t>500093943</t>
  </si>
  <si>
    <t>transfert interne institut -&gt; section</t>
  </si>
  <si>
    <t>1081563</t>
  </si>
  <si>
    <t>500093942</t>
  </si>
  <si>
    <t>Myprint copies JVH</t>
  </si>
  <si>
    <t>1081562</t>
  </si>
  <si>
    <t>500093941</t>
  </si>
  <si>
    <t>Ana Cristina Jesus Silva (266639)</t>
  </si>
  <si>
    <t>266639</t>
  </si>
  <si>
    <t>Financement assist admin Fondation WISH</t>
  </si>
  <si>
    <t>1081560</t>
  </si>
  <si>
    <t>500093939</t>
  </si>
  <si>
    <t>retour solde F0845</t>
  </si>
  <si>
    <t>0845-1</t>
  </si>
  <si>
    <t>1081559</t>
  </si>
  <si>
    <t>500093938</t>
  </si>
  <si>
    <t>1081558</t>
  </si>
  <si>
    <t>500093937</t>
  </si>
  <si>
    <t>1081557</t>
  </si>
  <si>
    <t>500093936</t>
  </si>
  <si>
    <t>transfert env B groupe Acoustique</t>
  </si>
  <si>
    <t>1081554</t>
  </si>
  <si>
    <t>500093933</t>
  </si>
  <si>
    <t>1081526</t>
  </si>
  <si>
    <t>500093905</t>
  </si>
  <si>
    <t>1081525</t>
  </si>
  <si>
    <t>500093904</t>
  </si>
  <si>
    <t>carryover 2017 -&gt; 2018</t>
  </si>
  <si>
    <t>1081524</t>
  </si>
  <si>
    <t>500093903</t>
  </si>
  <si>
    <t>1081519</t>
  </si>
  <si>
    <t>500093898</t>
  </si>
  <si>
    <t>1081518</t>
  </si>
  <si>
    <t>500093897</t>
  </si>
  <si>
    <t>1081515</t>
  </si>
  <si>
    <t>500093894</t>
  </si>
  <si>
    <t>1081514</t>
  </si>
  <si>
    <t>500093893</t>
  </si>
  <si>
    <t>2018 EDEE PhD thesis award</t>
  </si>
  <si>
    <t>1081495</t>
  </si>
  <si>
    <t>500093874</t>
  </si>
  <si>
    <t>#7486/3516 Startup Prof. Ghezzi: small equipment</t>
  </si>
  <si>
    <t>1081493</t>
  </si>
  <si>
    <t>500093872</t>
  </si>
  <si>
    <t>#7303/3534 Startup Prof. Correia: small equipment</t>
  </si>
  <si>
    <t>1081491</t>
  </si>
  <si>
    <t>500093870</t>
  </si>
  <si>
    <t>#6394/3500 Startup Prof. Sorin: small equipment</t>
  </si>
  <si>
    <t>1081488</t>
  </si>
  <si>
    <t>500093867</t>
  </si>
  <si>
    <t>Budget 2018 F1152 - part STI</t>
  </si>
  <si>
    <t>F0408</t>
  </si>
  <si>
    <t>1081448</t>
  </si>
  <si>
    <t>500093827</t>
  </si>
  <si>
    <t>1081447</t>
  </si>
  <si>
    <t>500093826</t>
  </si>
  <si>
    <t>1081446</t>
  </si>
  <si>
    <t>500093825</t>
  </si>
  <si>
    <t>ESL -&gt; LAP: 32.5% charges 2018 de Rodolphe Buret</t>
  </si>
  <si>
    <t>1081440</t>
  </si>
  <si>
    <t>500093819</t>
  </si>
  <si>
    <t>ESL -&gt; LAP: 32.5% salaire 2018 de Rodolphe Buret</t>
  </si>
  <si>
    <t>1081439</t>
  </si>
  <si>
    <t>500093818</t>
  </si>
  <si>
    <t>Remboursement achat de serveurs pour l’enseignemen</t>
  </si>
  <si>
    <t>1081430</t>
  </si>
  <si>
    <t>500093809</t>
  </si>
  <si>
    <t>budget section</t>
  </si>
  <si>
    <t>1081429</t>
  </si>
  <si>
    <t>500093808</t>
  </si>
  <si>
    <t>EDEE thesis award – participation IEL</t>
  </si>
  <si>
    <t>1081428</t>
  </si>
  <si>
    <t>500093807</t>
  </si>
  <si>
    <t>réparation équipement scientifique (AWG7122C)</t>
  </si>
  <si>
    <t>1081427</t>
  </si>
  <si>
    <t>500093806</t>
  </si>
  <si>
    <t>AE/AC 2018</t>
  </si>
  <si>
    <t>1081409</t>
  </si>
  <si>
    <t>500093788</t>
  </si>
  <si>
    <t>Sophie Viscolo (150243)</t>
  </si>
  <si>
    <t>150243</t>
  </si>
  <si>
    <t>Budget SV iGEM 2018 - Octroi initial</t>
  </si>
  <si>
    <t>1081408</t>
  </si>
  <si>
    <t>500093787</t>
  </si>
  <si>
    <t>1081389</t>
  </si>
  <si>
    <t>500093768</t>
  </si>
  <si>
    <t>1081324</t>
  </si>
  <si>
    <t>500093703</t>
  </si>
  <si>
    <t>1081323</t>
  </si>
  <si>
    <t>500093702</t>
  </si>
  <si>
    <t>transfert de A vers B (pour CO négatif de B)</t>
  </si>
  <si>
    <t>1081322</t>
  </si>
  <si>
    <t>500093701</t>
  </si>
  <si>
    <t>transfert de D vers B (pour CO négatif de B)</t>
  </si>
  <si>
    <t>1081321</t>
  </si>
  <si>
    <t>500093700</t>
  </si>
  <si>
    <t>CORR carryover 2017 -&gt; 2018</t>
  </si>
  <si>
    <t>1081320</t>
  </si>
  <si>
    <t>500093699</t>
  </si>
  <si>
    <t>1081319</t>
  </si>
  <si>
    <t>500093698</t>
  </si>
  <si>
    <t>1081318</t>
  </si>
  <si>
    <t>500093697</t>
  </si>
  <si>
    <t>F0491</t>
  </si>
  <si>
    <t>1081317</t>
  </si>
  <si>
    <t>500093696</t>
  </si>
  <si>
    <t>F0492</t>
  </si>
  <si>
    <t>1081316</t>
  </si>
  <si>
    <t>500093695</t>
  </si>
  <si>
    <t>Georges Machlout (256399)</t>
  </si>
  <si>
    <t>256399</t>
  </si>
  <si>
    <t>Contribution 2018 congé maternité et maladies</t>
  </si>
  <si>
    <t>3029010</t>
  </si>
  <si>
    <t>1081267</t>
  </si>
  <si>
    <t>500093646</t>
  </si>
  <si>
    <t>1081189</t>
  </si>
  <si>
    <t>500093568</t>
  </si>
  <si>
    <t>1081188</t>
  </si>
  <si>
    <t>500093567</t>
  </si>
  <si>
    <t>1081187</t>
  </si>
  <si>
    <t>500093566</t>
  </si>
  <si>
    <t>1081186</t>
  </si>
  <si>
    <t>500093565</t>
  </si>
  <si>
    <t>1081185</t>
  </si>
  <si>
    <t>500093564</t>
  </si>
  <si>
    <t>1081184</t>
  </si>
  <si>
    <t>500093563</t>
  </si>
  <si>
    <t>1081183</t>
  </si>
  <si>
    <t>500093562</t>
  </si>
  <si>
    <t>1081182</t>
  </si>
  <si>
    <t>500093561</t>
  </si>
  <si>
    <t>1081181</t>
  </si>
  <si>
    <t>500093560</t>
  </si>
  <si>
    <t>1081180</t>
  </si>
  <si>
    <t>500093559</t>
  </si>
  <si>
    <t>1081179</t>
  </si>
  <si>
    <t>500093558</t>
  </si>
  <si>
    <t>1081178</t>
  </si>
  <si>
    <t>500093557</t>
  </si>
  <si>
    <t>1081177</t>
  </si>
  <si>
    <t>500093556</t>
  </si>
  <si>
    <t>1081176</t>
  </si>
  <si>
    <t>500093555</t>
  </si>
  <si>
    <t>1081175</t>
  </si>
  <si>
    <t>500093554</t>
  </si>
  <si>
    <t>1081174</t>
  </si>
  <si>
    <t>500093553</t>
  </si>
  <si>
    <t>1081173</t>
  </si>
  <si>
    <t>500093552</t>
  </si>
  <si>
    <t>1081172</t>
  </si>
  <si>
    <t>500093551</t>
  </si>
  <si>
    <t>1081171</t>
  </si>
  <si>
    <t>500093550</t>
  </si>
  <si>
    <t>1081165</t>
  </si>
  <si>
    <t>500093544</t>
  </si>
  <si>
    <t>1081164</t>
  </si>
  <si>
    <t>500093543</t>
  </si>
  <si>
    <t>1081163</t>
  </si>
  <si>
    <t>500093542</t>
  </si>
  <si>
    <t>1081162</t>
  </si>
  <si>
    <t>500093541</t>
  </si>
  <si>
    <t>1081161</t>
  </si>
  <si>
    <t>500093540</t>
  </si>
  <si>
    <t>1081160</t>
  </si>
  <si>
    <t>500093539</t>
  </si>
  <si>
    <t>1081159</t>
  </si>
  <si>
    <t>500093538</t>
  </si>
  <si>
    <t>1081158</t>
  </si>
  <si>
    <t>500093537</t>
  </si>
  <si>
    <t>1081157</t>
  </si>
  <si>
    <t>500093536</t>
  </si>
  <si>
    <t>1081156</t>
  </si>
  <si>
    <t>500093535</t>
  </si>
  <si>
    <t>1081155</t>
  </si>
  <si>
    <t>500093534</t>
  </si>
  <si>
    <t>1081154</t>
  </si>
  <si>
    <t>500093533</t>
  </si>
  <si>
    <t>1081153</t>
  </si>
  <si>
    <t>500093532</t>
  </si>
  <si>
    <t>1081152</t>
  </si>
  <si>
    <t>500093531</t>
  </si>
  <si>
    <t>1081151</t>
  </si>
  <si>
    <t>500093530</t>
  </si>
  <si>
    <t>1081150</t>
  </si>
  <si>
    <t>500093529</t>
  </si>
  <si>
    <t>1081149</t>
  </si>
  <si>
    <t>500093528</t>
  </si>
  <si>
    <t>1081148</t>
  </si>
  <si>
    <t>500093527</t>
  </si>
  <si>
    <t>1081147</t>
  </si>
  <si>
    <t>500093526</t>
  </si>
  <si>
    <t>1081146</t>
  </si>
  <si>
    <t>500093525</t>
  </si>
  <si>
    <t>1081145</t>
  </si>
  <si>
    <t>500093524</t>
  </si>
  <si>
    <t>F0313</t>
  </si>
  <si>
    <t>1081144</t>
  </si>
  <si>
    <t>500093523</t>
  </si>
  <si>
    <t>1081143</t>
  </si>
  <si>
    <t>500093522</t>
  </si>
  <si>
    <t>1081142</t>
  </si>
  <si>
    <t>500093521</t>
  </si>
  <si>
    <t>1081141</t>
  </si>
  <si>
    <t>500093520</t>
  </si>
  <si>
    <t>1081140</t>
  </si>
  <si>
    <t>500093519</t>
  </si>
  <si>
    <t>1081139</t>
  </si>
  <si>
    <t>500093518</t>
  </si>
  <si>
    <t>1081138</t>
  </si>
  <si>
    <t>500093517</t>
  </si>
  <si>
    <t>1081137</t>
  </si>
  <si>
    <t>500093516</t>
  </si>
  <si>
    <t>1081136</t>
  </si>
  <si>
    <t>500093515</t>
  </si>
  <si>
    <t>1081135</t>
  </si>
  <si>
    <t>500093514</t>
  </si>
  <si>
    <t>1081134</t>
  </si>
  <si>
    <t>500093513</t>
  </si>
  <si>
    <t>1081133</t>
  </si>
  <si>
    <t>500093512</t>
  </si>
  <si>
    <t>1081132</t>
  </si>
  <si>
    <t>500093511</t>
  </si>
  <si>
    <t>F0374</t>
  </si>
  <si>
    <t>1081131</t>
  </si>
  <si>
    <t>500093510</t>
  </si>
  <si>
    <t>1081130</t>
  </si>
  <si>
    <t>500093509</t>
  </si>
  <si>
    <t>1081129</t>
  </si>
  <si>
    <t>500093508</t>
  </si>
  <si>
    <t>1081128</t>
  </si>
  <si>
    <t>500093507</t>
  </si>
  <si>
    <t>1081127</t>
  </si>
  <si>
    <t>500093506</t>
  </si>
  <si>
    <t>1081126</t>
  </si>
  <si>
    <t>500093505</t>
  </si>
  <si>
    <t>1081125</t>
  </si>
  <si>
    <t>500093504</t>
  </si>
  <si>
    <t>1081124</t>
  </si>
  <si>
    <t>500093503</t>
  </si>
  <si>
    <t>1081123</t>
  </si>
  <si>
    <t>500093502</t>
  </si>
  <si>
    <t>1081122</t>
  </si>
  <si>
    <t>500093501</t>
  </si>
  <si>
    <t>1081121</t>
  </si>
  <si>
    <t>500093500</t>
  </si>
  <si>
    <t>répartition AE/AC</t>
  </si>
  <si>
    <t>1081086</t>
  </si>
  <si>
    <t>500093465</t>
  </si>
  <si>
    <t>1081085</t>
  </si>
  <si>
    <t>500093464</t>
  </si>
  <si>
    <t>1081084</t>
  </si>
  <si>
    <t>500093463</t>
  </si>
  <si>
    <t>1081083</t>
  </si>
  <si>
    <t>500093462</t>
  </si>
  <si>
    <t>1081082</t>
  </si>
  <si>
    <t>500093461</t>
  </si>
  <si>
    <t>1081081</t>
  </si>
  <si>
    <t>500093460</t>
  </si>
  <si>
    <t>1081080</t>
  </si>
  <si>
    <t>500093459</t>
  </si>
  <si>
    <t>1081079</t>
  </si>
  <si>
    <t>500093458</t>
  </si>
  <si>
    <t>retour transfert 2016 au F0315 depuis le 1062-1</t>
  </si>
  <si>
    <t>1081078</t>
  </si>
  <si>
    <t>500093457</t>
  </si>
  <si>
    <t>retour transfert 2016 au 0058-98 depuis le 1062-1</t>
  </si>
  <si>
    <t>1081077</t>
  </si>
  <si>
    <t>500093456</t>
  </si>
  <si>
    <t>participation fonds commun 0418-2</t>
  </si>
  <si>
    <t>1081076</t>
  </si>
  <si>
    <t>500093455</t>
  </si>
  <si>
    <t>1081075</t>
  </si>
  <si>
    <t>500093454</t>
  </si>
  <si>
    <t>transfert de 810-1 vers 806-1</t>
  </si>
  <si>
    <t>1081074</t>
  </si>
  <si>
    <t>500093453</t>
  </si>
  <si>
    <t>transfert de 810-1 vers 6029011 de SMX</t>
  </si>
  <si>
    <t>1081073</t>
  </si>
  <si>
    <t>500093452</t>
  </si>
  <si>
    <t>correction budget enveloppe B</t>
  </si>
  <si>
    <t>1081072</t>
  </si>
  <si>
    <t>500093451</t>
  </si>
  <si>
    <t>correction erreur imputation 343/311</t>
  </si>
  <si>
    <t>1081070</t>
  </si>
  <si>
    <t>500093449</t>
  </si>
  <si>
    <t>1081069</t>
  </si>
  <si>
    <t>500093448</t>
  </si>
  <si>
    <t>1081068</t>
  </si>
  <si>
    <t>500093447</t>
  </si>
  <si>
    <t>Correction bugdet initial F0376</t>
  </si>
  <si>
    <t>1081047</t>
  </si>
  <si>
    <t>500093426</t>
  </si>
  <si>
    <t>Correction bugdet initial F0366</t>
  </si>
  <si>
    <t>1081046</t>
  </si>
  <si>
    <t>500093425</t>
  </si>
  <si>
    <t>1081045</t>
  </si>
  <si>
    <t>500093424</t>
  </si>
  <si>
    <t>Correction bugdet initial F0367</t>
  </si>
  <si>
    <t>1081044</t>
  </si>
  <si>
    <t>500093423</t>
  </si>
  <si>
    <t>1081043</t>
  </si>
  <si>
    <t>500093422</t>
  </si>
  <si>
    <t>Indemnité pour personnel d'appui</t>
  </si>
  <si>
    <t>1080996</t>
  </si>
  <si>
    <t>500093375</t>
  </si>
  <si>
    <t>1080990</t>
  </si>
  <si>
    <t>500093369</t>
  </si>
  <si>
    <t>1080988</t>
  </si>
  <si>
    <t>500093367</t>
  </si>
  <si>
    <t>Octroi projet Seed Money - Prof. Paik</t>
  </si>
  <si>
    <t>1080954</t>
  </si>
  <si>
    <t>500093333</t>
  </si>
  <si>
    <t>Rembt frais interview Amin Hodaei pour labo SMAL</t>
  </si>
  <si>
    <t>1080952</t>
  </si>
  <si>
    <t>500093331</t>
  </si>
  <si>
    <t>1080763</t>
  </si>
  <si>
    <t>500093142</t>
  </si>
  <si>
    <t>1080762</t>
  </si>
  <si>
    <t>500093141</t>
  </si>
  <si>
    <t>Vsn</t>
  </si>
  <si>
    <t>Saisie le</t>
  </si>
  <si>
    <t>Nom complet</t>
  </si>
  <si>
    <t>Créé par</t>
  </si>
  <si>
    <t>Texte</t>
  </si>
  <si>
    <t>Compte budgét.</t>
  </si>
  <si>
    <t>Ctre fin.</t>
  </si>
  <si>
    <t>Fonds émetteur</t>
  </si>
  <si>
    <t>Valeur globale</t>
  </si>
  <si>
    <t>Fonds récepteur</t>
  </si>
  <si>
    <t>Type de budget</t>
  </si>
  <si>
    <t>Date pce</t>
  </si>
  <si>
    <t>No de pièce de saisie</t>
  </si>
  <si>
    <t>N° pièce</t>
  </si>
  <si>
    <t>A traiter</t>
  </si>
  <si>
    <t>Transfert à intégrer</t>
  </si>
  <si>
    <t>Dépenses/transferts</t>
  </si>
  <si>
    <t>Recettes/transferts</t>
  </si>
  <si>
    <t>année ferm. unité</t>
  </si>
  <si>
    <t>Budget env ABD</t>
  </si>
  <si>
    <t>Mise à jour des projections de promotions</t>
  </si>
  <si>
    <t>S2 - budget 1000 CHF - màj promotions</t>
  </si>
  <si>
    <t>Correction bug Porf. Villanueva</t>
  </si>
  <si>
    <t>S3 - correction bug Villanueva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</si>
</sst>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0.0%"/>
    <numFmt numFmtId="165" formatCode="#,##0.0"/>
    <numFmt numFmtId="166" formatCode="#,##0.000"/>
    <numFmt numFmtId="167" formatCode="0.000"/>
    <numFmt numFmtId="168" formatCode="0.0"/>
    <numFmt numFmtId="169" formatCode="_ * #,##0.000_ ;_ * \-#,##0.000_ ;_ * &quot;-&quot;??_ ;_ @_ "/>
    <numFmt numFmtId="170" formatCode="_ * #,##0_ ;_ * \-#,##0_ ;_ * &quot;-&quot;??_ ;_ @_ "/>
  </numFmts>
  <fonts count="5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1"/>
      <name val="arial"/>
      <family val="2"/>
    </font>
    <font>
      <b/>
      <sz val="10"/>
      <color theme="1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Times"/>
      <family val="1"/>
    </font>
    <font>
      <sz val="10"/>
      <color theme="1"/>
      <name val="Times"/>
      <family val="1"/>
    </font>
    <font>
      <b/>
      <u/>
      <sz val="10"/>
      <color theme="1"/>
      <name val="arial"/>
      <family val="2"/>
    </font>
    <font>
      <sz val="10"/>
      <color rgb="FFFF0000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name val="Verdana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name val="Times"/>
      <family val="1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49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0E8B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E0EFF3"/>
        <bgColor indexed="64"/>
      </patternFill>
    </fill>
    <fill>
      <patternFill patternType="solid">
        <fgColor rgb="FFB1D7E1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indexed="22"/>
        <bgColor indexed="0"/>
      </patternFill>
    </fill>
    <fill>
      <patternFill patternType="solid">
        <fgColor rgb="FFF2F2F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4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64"/>
      </right>
      <top style="thin">
        <color indexed="8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3">
    <xf numFmtId="0" fontId="0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" fontId="5" fillId="3" borderId="2" applyNumberFormat="0" applyProtection="0">
      <alignment horizontal="left" vertical="center" indent="1"/>
    </xf>
    <xf numFmtId="4" fontId="5" fillId="3" borderId="2" applyNumberFormat="0" applyProtection="0">
      <alignment horizontal="left" vertical="center" indent="1"/>
    </xf>
    <xf numFmtId="0" fontId="6" fillId="0" borderId="0"/>
    <xf numFmtId="4" fontId="5" fillId="0" borderId="2" applyNumberFormat="0" applyProtection="0">
      <alignment horizontal="right" vertical="center"/>
    </xf>
    <xf numFmtId="4" fontId="5" fillId="4" borderId="2" applyNumberFormat="0" applyProtection="0">
      <alignment vertical="center"/>
    </xf>
    <xf numFmtId="4" fontId="5" fillId="5" borderId="2" applyNumberFormat="0" applyProtection="0">
      <alignment horizontal="left" vertical="center" indent="1"/>
    </xf>
    <xf numFmtId="4" fontId="5" fillId="6" borderId="2" applyNumberFormat="0" applyProtection="0">
      <alignment horizontal="right" vertical="center"/>
    </xf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6" fillId="0" borderId="0"/>
    <xf numFmtId="0" fontId="21" fillId="0" borderId="0"/>
    <xf numFmtId="0" fontId="22" fillId="0" borderId="0" applyNumberFormat="0" applyFill="0" applyBorder="0" applyAlignment="0" applyProtection="0">
      <alignment vertical="top"/>
      <protection locked="0"/>
    </xf>
    <xf numFmtId="43" fontId="18" fillId="0" borderId="0" applyFont="0" applyFill="0" applyBorder="0" applyAlignment="0" applyProtection="0"/>
    <xf numFmtId="0" fontId="1" fillId="0" borderId="0"/>
    <xf numFmtId="9" fontId="18" fillId="0" borderId="0" applyFon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2" fillId="0" borderId="0"/>
    <xf numFmtId="0" fontId="2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40" fillId="0" borderId="0"/>
    <xf numFmtId="0" fontId="47" fillId="0" borderId="0"/>
    <xf numFmtId="0" fontId="48" fillId="0" borderId="0"/>
    <xf numFmtId="0" fontId="18" fillId="0" borderId="0"/>
  </cellStyleXfs>
  <cellXfs count="347">
    <xf numFmtId="0" fontId="0" fillId="0" borderId="0" xfId="0"/>
    <xf numFmtId="0" fontId="0" fillId="0" borderId="0" xfId="0" applyFill="1"/>
    <xf numFmtId="0" fontId="0" fillId="0" borderId="1" xfId="0" applyFill="1" applyBorder="1"/>
    <xf numFmtId="0" fontId="4" fillId="2" borderId="1" xfId="0" applyFont="1" applyFill="1" applyBorder="1" applyAlignment="1">
      <alignment horizontal="right"/>
    </xf>
    <xf numFmtId="0" fontId="0" fillId="0" borderId="3" xfId="0" applyFill="1" applyBorder="1"/>
    <xf numFmtId="0" fontId="0" fillId="0" borderId="3" xfId="0" applyBorder="1"/>
    <xf numFmtId="0" fontId="4" fillId="2" borderId="3" xfId="0" applyFont="1" applyFill="1" applyBorder="1" applyAlignment="1">
      <alignment horizontal="left"/>
    </xf>
    <xf numFmtId="0" fontId="0" fillId="2" borderId="0" xfId="0" applyFill="1"/>
    <xf numFmtId="0" fontId="0" fillId="7" borderId="0" xfId="0" applyFill="1"/>
    <xf numFmtId="0" fontId="0" fillId="8" borderId="0" xfId="0" applyFill="1"/>
    <xf numFmtId="164" fontId="0" fillId="0" borderId="0" xfId="41" applyNumberFormat="1" applyFont="1"/>
    <xf numFmtId="14" fontId="4" fillId="0" borderId="0" xfId="0" applyNumberFormat="1" applyFont="1"/>
    <xf numFmtId="0" fontId="10" fillId="0" borderId="0" xfId="0" applyFont="1"/>
    <xf numFmtId="0" fontId="10" fillId="0" borderId="0" xfId="0" applyFont="1" applyBorder="1"/>
    <xf numFmtId="14" fontId="8" fillId="2" borderId="1" xfId="0" applyNumberFormat="1" applyFont="1" applyFill="1" applyBorder="1"/>
    <xf numFmtId="0" fontId="0" fillId="12" borderId="1" xfId="0" quotePrefix="1" applyFill="1" applyBorder="1"/>
    <xf numFmtId="0" fontId="0" fillId="12" borderId="1" xfId="0" applyFill="1" applyBorder="1"/>
    <xf numFmtId="0" fontId="4" fillId="10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left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9" fillId="0" borderId="0" xfId="0" applyFont="1" applyAlignment="1">
      <alignment wrapText="1"/>
    </xf>
    <xf numFmtId="0" fontId="10" fillId="2" borderId="1" xfId="0" applyNumberFormat="1" applyFont="1" applyFill="1" applyBorder="1" applyAlignment="1">
      <alignment horizontal="left"/>
    </xf>
    <xf numFmtId="14" fontId="4" fillId="14" borderId="1" xfId="0" applyNumberFormat="1" applyFont="1" applyFill="1" applyBorder="1" applyAlignment="1">
      <alignment horizontal="left" vertical="center" wrapText="1"/>
    </xf>
    <xf numFmtId="14" fontId="0" fillId="14" borderId="1" xfId="0" applyNumberFormat="1" applyFill="1" applyBorder="1"/>
    <xf numFmtId="0" fontId="11" fillId="0" borderId="0" xfId="0" applyFont="1"/>
    <xf numFmtId="14" fontId="4" fillId="15" borderId="1" xfId="0" applyNumberFormat="1" applyFont="1" applyFill="1" applyBorder="1" applyAlignment="1">
      <alignment horizontal="left" vertical="center" wrapText="1"/>
    </xf>
    <xf numFmtId="14" fontId="0" fillId="15" borderId="1" xfId="0" applyNumberFormat="1" applyFill="1" applyBorder="1"/>
    <xf numFmtId="0" fontId="0" fillId="15" borderId="1" xfId="0" applyNumberFormat="1" applyFill="1" applyBorder="1"/>
    <xf numFmtId="14" fontId="0" fillId="15" borderId="1" xfId="0" applyNumberFormat="1" applyFont="1" applyFill="1" applyBorder="1"/>
    <xf numFmtId="14" fontId="13" fillId="14" borderId="1" xfId="0" applyNumberFormat="1" applyFont="1" applyFill="1" applyBorder="1" applyAlignment="1">
      <alignment horizontal="left" vertical="center" wrapText="1"/>
    </xf>
    <xf numFmtId="14" fontId="8" fillId="14" borderId="1" xfId="0" applyNumberFormat="1" applyFont="1" applyFill="1" applyBorder="1"/>
    <xf numFmtId="3" fontId="0" fillId="0" borderId="0" xfId="0" applyNumberFormat="1"/>
    <xf numFmtId="3" fontId="4" fillId="2" borderId="1" xfId="0" applyNumberFormat="1" applyFont="1" applyFill="1" applyBorder="1" applyAlignment="1">
      <alignment horizontal="right"/>
    </xf>
    <xf numFmtId="3" fontId="0" fillId="0" borderId="1" xfId="0" applyNumberFormat="1" applyFill="1" applyBorder="1"/>
    <xf numFmtId="3" fontId="0" fillId="9" borderId="0" xfId="0" applyNumberFormat="1" applyFill="1"/>
    <xf numFmtId="0" fontId="0" fillId="16" borderId="0" xfId="0" applyFill="1"/>
    <xf numFmtId="0" fontId="10" fillId="16" borderId="0" xfId="0" applyFont="1" applyFill="1"/>
    <xf numFmtId="0" fontId="10" fillId="16" borderId="0" xfId="0" applyFont="1" applyFill="1" applyBorder="1"/>
    <xf numFmtId="0" fontId="0" fillId="17" borderId="1" xfId="0" applyFill="1" applyBorder="1"/>
    <xf numFmtId="0" fontId="12" fillId="8" borderId="1" xfId="0" applyFont="1" applyFill="1" applyBorder="1"/>
    <xf numFmtId="0" fontId="0" fillId="8" borderId="1" xfId="0" applyFont="1" applyFill="1" applyBorder="1"/>
    <xf numFmtId="0" fontId="12" fillId="2" borderId="1" xfId="0" applyFont="1" applyFill="1" applyBorder="1"/>
    <xf numFmtId="0" fontId="12" fillId="2" borderId="1" xfId="0" applyNumberFormat="1" applyFont="1" applyFill="1" applyBorder="1" applyAlignment="1">
      <alignment horizontal="left"/>
    </xf>
    <xf numFmtId="14" fontId="12" fillId="2" borderId="1" xfId="0" applyNumberFormat="1" applyFont="1" applyFill="1" applyBorder="1"/>
    <xf numFmtId="0" fontId="0" fillId="9" borderId="1" xfId="0" applyFont="1" applyFill="1" applyBorder="1"/>
    <xf numFmtId="1" fontId="0" fillId="14" borderId="1" xfId="0" applyNumberFormat="1" applyFont="1" applyFill="1" applyBorder="1"/>
    <xf numFmtId="0" fontId="0" fillId="2" borderId="1" xfId="0" applyFont="1" applyFill="1" applyBorder="1"/>
    <xf numFmtId="0" fontId="0" fillId="2" borderId="1" xfId="0" applyNumberFormat="1" applyFont="1" applyFill="1" applyBorder="1" applyAlignment="1">
      <alignment horizontal="left"/>
    </xf>
    <xf numFmtId="14" fontId="0" fillId="2" borderId="1" xfId="0" applyNumberFormat="1" applyFont="1" applyFill="1" applyBorder="1"/>
    <xf numFmtId="3" fontId="10" fillId="0" borderId="0" xfId="0" applyNumberFormat="1" applyFont="1"/>
    <xf numFmtId="3" fontId="10" fillId="0" borderId="0" xfId="0" applyNumberFormat="1" applyFont="1" applyBorder="1"/>
    <xf numFmtId="3" fontId="14" fillId="0" borderId="5" xfId="0" applyNumberFormat="1" applyFont="1" applyBorder="1" applyAlignment="1">
      <alignment vertical="center"/>
    </xf>
    <xf numFmtId="3" fontId="14" fillId="0" borderId="5" xfId="0" applyNumberFormat="1" applyFont="1" applyFill="1" applyBorder="1"/>
    <xf numFmtId="0" fontId="0" fillId="9" borderId="0" xfId="0" applyFill="1"/>
    <xf numFmtId="0" fontId="4" fillId="17" borderId="1" xfId="0" applyFont="1" applyFill="1" applyBorder="1" applyAlignment="1">
      <alignment horizontal="center" vertical="center" wrapText="1"/>
    </xf>
    <xf numFmtId="3" fontId="0" fillId="17" borderId="0" xfId="0" applyNumberFormat="1" applyFill="1"/>
    <xf numFmtId="0" fontId="14" fillId="0" borderId="0" xfId="0" applyFont="1" applyFill="1" applyAlignment="1">
      <alignment vertical="center"/>
    </xf>
    <xf numFmtId="0" fontId="14" fillId="0" borderId="6" xfId="0" applyFont="1" applyFill="1" applyBorder="1" applyAlignment="1">
      <alignment vertical="center"/>
    </xf>
    <xf numFmtId="3" fontId="15" fillId="18" borderId="8" xfId="0" applyNumberFormat="1" applyFont="1" applyFill="1" applyBorder="1"/>
    <xf numFmtId="0" fontId="15" fillId="18" borderId="0" xfId="0" applyFont="1" applyFill="1"/>
    <xf numFmtId="0" fontId="14" fillId="9" borderId="0" xfId="0" applyFont="1" applyFill="1" applyAlignment="1">
      <alignment vertical="center"/>
    </xf>
    <xf numFmtId="0" fontId="0" fillId="0" borderId="0" xfId="0" applyBorder="1"/>
    <xf numFmtId="0" fontId="0" fillId="0" borderId="11" xfId="0" applyFill="1" applyBorder="1"/>
    <xf numFmtId="3" fontId="14" fillId="24" borderId="7" xfId="0" applyNumberFormat="1" applyFont="1" applyFill="1" applyBorder="1"/>
    <xf numFmtId="3" fontId="14" fillId="25" borderId="9" xfId="0" applyNumberFormat="1" applyFont="1" applyFill="1" applyBorder="1"/>
    <xf numFmtId="3" fontId="0" fillId="24" borderId="1" xfId="0" applyNumberFormat="1" applyFill="1" applyBorder="1"/>
    <xf numFmtId="0" fontId="0" fillId="0" borderId="11" xfId="0" applyBorder="1"/>
    <xf numFmtId="0" fontId="0" fillId="0" borderId="0" xfId="0" applyAlignment="1">
      <alignment horizontal="right"/>
    </xf>
    <xf numFmtId="3" fontId="17" fillId="22" borderId="0" xfId="0" applyNumberFormat="1" applyFont="1" applyFill="1" applyBorder="1" applyAlignment="1">
      <alignment horizontal="right"/>
    </xf>
    <xf numFmtId="3" fontId="14" fillId="0" borderId="7" xfId="0" applyNumberFormat="1" applyFont="1" applyFill="1" applyBorder="1"/>
    <xf numFmtId="14" fontId="0" fillId="14" borderId="1" xfId="0" applyNumberFormat="1" applyFont="1" applyFill="1" applyBorder="1"/>
    <xf numFmtId="0" fontId="4" fillId="2" borderId="1" xfId="0" applyFont="1" applyFill="1" applyBorder="1" applyAlignment="1"/>
    <xf numFmtId="9" fontId="0" fillId="0" borderId="0" xfId="0" applyNumberFormat="1"/>
    <xf numFmtId="3" fontId="12" fillId="0" borderId="0" xfId="0" applyNumberFormat="1" applyFont="1"/>
    <xf numFmtId="9" fontId="0" fillId="0" borderId="0" xfId="41" applyFont="1" applyFill="1" applyBorder="1"/>
    <xf numFmtId="3" fontId="18" fillId="0" borderId="0" xfId="0" applyNumberFormat="1" applyFont="1"/>
    <xf numFmtId="3" fontId="0" fillId="0" borderId="0" xfId="0" applyNumberFormat="1" applyBorder="1"/>
    <xf numFmtId="0" fontId="8" fillId="24" borderId="12" xfId="0" applyFont="1" applyFill="1" applyBorder="1"/>
    <xf numFmtId="3" fontId="8" fillId="24" borderId="12" xfId="0" applyNumberFormat="1" applyFont="1" applyFill="1" applyBorder="1"/>
    <xf numFmtId="0" fontId="8" fillId="0" borderId="0" xfId="0" applyFont="1"/>
    <xf numFmtId="3" fontId="8" fillId="0" borderId="0" xfId="0" applyNumberFormat="1" applyFont="1"/>
    <xf numFmtId="0" fontId="14" fillId="0" borderId="0" xfId="0" applyFont="1" applyFill="1" applyBorder="1" applyAlignment="1">
      <alignment vertical="center"/>
    </xf>
    <xf numFmtId="0" fontId="14" fillId="0" borderId="13" xfId="0" applyFont="1" applyFill="1" applyBorder="1" applyAlignment="1">
      <alignment vertical="center"/>
    </xf>
    <xf numFmtId="0" fontId="14" fillId="19" borderId="0" xfId="0" applyFont="1" applyFill="1" applyBorder="1"/>
    <xf numFmtId="3" fontId="14" fillId="19" borderId="0" xfId="0" applyNumberFormat="1" applyFont="1" applyFill="1" applyBorder="1"/>
    <xf numFmtId="0" fontId="14" fillId="0" borderId="12" xfId="0" applyFont="1" applyFill="1" applyBorder="1" applyAlignment="1">
      <alignment vertical="center"/>
    </xf>
    <xf numFmtId="3" fontId="18" fillId="9" borderId="0" xfId="0" applyNumberFormat="1" applyFont="1" applyFill="1"/>
    <xf numFmtId="3" fontId="14" fillId="21" borderId="9" xfId="0" applyNumberFormat="1" applyFont="1" applyFill="1" applyBorder="1"/>
    <xf numFmtId="3" fontId="18" fillId="13" borderId="0" xfId="0" applyNumberFormat="1" applyFont="1" applyFill="1" applyBorder="1"/>
    <xf numFmtId="3" fontId="0" fillId="13" borderId="0" xfId="0" applyNumberFormat="1" applyFill="1"/>
    <xf numFmtId="3" fontId="14" fillId="27" borderId="9" xfId="0" applyNumberFormat="1" applyFont="1" applyFill="1" applyBorder="1"/>
    <xf numFmtId="3" fontId="14" fillId="29" borderId="9" xfId="0" applyNumberFormat="1" applyFont="1" applyFill="1" applyBorder="1"/>
    <xf numFmtId="3" fontId="14" fillId="29" borderId="14" xfId="0" applyNumberFormat="1" applyFont="1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14" fillId="21" borderId="9" xfId="0" applyNumberFormat="1" applyFont="1" applyFill="1" applyBorder="1"/>
    <xf numFmtId="165" fontId="14" fillId="27" borderId="9" xfId="0" applyNumberFormat="1" applyFont="1" applyFill="1" applyBorder="1"/>
    <xf numFmtId="165" fontId="14" fillId="29" borderId="9" xfId="0" applyNumberFormat="1" applyFont="1" applyFill="1" applyBorder="1"/>
    <xf numFmtId="4" fontId="0" fillId="0" borderId="0" xfId="0" applyNumberFormat="1"/>
    <xf numFmtId="166" fontId="18" fillId="0" borderId="0" xfId="0" applyNumberFormat="1" applyFont="1"/>
    <xf numFmtId="166" fontId="8" fillId="0" borderId="0" xfId="0" applyNumberFormat="1" applyFont="1"/>
    <xf numFmtId="166" fontId="0" fillId="0" borderId="0" xfId="0" applyNumberFormat="1"/>
    <xf numFmtId="0" fontId="0" fillId="13" borderId="0" xfId="0" applyFill="1"/>
    <xf numFmtId="3" fontId="18" fillId="13" borderId="0" xfId="0" applyNumberFormat="1" applyFont="1" applyFill="1"/>
    <xf numFmtId="166" fontId="18" fillId="13" borderId="0" xfId="0" applyNumberFormat="1" applyFont="1" applyFill="1"/>
    <xf numFmtId="3" fontId="12" fillId="16" borderId="0" xfId="0" applyNumberFormat="1" applyFont="1" applyFill="1"/>
    <xf numFmtId="14" fontId="13" fillId="15" borderId="1" xfId="0" applyNumberFormat="1" applyFont="1" applyFill="1" applyBorder="1" applyAlignment="1">
      <alignment horizontal="left" vertical="center" wrapText="1"/>
    </xf>
    <xf numFmtId="0" fontId="25" fillId="18" borderId="15" xfId="0" applyFont="1" applyFill="1" applyBorder="1" applyAlignment="1">
      <alignment vertical="center"/>
    </xf>
    <xf numFmtId="0" fontId="25" fillId="18" borderId="16" xfId="0" applyFont="1" applyFill="1" applyBorder="1" applyAlignment="1">
      <alignment vertical="center"/>
    </xf>
    <xf numFmtId="0" fontId="25" fillId="18" borderId="17" xfId="0" applyFont="1" applyFill="1" applyBorder="1" applyAlignment="1">
      <alignment vertical="center"/>
    </xf>
    <xf numFmtId="0" fontId="25" fillId="18" borderId="0" xfId="0" applyFont="1" applyFill="1" applyAlignment="1">
      <alignment vertical="center"/>
    </xf>
    <xf numFmtId="0" fontId="25" fillId="18" borderId="5" xfId="0" applyFont="1" applyFill="1" applyBorder="1" applyAlignment="1">
      <alignment vertical="center"/>
    </xf>
    <xf numFmtId="0" fontId="25" fillId="18" borderId="18" xfId="0" applyFont="1" applyFill="1" applyBorder="1" applyAlignment="1">
      <alignment vertical="center"/>
    </xf>
    <xf numFmtId="0" fontId="25" fillId="18" borderId="19" xfId="0" applyFont="1" applyFill="1" applyBorder="1" applyAlignment="1">
      <alignment vertical="center"/>
    </xf>
    <xf numFmtId="0" fontId="25" fillId="18" borderId="12" xfId="0" applyFont="1" applyFill="1" applyBorder="1" applyAlignment="1">
      <alignment vertical="center"/>
    </xf>
    <xf numFmtId="0" fontId="25" fillId="18" borderId="20" xfId="0" applyFont="1" applyFill="1" applyBorder="1" applyAlignment="1">
      <alignment vertical="center"/>
    </xf>
    <xf numFmtId="0" fontId="27" fillId="18" borderId="0" xfId="0" applyFont="1" applyFill="1" applyBorder="1" applyAlignment="1">
      <alignment vertical="center"/>
    </xf>
    <xf numFmtId="0" fontId="25" fillId="18" borderId="0" xfId="0" applyFont="1" applyFill="1" applyBorder="1" applyAlignment="1">
      <alignment vertical="center"/>
    </xf>
    <xf numFmtId="0" fontId="25" fillId="18" borderId="0" xfId="0" applyFont="1" applyFill="1" applyBorder="1" applyAlignment="1">
      <alignment horizontal="center" vertical="center"/>
    </xf>
    <xf numFmtId="0" fontId="28" fillId="18" borderId="0" xfId="0" applyFont="1" applyFill="1" applyBorder="1" applyAlignment="1">
      <alignment horizontal="center" vertical="center"/>
    </xf>
    <xf numFmtId="0" fontId="29" fillId="18" borderId="0" xfId="0" applyFont="1" applyFill="1" applyBorder="1" applyAlignment="1">
      <alignment vertical="center"/>
    </xf>
    <xf numFmtId="0" fontId="25" fillId="30" borderId="0" xfId="0" applyFont="1" applyFill="1" applyBorder="1" applyAlignment="1">
      <alignment horizontal="center" vertical="center"/>
    </xf>
    <xf numFmtId="164" fontId="25" fillId="31" borderId="0" xfId="41" applyNumberFormat="1" applyFont="1" applyFill="1" applyBorder="1" applyAlignment="1">
      <alignment horizontal="center" vertical="center"/>
    </xf>
    <xf numFmtId="0" fontId="30" fillId="18" borderId="19" xfId="0" applyFont="1" applyFill="1" applyBorder="1" applyAlignment="1">
      <alignment vertical="center"/>
    </xf>
    <xf numFmtId="3" fontId="25" fillId="30" borderId="0" xfId="0" applyNumberFormat="1" applyFont="1" applyFill="1" applyBorder="1" applyAlignment="1">
      <alignment vertical="center"/>
    </xf>
    <xf numFmtId="9" fontId="25" fillId="30" borderId="0" xfId="0" applyNumberFormat="1" applyFont="1" applyFill="1" applyBorder="1" applyAlignment="1">
      <alignment vertical="center"/>
    </xf>
    <xf numFmtId="0" fontId="25" fillId="18" borderId="0" xfId="0" applyFont="1" applyFill="1" applyBorder="1" applyAlignment="1">
      <alignment horizontal="right" vertical="center"/>
    </xf>
    <xf numFmtId="0" fontId="25" fillId="18" borderId="0" xfId="0" quotePrefix="1" applyFont="1" applyFill="1" applyAlignment="1">
      <alignment vertical="center"/>
    </xf>
    <xf numFmtId="0" fontId="27" fillId="18" borderId="0" xfId="0" applyFont="1" applyFill="1" applyAlignment="1">
      <alignment vertical="center"/>
    </xf>
    <xf numFmtId="0" fontId="31" fillId="32" borderId="21" xfId="0" applyFont="1" applyFill="1" applyBorder="1" applyAlignment="1">
      <alignment horizontal="center" vertical="center" wrapText="1"/>
    </xf>
    <xf numFmtId="0" fontId="0" fillId="33" borderId="21" xfId="0" quotePrefix="1" applyFont="1" applyFill="1" applyBorder="1"/>
    <xf numFmtId="0" fontId="0" fillId="33" borderId="21" xfId="0" applyFont="1" applyFill="1" applyBorder="1"/>
    <xf numFmtId="0" fontId="0" fillId="0" borderId="0" xfId="0" applyFont="1" applyFill="1" applyBorder="1"/>
    <xf numFmtId="0" fontId="18" fillId="2" borderId="1" xfId="0" applyNumberFormat="1" applyFont="1" applyFill="1" applyBorder="1" applyAlignment="1">
      <alignment horizontal="left"/>
    </xf>
    <xf numFmtId="0" fontId="18" fillId="2" borderId="1" xfId="0" applyFont="1" applyFill="1" applyBorder="1"/>
    <xf numFmtId="14" fontId="18" fillId="2" borderId="1" xfId="0" applyNumberFormat="1" applyFont="1" applyFill="1" applyBorder="1"/>
    <xf numFmtId="0" fontId="18" fillId="8" borderId="1" xfId="0" applyFont="1" applyFill="1" applyBorder="1"/>
    <xf numFmtId="0" fontId="18" fillId="17" borderId="1" xfId="0" applyFont="1" applyFill="1" applyBorder="1"/>
    <xf numFmtId="3" fontId="18" fillId="17" borderId="1" xfId="0" applyNumberFormat="1" applyFont="1" applyFill="1" applyBorder="1"/>
    <xf numFmtId="14" fontId="18" fillId="17" borderId="1" xfId="0" applyNumberFormat="1" applyFont="1" applyFill="1" applyBorder="1"/>
    <xf numFmtId="0" fontId="18" fillId="17" borderId="1" xfId="0" applyNumberFormat="1" applyFont="1" applyFill="1" applyBorder="1"/>
    <xf numFmtId="0" fontId="18" fillId="2" borderId="1" xfId="0" applyFont="1" applyFill="1" applyBorder="1" applyAlignment="1">
      <alignment horizontal="left"/>
    </xf>
    <xf numFmtId="0" fontId="33" fillId="2" borderId="1" xfId="0" applyNumberFormat="1" applyFont="1" applyFill="1" applyBorder="1" applyAlignment="1">
      <alignment horizontal="left"/>
    </xf>
    <xf numFmtId="0" fontId="18" fillId="2" borderId="1" xfId="0" quotePrefix="1" applyNumberFormat="1" applyFont="1" applyFill="1" applyBorder="1" applyAlignment="1">
      <alignment horizontal="left"/>
    </xf>
    <xf numFmtId="0" fontId="18" fillId="21" borderId="1" xfId="0" applyFont="1" applyFill="1" applyBorder="1"/>
    <xf numFmtId="0" fontId="0" fillId="0" borderId="0" xfId="0" applyFont="1"/>
    <xf numFmtId="3" fontId="18" fillId="17" borderId="0" xfId="0" applyNumberFormat="1" applyFont="1" applyFill="1"/>
    <xf numFmtId="0" fontId="0" fillId="2" borderId="1" xfId="0" applyFont="1" applyFill="1" applyBorder="1" applyAlignment="1">
      <alignment horizontal="left"/>
    </xf>
    <xf numFmtId="0" fontId="0" fillId="22" borderId="0" xfId="0" applyFill="1" applyAlignment="1">
      <alignment horizontal="left"/>
    </xf>
    <xf numFmtId="0" fontId="0" fillId="22" borderId="0" xfId="0" applyFill="1"/>
    <xf numFmtId="3" fontId="10" fillId="22" borderId="0" xfId="0" applyNumberFormat="1" applyFont="1" applyFill="1"/>
    <xf numFmtId="3" fontId="8" fillId="0" borderId="1" xfId="0" applyNumberFormat="1" applyFont="1" applyFill="1" applyBorder="1"/>
    <xf numFmtId="0" fontId="4" fillId="2" borderId="3" xfId="0" applyFont="1" applyFill="1" applyBorder="1" applyAlignment="1">
      <alignment horizontal="right"/>
    </xf>
    <xf numFmtId="3" fontId="0" fillId="0" borderId="3" xfId="0" applyNumberFormat="1" applyFill="1" applyBorder="1"/>
    <xf numFmtId="3" fontId="4" fillId="2" borderId="3" xfId="0" applyNumberFormat="1" applyFont="1" applyFill="1" applyBorder="1" applyAlignment="1">
      <alignment horizontal="right"/>
    </xf>
    <xf numFmtId="3" fontId="0" fillId="16" borderId="3" xfId="0" applyNumberFormat="1" applyFill="1" applyBorder="1"/>
    <xf numFmtId="0" fontId="4" fillId="2" borderId="22" xfId="0" applyFont="1" applyFill="1" applyBorder="1" applyAlignment="1">
      <alignment horizontal="right"/>
    </xf>
    <xf numFmtId="3" fontId="8" fillId="0" borderId="22" xfId="0" applyNumberFormat="1" applyFont="1" applyFill="1" applyBorder="1"/>
    <xf numFmtId="0" fontId="0" fillId="0" borderId="18" xfId="0" applyBorder="1"/>
    <xf numFmtId="3" fontId="4" fillId="2" borderId="22" xfId="0" applyNumberFormat="1" applyFont="1" applyFill="1" applyBorder="1" applyAlignment="1">
      <alignment horizontal="right"/>
    </xf>
    <xf numFmtId="3" fontId="14" fillId="24" borderId="23" xfId="0" applyNumberFormat="1" applyFont="1" applyFill="1" applyBorder="1"/>
    <xf numFmtId="3" fontId="14" fillId="0" borderId="23" xfId="0" applyNumberFormat="1" applyFont="1" applyFill="1" applyBorder="1"/>
    <xf numFmtId="3" fontId="0" fillId="0" borderId="22" xfId="0" applyNumberFormat="1" applyFill="1" applyBorder="1"/>
    <xf numFmtId="3" fontId="0" fillId="0" borderId="18" xfId="0" applyNumberFormat="1" applyBorder="1"/>
    <xf numFmtId="3" fontId="0" fillId="9" borderId="18" xfId="0" applyNumberFormat="1" applyFill="1" applyBorder="1"/>
    <xf numFmtId="3" fontId="15" fillId="18" borderId="24" xfId="0" applyNumberFormat="1" applyFont="1" applyFill="1" applyBorder="1"/>
    <xf numFmtId="0" fontId="18" fillId="0" borderId="0" xfId="0" applyFont="1"/>
    <xf numFmtId="3" fontId="15" fillId="19" borderId="0" xfId="0" applyNumberFormat="1" applyFont="1" applyFill="1" applyBorder="1"/>
    <xf numFmtId="3" fontId="34" fillId="20" borderId="9" xfId="0" applyNumberFormat="1" applyFont="1" applyFill="1" applyBorder="1"/>
    <xf numFmtId="3" fontId="34" fillId="19" borderId="9" xfId="0" applyNumberFormat="1" applyFont="1" applyFill="1" applyBorder="1"/>
    <xf numFmtId="3" fontId="35" fillId="19" borderId="10" xfId="0" applyNumberFormat="1" applyFont="1" applyFill="1" applyBorder="1"/>
    <xf numFmtId="3" fontId="34" fillId="9" borderId="7" xfId="0" applyNumberFormat="1" applyFont="1" applyFill="1" applyBorder="1"/>
    <xf numFmtId="3" fontId="34" fillId="18" borderId="7" xfId="0" applyNumberFormat="1" applyFont="1" applyFill="1" applyBorder="1"/>
    <xf numFmtId="3" fontId="35" fillId="18" borderId="8" xfId="0" applyNumberFormat="1" applyFont="1" applyFill="1" applyBorder="1"/>
    <xf numFmtId="0" fontId="18" fillId="22" borderId="1" xfId="0" applyFont="1" applyFill="1" applyBorder="1"/>
    <xf numFmtId="0" fontId="18" fillId="26" borderId="1" xfId="0" applyFont="1" applyFill="1" applyBorder="1"/>
    <xf numFmtId="0" fontId="18" fillId="23" borderId="1" xfId="0" applyFont="1" applyFill="1" applyBorder="1"/>
    <xf numFmtId="0" fontId="18" fillId="2" borderId="4" xfId="0" applyFont="1" applyFill="1" applyBorder="1"/>
    <xf numFmtId="0" fontId="18" fillId="9" borderId="1" xfId="0" applyFont="1" applyFill="1" applyBorder="1"/>
    <xf numFmtId="0" fontId="18" fillId="11" borderId="1" xfId="0" applyFont="1" applyFill="1" applyBorder="1"/>
    <xf numFmtId="0" fontId="32" fillId="17" borderId="1" xfId="0" applyFont="1" applyFill="1" applyBorder="1" applyAlignment="1">
      <alignment horizontal="left" vertical="center" wrapText="1"/>
    </xf>
    <xf numFmtId="3" fontId="32" fillId="17" borderId="1" xfId="0" applyNumberFormat="1" applyFont="1" applyFill="1" applyBorder="1" applyAlignment="1">
      <alignment horizontal="left" vertical="center" wrapText="1"/>
    </xf>
    <xf numFmtId="14" fontId="32" fillId="17" borderId="1" xfId="0" applyNumberFormat="1" applyFont="1" applyFill="1" applyBorder="1" applyAlignment="1">
      <alignment horizontal="left" vertical="center" wrapText="1"/>
    </xf>
    <xf numFmtId="0" fontId="32" fillId="17" borderId="1" xfId="0" applyNumberFormat="1" applyFont="1" applyFill="1" applyBorder="1" applyAlignment="1">
      <alignment horizontal="left" vertical="center" wrapText="1"/>
    </xf>
    <xf numFmtId="43" fontId="18" fillId="0" borderId="0" xfId="538" applyFont="1"/>
    <xf numFmtId="0" fontId="25" fillId="22" borderId="12" xfId="0" applyFont="1" applyFill="1" applyBorder="1" applyAlignment="1">
      <alignment vertical="center"/>
    </xf>
    <xf numFmtId="0" fontId="25" fillId="22" borderId="12" xfId="0" applyFont="1" applyFill="1" applyBorder="1" applyAlignment="1">
      <alignment horizontal="center" vertical="center"/>
    </xf>
    <xf numFmtId="0" fontId="25" fillId="22" borderId="20" xfId="0" applyFont="1" applyFill="1" applyBorder="1" applyAlignment="1">
      <alignment horizontal="center" vertical="center"/>
    </xf>
    <xf numFmtId="0" fontId="25" fillId="18" borderId="0" xfId="0" applyFont="1" applyFill="1" applyAlignment="1">
      <alignment horizontal="center" vertical="center"/>
    </xf>
    <xf numFmtId="0" fontId="36" fillId="18" borderId="0" xfId="0" quotePrefix="1" applyFont="1" applyFill="1" applyAlignment="1">
      <alignment vertical="center"/>
    </xf>
    <xf numFmtId="3" fontId="25" fillId="30" borderId="0" xfId="0" applyNumberFormat="1" applyFont="1" applyFill="1" applyBorder="1" applyAlignment="1">
      <alignment horizontal="center" vertical="center"/>
    </xf>
    <xf numFmtId="3" fontId="25" fillId="28" borderId="0" xfId="0" applyNumberFormat="1" applyFont="1" applyFill="1" applyBorder="1" applyAlignment="1">
      <alignment horizontal="center" vertical="center"/>
    </xf>
    <xf numFmtId="167" fontId="25" fillId="18" borderId="0" xfId="0" applyNumberFormat="1" applyFont="1" applyFill="1" applyAlignment="1">
      <alignment vertical="center"/>
    </xf>
    <xf numFmtId="0" fontId="18" fillId="2" borderId="0" xfId="0" applyFont="1" applyFill="1" applyBorder="1"/>
    <xf numFmtId="0" fontId="18" fillId="2" borderId="0" xfId="0" applyNumberFormat="1" applyFont="1" applyFill="1" applyBorder="1" applyAlignment="1">
      <alignment horizontal="left"/>
    </xf>
    <xf numFmtId="14" fontId="18" fillId="2" borderId="0" xfId="0" applyNumberFormat="1" applyFont="1" applyFill="1" applyBorder="1"/>
    <xf numFmtId="0" fontId="18" fillId="8" borderId="0" xfId="0" applyFont="1" applyFill="1" applyBorder="1"/>
    <xf numFmtId="0" fontId="18" fillId="17" borderId="0" xfId="0" applyFont="1" applyFill="1" applyBorder="1"/>
    <xf numFmtId="3" fontId="18" fillId="17" borderId="0" xfId="0" applyNumberFormat="1" applyFont="1" applyFill="1" applyBorder="1"/>
    <xf numFmtId="14" fontId="18" fillId="17" borderId="0" xfId="0" applyNumberFormat="1" applyFont="1" applyFill="1" applyBorder="1"/>
    <xf numFmtId="0" fontId="18" fillId="17" borderId="0" xfId="0" applyNumberFormat="1" applyFont="1" applyFill="1" applyBorder="1"/>
    <xf numFmtId="14" fontId="0" fillId="14" borderId="0" xfId="0" applyNumberFormat="1" applyFill="1" applyBorder="1"/>
    <xf numFmtId="14" fontId="8" fillId="14" borderId="0" xfId="0" applyNumberFormat="1" applyFont="1" applyFill="1" applyBorder="1"/>
    <xf numFmtId="1" fontId="0" fillId="14" borderId="0" xfId="0" applyNumberFormat="1" applyFont="1" applyFill="1" applyBorder="1"/>
    <xf numFmtId="14" fontId="0" fillId="15" borderId="0" xfId="0" applyNumberFormat="1" applyFont="1" applyFill="1" applyBorder="1"/>
    <xf numFmtId="14" fontId="0" fillId="15" borderId="0" xfId="0" applyNumberFormat="1" applyFill="1" applyBorder="1"/>
    <xf numFmtId="0" fontId="0" fillId="12" borderId="0" xfId="0" quotePrefix="1" applyFill="1" applyBorder="1"/>
    <xf numFmtId="0" fontId="0" fillId="12" borderId="0" xfId="0" applyFill="1" applyBorder="1"/>
    <xf numFmtId="0" fontId="25" fillId="24" borderId="0" xfId="0" applyFont="1" applyFill="1" applyAlignment="1">
      <alignment vertical="center"/>
    </xf>
    <xf numFmtId="3" fontId="25" fillId="24" borderId="18" xfId="0" applyNumberFormat="1" applyFont="1" applyFill="1" applyBorder="1" applyAlignment="1">
      <alignment horizontal="center" vertical="center"/>
    </xf>
    <xf numFmtId="167" fontId="25" fillId="24" borderId="0" xfId="0" applyNumberFormat="1" applyFont="1" applyFill="1" applyAlignment="1">
      <alignment horizontal="center" vertical="center"/>
    </xf>
    <xf numFmtId="167" fontId="25" fillId="24" borderId="18" xfId="0" applyNumberFormat="1" applyFont="1" applyFill="1" applyBorder="1" applyAlignment="1">
      <alignment horizontal="center" vertical="center"/>
    </xf>
    <xf numFmtId="0" fontId="25" fillId="24" borderId="0" xfId="0" applyFont="1" applyFill="1" applyAlignment="1">
      <alignment horizontal="center" vertical="center"/>
    </xf>
    <xf numFmtId="3" fontId="25" fillId="24" borderId="0" xfId="0" applyNumberFormat="1" applyFont="1" applyFill="1" applyBorder="1" applyAlignment="1">
      <alignment horizontal="center" vertical="center"/>
    </xf>
    <xf numFmtId="3" fontId="25" fillId="24" borderId="0" xfId="0" applyNumberFormat="1" applyFont="1" applyFill="1" applyAlignment="1">
      <alignment horizontal="center" vertical="center"/>
    </xf>
    <xf numFmtId="3" fontId="25" fillId="18" borderId="0" xfId="0" applyNumberFormat="1" applyFont="1" applyFill="1" applyAlignment="1">
      <alignment horizontal="center" vertical="center"/>
    </xf>
    <xf numFmtId="11" fontId="28" fillId="18" borderId="0" xfId="0" applyNumberFormat="1" applyFont="1" applyFill="1" applyAlignment="1">
      <alignment horizontal="center" vertical="center"/>
    </xf>
    <xf numFmtId="168" fontId="25" fillId="24" borderId="0" xfId="0" applyNumberFormat="1" applyFont="1" applyFill="1" applyAlignment="1">
      <alignment vertical="center"/>
    </xf>
    <xf numFmtId="168" fontId="25" fillId="18" borderId="0" xfId="0" applyNumberFormat="1" applyFont="1" applyFill="1" applyAlignment="1">
      <alignment vertical="center"/>
    </xf>
    <xf numFmtId="0" fontId="37" fillId="18" borderId="0" xfId="0" quotePrefix="1" applyFont="1" applyFill="1" applyAlignment="1">
      <alignment vertical="center"/>
    </xf>
    <xf numFmtId="0" fontId="37" fillId="18" borderId="0" xfId="0" applyFont="1" applyFill="1" applyBorder="1" applyAlignment="1">
      <alignment horizontal="left" vertical="center"/>
    </xf>
    <xf numFmtId="0" fontId="38" fillId="18" borderId="0" xfId="0" applyFont="1" applyFill="1" applyBorder="1" applyAlignment="1">
      <alignment horizontal="center" vertical="center"/>
    </xf>
    <xf numFmtId="164" fontId="0" fillId="0" borderId="0" xfId="0" applyNumberFormat="1"/>
    <xf numFmtId="0" fontId="39" fillId="34" borderId="25" xfId="539" applyFont="1" applyFill="1" applyBorder="1" applyAlignment="1">
      <alignment horizontal="center"/>
    </xf>
    <xf numFmtId="3" fontId="39" fillId="0" borderId="26" xfId="539" applyNumberFormat="1" applyFont="1" applyFill="1" applyBorder="1" applyAlignment="1">
      <alignment horizontal="right" wrapText="1"/>
    </xf>
    <xf numFmtId="0" fontId="39" fillId="0" borderId="0" xfId="539" applyFont="1" applyFill="1" applyBorder="1" applyAlignment="1"/>
    <xf numFmtId="0" fontId="41" fillId="0" borderId="27" xfId="539" applyFont="1" applyFill="1" applyBorder="1" applyAlignment="1">
      <alignment wrapText="1"/>
    </xf>
    <xf numFmtId="0" fontId="42" fillId="34" borderId="25" xfId="539" applyFont="1" applyFill="1" applyBorder="1" applyAlignment="1">
      <alignment horizontal="center"/>
    </xf>
    <xf numFmtId="0" fontId="42" fillId="0" borderId="26" xfId="539" applyFont="1" applyFill="1" applyBorder="1" applyAlignment="1">
      <alignment wrapText="1"/>
    </xf>
    <xf numFmtId="3" fontId="42" fillId="0" borderId="26" xfId="539" applyNumberFormat="1" applyFont="1" applyFill="1" applyBorder="1" applyAlignment="1">
      <alignment horizontal="right" wrapText="1"/>
    </xf>
    <xf numFmtId="0" fontId="42" fillId="0" borderId="28" xfId="539" applyFont="1" applyFill="1" applyBorder="1" applyAlignment="1">
      <alignment wrapText="1"/>
    </xf>
    <xf numFmtId="3" fontId="42" fillId="0" borderId="28" xfId="539" applyNumberFormat="1" applyFont="1" applyFill="1" applyBorder="1" applyAlignment="1">
      <alignment horizontal="right" wrapText="1"/>
    </xf>
    <xf numFmtId="3" fontId="43" fillId="0" borderId="0" xfId="0" applyNumberFormat="1" applyFont="1"/>
    <xf numFmtId="3" fontId="43" fillId="31" borderId="0" xfId="0" applyNumberFormat="1" applyFont="1" applyFill="1"/>
    <xf numFmtId="169" fontId="0" fillId="0" borderId="0" xfId="538" applyNumberFormat="1" applyFont="1"/>
    <xf numFmtId="0" fontId="44" fillId="18" borderId="0" xfId="0" applyFont="1" applyFill="1" applyAlignment="1">
      <alignment vertical="center"/>
    </xf>
    <xf numFmtId="0" fontId="37" fillId="18" borderId="0" xfId="0" applyFont="1" applyFill="1" applyBorder="1" applyAlignment="1">
      <alignment vertical="center"/>
    </xf>
    <xf numFmtId="3" fontId="36" fillId="30" borderId="0" xfId="0" applyNumberFormat="1" applyFont="1" applyFill="1" applyBorder="1" applyAlignment="1">
      <alignment horizontal="center" vertical="center"/>
    </xf>
    <xf numFmtId="0" fontId="4" fillId="0" borderId="0" xfId="0" applyFont="1"/>
    <xf numFmtId="3" fontId="39" fillId="0" borderId="29" xfId="539" applyNumberFormat="1" applyFont="1" applyFill="1" applyBorder="1" applyAlignment="1">
      <alignment horizontal="right" wrapText="1"/>
    </xf>
    <xf numFmtId="3" fontId="39" fillId="0" borderId="28" xfId="539" applyNumberFormat="1" applyFont="1" applyFill="1" applyBorder="1" applyAlignment="1">
      <alignment horizontal="right" wrapText="1"/>
    </xf>
    <xf numFmtId="3" fontId="4" fillId="0" borderId="0" xfId="0" applyNumberFormat="1" applyFont="1"/>
    <xf numFmtId="2" fontId="0" fillId="0" borderId="0" xfId="0" applyNumberFormat="1"/>
    <xf numFmtId="0" fontId="0" fillId="0" borderId="12" xfId="0" applyFill="1" applyBorder="1"/>
    <xf numFmtId="0" fontId="0" fillId="0" borderId="0" xfId="0" quotePrefix="1"/>
    <xf numFmtId="0" fontId="39" fillId="34" borderId="30" xfId="539" quotePrefix="1" applyFont="1" applyFill="1" applyBorder="1" applyAlignment="1">
      <alignment horizontal="center"/>
    </xf>
    <xf numFmtId="0" fontId="39" fillId="34" borderId="31" xfId="539" applyFont="1" applyFill="1" applyBorder="1" applyAlignment="1">
      <alignment horizontal="center"/>
    </xf>
    <xf numFmtId="10" fontId="25" fillId="31" borderId="0" xfId="41" applyNumberFormat="1" applyFont="1" applyFill="1" applyBorder="1" applyAlignment="1">
      <alignment horizontal="center" vertical="center"/>
    </xf>
    <xf numFmtId="3" fontId="37" fillId="30" borderId="0" xfId="0" applyNumberFormat="1" applyFont="1" applyFill="1" applyBorder="1" applyAlignment="1">
      <alignment horizontal="center" vertical="center"/>
    </xf>
    <xf numFmtId="170" fontId="25" fillId="18" borderId="0" xfId="538" applyNumberFormat="1" applyFont="1" applyFill="1" applyAlignment="1">
      <alignment vertical="center"/>
    </xf>
    <xf numFmtId="165" fontId="39" fillId="0" borderId="29" xfId="539" applyNumberFormat="1" applyFont="1" applyFill="1" applyBorder="1" applyAlignment="1">
      <alignment horizontal="right" wrapText="1"/>
    </xf>
    <xf numFmtId="165" fontId="39" fillId="0" borderId="26" xfId="539" applyNumberFormat="1" applyFont="1" applyFill="1" applyBorder="1" applyAlignment="1">
      <alignment horizontal="right" wrapText="1"/>
    </xf>
    <xf numFmtId="165" fontId="39" fillId="28" borderId="29" xfId="539" applyNumberFormat="1" applyFont="1" applyFill="1" applyBorder="1" applyAlignment="1">
      <alignment horizontal="right" wrapText="1"/>
    </xf>
    <xf numFmtId="165" fontId="39" fillId="28" borderId="26" xfId="539" applyNumberFormat="1" applyFont="1" applyFill="1" applyBorder="1" applyAlignment="1">
      <alignment horizontal="right" wrapText="1"/>
    </xf>
    <xf numFmtId="165" fontId="0" fillId="0" borderId="0" xfId="0" applyNumberFormat="1"/>
    <xf numFmtId="0" fontId="39" fillId="34" borderId="32" xfId="539" quotePrefix="1" applyFont="1" applyFill="1" applyBorder="1" applyAlignment="1">
      <alignment horizontal="center"/>
    </xf>
    <xf numFmtId="0" fontId="39" fillId="34" borderId="33" xfId="539" applyFont="1" applyFill="1" applyBorder="1" applyAlignment="1">
      <alignment horizontal="center"/>
    </xf>
    <xf numFmtId="165" fontId="39" fillId="0" borderId="34" xfId="539" applyNumberFormat="1" applyFont="1" applyFill="1" applyBorder="1" applyAlignment="1">
      <alignment horizontal="right" wrapText="1"/>
    </xf>
    <xf numFmtId="165" fontId="39" fillId="0" borderId="35" xfId="539" applyNumberFormat="1" applyFont="1" applyFill="1" applyBorder="1" applyAlignment="1">
      <alignment horizontal="right" wrapText="1"/>
    </xf>
    <xf numFmtId="166" fontId="25" fillId="18" borderId="0" xfId="0" applyNumberFormat="1" applyFont="1" applyFill="1" applyAlignment="1">
      <alignment vertical="center"/>
    </xf>
    <xf numFmtId="14" fontId="0" fillId="0" borderId="0" xfId="0" applyNumberFormat="1"/>
    <xf numFmtId="0" fontId="39" fillId="0" borderId="27" xfId="539" applyFont="1" applyFill="1" applyBorder="1" applyAlignment="1">
      <alignment wrapText="1"/>
    </xf>
    <xf numFmtId="0" fontId="39" fillId="34" borderId="30" xfId="539" applyFont="1" applyFill="1" applyBorder="1" applyAlignment="1">
      <alignment horizontal="center"/>
    </xf>
    <xf numFmtId="0" fontId="25" fillId="18" borderId="0" xfId="0" applyFont="1" applyFill="1" applyBorder="1" applyAlignment="1">
      <alignment horizontal="center" vertical="center" wrapText="1"/>
    </xf>
    <xf numFmtId="3" fontId="37" fillId="30" borderId="31" xfId="0" applyNumberFormat="1" applyFont="1" applyFill="1" applyBorder="1" applyAlignment="1">
      <alignment horizontal="center" vertical="center"/>
    </xf>
    <xf numFmtId="3" fontId="25" fillId="35" borderId="0" xfId="0" applyNumberFormat="1" applyFont="1" applyFill="1" applyBorder="1" applyAlignment="1">
      <alignment horizontal="center" vertical="center"/>
    </xf>
    <xf numFmtId="3" fontId="25" fillId="18" borderId="0" xfId="0" applyNumberFormat="1" applyFont="1" applyFill="1" applyAlignment="1">
      <alignment vertical="center"/>
    </xf>
    <xf numFmtId="167" fontId="25" fillId="24" borderId="36" xfId="0" applyNumberFormat="1" applyFont="1" applyFill="1" applyBorder="1" applyAlignment="1">
      <alignment horizontal="center" vertical="center"/>
    </xf>
    <xf numFmtId="167" fontId="25" fillId="24" borderId="37" xfId="0" applyNumberFormat="1" applyFont="1" applyFill="1" applyBorder="1" applyAlignment="1">
      <alignment horizontal="center" vertical="center"/>
    </xf>
    <xf numFmtId="1" fontId="25" fillId="24" borderId="0" xfId="0" applyNumberFormat="1" applyFont="1" applyFill="1" applyAlignment="1">
      <alignment vertical="center"/>
    </xf>
    <xf numFmtId="169" fontId="25" fillId="18" borderId="0" xfId="538" applyNumberFormat="1" applyFont="1" applyFill="1" applyAlignment="1">
      <alignment vertical="center"/>
    </xf>
    <xf numFmtId="0" fontId="45" fillId="36" borderId="0" xfId="0" applyFont="1" applyFill="1" applyBorder="1" applyAlignment="1">
      <alignment vertical="center"/>
    </xf>
    <xf numFmtId="0" fontId="45" fillId="36" borderId="0" xfId="0" applyFont="1" applyFill="1" applyBorder="1" applyAlignment="1">
      <alignment horizontal="center" vertical="center"/>
    </xf>
    <xf numFmtId="0" fontId="12" fillId="0" borderId="0" xfId="0" applyFont="1"/>
    <xf numFmtId="0" fontId="46" fillId="34" borderId="25" xfId="540" applyFont="1" applyFill="1" applyBorder="1" applyAlignment="1">
      <alignment horizontal="center"/>
    </xf>
    <xf numFmtId="0" fontId="46" fillId="0" borderId="26" xfId="540" applyFont="1" applyFill="1" applyBorder="1" applyAlignment="1">
      <alignment wrapText="1"/>
    </xf>
    <xf numFmtId="0" fontId="46" fillId="0" borderId="38" xfId="540" applyFont="1" applyFill="1" applyBorder="1" applyAlignment="1">
      <alignment wrapText="1"/>
    </xf>
    <xf numFmtId="3" fontId="42" fillId="0" borderId="39" xfId="539" applyNumberFormat="1" applyFont="1" applyFill="1" applyBorder="1" applyAlignment="1">
      <alignment horizontal="right" wrapText="1"/>
    </xf>
    <xf numFmtId="3" fontId="42" fillId="0" borderId="0" xfId="539" applyNumberFormat="1" applyFont="1" applyFill="1" applyBorder="1" applyAlignment="1">
      <alignment horizontal="right" wrapText="1"/>
    </xf>
    <xf numFmtId="0" fontId="25" fillId="0" borderId="0" xfId="0" applyFont="1" applyFill="1" applyAlignment="1">
      <alignment vertical="center"/>
    </xf>
    <xf numFmtId="3" fontId="25" fillId="0" borderId="18" xfId="0" applyNumberFormat="1" applyFont="1" applyFill="1" applyBorder="1" applyAlignment="1">
      <alignment horizontal="center" vertical="center"/>
    </xf>
    <xf numFmtId="167" fontId="25" fillId="0" borderId="0" xfId="0" applyNumberFormat="1" applyFont="1" applyFill="1" applyAlignment="1">
      <alignment horizontal="center" vertical="center"/>
    </xf>
    <xf numFmtId="167" fontId="25" fillId="0" borderId="18" xfId="0" applyNumberFormat="1" applyFont="1" applyFill="1" applyBorder="1" applyAlignment="1">
      <alignment horizontal="center" vertical="center"/>
    </xf>
    <xf numFmtId="167" fontId="25" fillId="0" borderId="37" xfId="0" applyNumberFormat="1" applyFont="1" applyFill="1" applyBorder="1" applyAlignment="1">
      <alignment horizontal="center" vertical="center"/>
    </xf>
    <xf numFmtId="167" fontId="25" fillId="0" borderId="36" xfId="0" applyNumberFormat="1" applyFont="1" applyFill="1" applyBorder="1" applyAlignment="1">
      <alignment horizontal="center" vertical="center"/>
    </xf>
    <xf numFmtId="3" fontId="25" fillId="0" borderId="0" xfId="0" applyNumberFormat="1" applyFont="1" applyFill="1" applyBorder="1" applyAlignment="1">
      <alignment horizontal="center" vertical="center"/>
    </xf>
    <xf numFmtId="1" fontId="25" fillId="0" borderId="0" xfId="0" applyNumberFormat="1" applyFont="1" applyFill="1" applyAlignment="1">
      <alignment vertical="center"/>
    </xf>
    <xf numFmtId="167" fontId="0" fillId="0" borderId="0" xfId="0" applyNumberFormat="1"/>
    <xf numFmtId="167" fontId="25" fillId="2" borderId="37" xfId="0" applyNumberFormat="1" applyFont="1" applyFill="1" applyBorder="1" applyAlignment="1">
      <alignment horizontal="center" vertical="center"/>
    </xf>
    <xf numFmtId="0" fontId="25" fillId="2" borderId="0" xfId="0" applyFont="1" applyFill="1" applyAlignment="1">
      <alignment vertical="center"/>
    </xf>
    <xf numFmtId="3" fontId="25" fillId="2" borderId="0" xfId="0" applyNumberFormat="1" applyFont="1" applyFill="1" applyBorder="1" applyAlignment="1">
      <alignment horizontal="center" vertical="center"/>
    </xf>
    <xf numFmtId="3" fontId="25" fillId="2" borderId="18" xfId="0" applyNumberFormat="1" applyFont="1" applyFill="1" applyBorder="1" applyAlignment="1">
      <alignment horizontal="center" vertical="center"/>
    </xf>
    <xf numFmtId="167" fontId="25" fillId="2" borderId="0" xfId="0" applyNumberFormat="1" applyFont="1" applyFill="1" applyAlignment="1">
      <alignment horizontal="center" vertical="center"/>
    </xf>
    <xf numFmtId="167" fontId="25" fillId="2" borderId="18" xfId="0" applyNumberFormat="1" applyFont="1" applyFill="1" applyBorder="1" applyAlignment="1">
      <alignment horizontal="center" vertical="center"/>
    </xf>
    <xf numFmtId="1" fontId="25" fillId="2" borderId="0" xfId="0" applyNumberFormat="1" applyFont="1" applyFill="1" applyAlignment="1">
      <alignment vertical="center"/>
    </xf>
    <xf numFmtId="167" fontId="25" fillId="0" borderId="0" xfId="0" applyNumberFormat="1" applyFont="1" applyFill="1" applyBorder="1" applyAlignment="1">
      <alignment horizontal="center" vertical="center"/>
    </xf>
    <xf numFmtId="167" fontId="25" fillId="2" borderId="0" xfId="0" applyNumberFormat="1" applyFont="1" applyFill="1" applyBorder="1" applyAlignment="1">
      <alignment horizontal="center" vertical="center"/>
    </xf>
    <xf numFmtId="0" fontId="49" fillId="0" borderId="0" xfId="541" applyFont="1"/>
    <xf numFmtId="14" fontId="49" fillId="0" borderId="0" xfId="541" applyNumberFormat="1" applyFont="1"/>
    <xf numFmtId="0" fontId="48" fillId="0" borderId="0" xfId="541"/>
    <xf numFmtId="14" fontId="48" fillId="0" borderId="0" xfId="541" applyNumberFormat="1"/>
    <xf numFmtId="3" fontId="48" fillId="0" borderId="0" xfId="541" applyNumberFormat="1"/>
    <xf numFmtId="0" fontId="18" fillId="0" borderId="0" xfId="542" applyAlignment="1">
      <alignment vertical="top"/>
    </xf>
    <xf numFmtId="4" fontId="18" fillId="0" borderId="0" xfId="542" applyNumberFormat="1" applyAlignment="1">
      <alignment horizontal="right" vertical="top"/>
    </xf>
    <xf numFmtId="0" fontId="18" fillId="37" borderId="40" xfId="542" applyFill="1" applyBorder="1" applyAlignment="1">
      <alignment vertical="top" wrapText="1"/>
    </xf>
    <xf numFmtId="0" fontId="18" fillId="37" borderId="40" xfId="542" applyFill="1" applyBorder="1" applyAlignment="1">
      <alignment vertical="top"/>
    </xf>
    <xf numFmtId="3" fontId="48" fillId="0" borderId="5" xfId="541" applyNumberFormat="1" applyBorder="1"/>
    <xf numFmtId="3" fontId="48" fillId="0" borderId="0" xfId="541" applyNumberFormat="1" applyBorder="1"/>
    <xf numFmtId="0" fontId="49" fillId="21" borderId="5" xfId="541" applyFont="1" applyFill="1" applyBorder="1" applyAlignment="1">
      <alignment horizontal="center"/>
    </xf>
    <xf numFmtId="0" fontId="49" fillId="21" borderId="0" xfId="541" applyFont="1" applyFill="1" applyBorder="1" applyAlignment="1">
      <alignment horizontal="center"/>
    </xf>
    <xf numFmtId="0" fontId="49" fillId="13" borderId="5" xfId="541" applyFont="1" applyFill="1" applyBorder="1" applyAlignment="1">
      <alignment horizontal="center"/>
    </xf>
    <xf numFmtId="0" fontId="49" fillId="13" borderId="0" xfId="541" applyFont="1" applyFill="1" applyBorder="1" applyAlignment="1">
      <alignment horizontal="center"/>
    </xf>
    <xf numFmtId="0" fontId="49" fillId="22" borderId="5" xfId="541" applyFont="1" applyFill="1" applyBorder="1" applyAlignment="1">
      <alignment horizontal="center"/>
    </xf>
    <xf numFmtId="0" fontId="49" fillId="22" borderId="0" xfId="541" applyFont="1" applyFill="1" applyBorder="1" applyAlignment="1">
      <alignment horizontal="center"/>
    </xf>
    <xf numFmtId="3" fontId="48" fillId="22" borderId="0" xfId="541" applyNumberFormat="1" applyFill="1" applyBorder="1"/>
    <xf numFmtId="3" fontId="48" fillId="22" borderId="0" xfId="541" applyNumberFormat="1" applyFill="1"/>
    <xf numFmtId="0" fontId="49" fillId="38" borderId="5" xfId="541" applyFont="1" applyFill="1" applyBorder="1" applyAlignment="1">
      <alignment horizontal="center"/>
    </xf>
    <xf numFmtId="0" fontId="49" fillId="7" borderId="5" xfId="541" applyFont="1" applyFill="1" applyBorder="1" applyAlignment="1"/>
    <xf numFmtId="0" fontId="49" fillId="7" borderId="5" xfId="541" applyFont="1" applyFill="1" applyBorder="1" applyAlignment="1">
      <alignment horizontal="center"/>
    </xf>
    <xf numFmtId="0" fontId="49" fillId="39" borderId="0" xfId="541" applyFont="1" applyFill="1" applyAlignment="1">
      <alignment horizontal="center"/>
    </xf>
    <xf numFmtId="0" fontId="49" fillId="16" borderId="0" xfId="541" applyFont="1" applyFill="1" applyBorder="1" applyAlignment="1">
      <alignment horizontal="center"/>
    </xf>
    <xf numFmtId="0" fontId="48" fillId="0" borderId="0" xfId="541" applyFill="1"/>
    <xf numFmtId="14" fontId="48" fillId="0" borderId="0" xfId="541" applyNumberFormat="1" applyFill="1"/>
    <xf numFmtId="3" fontId="48" fillId="0" borderId="5" xfId="541" applyNumberFormat="1" applyFill="1" applyBorder="1"/>
    <xf numFmtId="3" fontId="48" fillId="0" borderId="0" xfId="541" applyNumberFormat="1" applyFill="1" applyBorder="1"/>
    <xf numFmtId="3" fontId="48" fillId="0" borderId="0" xfId="541" applyNumberFormat="1" applyFill="1"/>
    <xf numFmtId="0" fontId="18" fillId="16" borderId="40" xfId="542" applyFill="1" applyBorder="1" applyAlignment="1">
      <alignment vertical="top"/>
    </xf>
    <xf numFmtId="14" fontId="18" fillId="0" borderId="0" xfId="542" applyNumberFormat="1" applyAlignment="1">
      <alignment horizontal="right" vertical="top"/>
    </xf>
    <xf numFmtId="0" fontId="18" fillId="16" borderId="0" xfId="542" applyFill="1" applyAlignment="1">
      <alignment vertical="top"/>
    </xf>
    <xf numFmtId="0" fontId="18" fillId="9" borderId="0" xfId="542" applyFill="1" applyAlignment="1">
      <alignment vertical="top"/>
    </xf>
    <xf numFmtId="4" fontId="18" fillId="13" borderId="0" xfId="542" applyNumberFormat="1" applyFill="1" applyAlignment="1">
      <alignment horizontal="right" vertical="top"/>
    </xf>
    <xf numFmtId="0" fontId="48" fillId="0" borderId="0" xfId="541" applyNumberFormat="1"/>
    <xf numFmtId="0" fontId="50" fillId="39" borderId="0" xfId="541" applyFont="1" applyFill="1" applyAlignment="1">
      <alignment horizontal="center"/>
    </xf>
    <xf numFmtId="0" fontId="48" fillId="0" borderId="0" xfId="541" applyNumberFormat="1" applyFill="1"/>
    <xf numFmtId="1" fontId="48" fillId="0" borderId="0" xfId="541" applyNumberFormat="1"/>
    <xf numFmtId="0" fontId="26" fillId="18" borderId="0" xfId="0" applyFont="1" applyFill="1" applyBorder="1" applyAlignment="1">
      <alignment horizontal="center" vertical="center"/>
    </xf>
    <xf numFmtId="0" fontId="25" fillId="30" borderId="0" xfId="0" applyFont="1" applyFill="1" applyBorder="1" applyAlignment="1">
      <alignment horizontal="left" vertical="center"/>
    </xf>
    <xf numFmtId="0" fontId="49" fillId="21" borderId="5" xfId="541" applyFont="1" applyFill="1" applyBorder="1" applyAlignment="1">
      <alignment horizontal="center"/>
    </xf>
    <xf numFmtId="0" fontId="49" fillId="21" borderId="0" xfId="541" applyFont="1" applyFill="1" applyBorder="1" applyAlignment="1">
      <alignment horizontal="center"/>
    </xf>
    <xf numFmtId="0" fontId="49" fillId="13" borderId="5" xfId="541" applyFont="1" applyFill="1" applyBorder="1" applyAlignment="1">
      <alignment horizontal="center"/>
    </xf>
    <xf numFmtId="0" fontId="49" fillId="13" borderId="0" xfId="541" applyFont="1" applyFill="1" applyBorder="1" applyAlignment="1">
      <alignment horizontal="center"/>
    </xf>
    <xf numFmtId="0" fontId="49" fillId="22" borderId="0" xfId="541" applyFont="1" applyFill="1" applyAlignment="1">
      <alignment horizontal="center"/>
    </xf>
    <xf numFmtId="0" fontId="49" fillId="38" borderId="5" xfId="541" applyFont="1" applyFill="1" applyBorder="1" applyAlignment="1">
      <alignment horizontal="center"/>
    </xf>
    <xf numFmtId="0" fontId="49" fillId="38" borderId="0" xfId="541" applyFont="1" applyFill="1" applyBorder="1" applyAlignment="1">
      <alignment horizontal="center"/>
    </xf>
    <xf numFmtId="0" fontId="49" fillId="38" borderId="18" xfId="541" applyFont="1" applyFill="1" applyBorder="1" applyAlignment="1">
      <alignment horizontal="center"/>
    </xf>
    <xf numFmtId="0" fontId="49" fillId="16" borderId="0" xfId="541" applyFont="1" applyFill="1" applyAlignment="1">
      <alignment horizontal="center"/>
    </xf>
  </cellXfs>
  <cellStyles count="543"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" xfId="56" builtinId="8" hidden="1"/>
    <cellStyle name="Lien hypertexte" xfId="58" builtinId="8" hidden="1"/>
    <cellStyle name="Lien hypertexte" xfId="60" builtinId="8" hidden="1"/>
    <cellStyle name="Lien hypertexte" xfId="62" builtinId="8" hidden="1"/>
    <cellStyle name="Lien hypertexte" xfId="64" builtinId="8" hidden="1"/>
    <cellStyle name="Lien hypertexte" xfId="66" builtinId="8" hidden="1"/>
    <cellStyle name="Lien hypertexte" xfId="68" builtinId="8" hidden="1"/>
    <cellStyle name="Lien hypertexte" xfId="70" builtinId="8" hidden="1"/>
    <cellStyle name="Lien hypertexte" xfId="72" builtinId="8" hidden="1"/>
    <cellStyle name="Lien hypertexte" xfId="74" builtinId="8" hidden="1"/>
    <cellStyle name="Lien hypertexte" xfId="76" builtinId="8" hidden="1"/>
    <cellStyle name="Lien hypertexte" xfId="78" builtinId="8" hidden="1"/>
    <cellStyle name="Lien hypertexte" xfId="80" builtinId="8" hidden="1"/>
    <cellStyle name="Lien hypertexte" xfId="82" builtinId="8" hidden="1"/>
    <cellStyle name="Lien hypertexte" xfId="84" builtinId="8" hidden="1"/>
    <cellStyle name="Lien hypertexte" xfId="86" builtinId="8" hidden="1"/>
    <cellStyle name="Lien hypertexte" xfId="88" builtinId="8" hidden="1"/>
    <cellStyle name="Lien hypertexte" xfId="90" builtinId="8" hidden="1"/>
    <cellStyle name="Lien hypertexte" xfId="92" builtinId="8" hidden="1"/>
    <cellStyle name="Lien hypertexte" xfId="94" builtinId="8" hidden="1"/>
    <cellStyle name="Lien hypertexte" xfId="96" builtinId="8" hidden="1"/>
    <cellStyle name="Lien hypertexte" xfId="98" builtinId="8" hidden="1"/>
    <cellStyle name="Lien hypertexte" xfId="100" builtinId="8" hidden="1"/>
    <cellStyle name="Lien hypertexte" xfId="102" builtinId="8" hidden="1"/>
    <cellStyle name="Lien hypertexte" xfId="104" builtinId="8" hidden="1"/>
    <cellStyle name="Lien hypertexte" xfId="106" builtinId="8" hidden="1"/>
    <cellStyle name="Lien hypertexte" xfId="108" builtinId="8" hidden="1"/>
    <cellStyle name="Lien hypertexte" xfId="110" builtinId="8" hidden="1"/>
    <cellStyle name="Lien hypertexte" xfId="112" builtinId="8" hidden="1"/>
    <cellStyle name="Lien hypertexte" xfId="114" builtinId="8" hidden="1"/>
    <cellStyle name="Lien hypertexte" xfId="116" builtinId="8" hidden="1"/>
    <cellStyle name="Lien hypertexte" xfId="118" builtinId="8" hidden="1"/>
    <cellStyle name="Lien hypertexte" xfId="120" builtinId="8" hidden="1"/>
    <cellStyle name="Lien hypertexte" xfId="122" builtinId="8" hidden="1"/>
    <cellStyle name="Lien hypertexte" xfId="124" builtinId="8" hidden="1"/>
    <cellStyle name="Lien hypertexte" xfId="126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" xfId="152" builtinId="8" hidden="1"/>
    <cellStyle name="Lien hypertexte" xfId="154" builtinId="8" hidden="1"/>
    <cellStyle name="Lien hypertexte" xfId="156" builtinId="8" hidden="1"/>
    <cellStyle name="Lien hypertexte" xfId="158" builtinId="8" hidden="1"/>
    <cellStyle name="Lien hypertexte" xfId="160" builtinId="8" hidden="1"/>
    <cellStyle name="Lien hypertexte" xfId="162" builtinId="8" hidden="1"/>
    <cellStyle name="Lien hypertexte" xfId="164" builtinId="8" hidden="1"/>
    <cellStyle name="Lien hypertexte" xfId="166" builtinId="8" hidden="1"/>
    <cellStyle name="Lien hypertexte" xfId="168" builtinId="8" hidden="1"/>
    <cellStyle name="Lien hypertexte" xfId="170" builtinId="8" hidden="1"/>
    <cellStyle name="Lien hypertexte" xfId="172" builtinId="8" hidden="1"/>
    <cellStyle name="Lien hypertexte" xfId="174" builtinId="8" hidden="1"/>
    <cellStyle name="Lien hypertexte" xfId="176" builtinId="8" hidden="1"/>
    <cellStyle name="Lien hypertexte" xfId="178" builtinId="8" hidden="1"/>
    <cellStyle name="Lien hypertexte" xfId="180" builtinId="8" hidden="1"/>
    <cellStyle name="Lien hypertexte" xfId="182" builtinId="8" hidden="1"/>
    <cellStyle name="Lien hypertexte" xfId="184" builtinId="8" hidden="1"/>
    <cellStyle name="Lien hypertexte" xfId="186" builtinId="8" hidden="1"/>
    <cellStyle name="Lien hypertexte" xfId="188" builtinId="8" hidden="1"/>
    <cellStyle name="Lien hypertexte" xfId="190" builtinId="8" hidden="1"/>
    <cellStyle name="Lien hypertexte" xfId="192" builtinId="8" hidden="1"/>
    <cellStyle name="Lien hypertexte" xfId="194" builtinId="8" hidden="1"/>
    <cellStyle name="Lien hypertexte" xfId="196" builtinId="8" hidden="1"/>
    <cellStyle name="Lien hypertexte" xfId="198" builtinId="8" hidden="1"/>
    <cellStyle name="Lien hypertexte" xfId="202" builtinId="8" hidden="1"/>
    <cellStyle name="Lien hypertexte" xfId="204" builtinId="8" hidden="1"/>
    <cellStyle name="Lien hypertexte" xfId="206" builtinId="8" hidden="1"/>
    <cellStyle name="Lien hypertexte" xfId="208" builtinId="8" hidden="1"/>
    <cellStyle name="Lien hypertexte" xfId="210" builtinId="8" hidden="1"/>
    <cellStyle name="Lien hypertexte" xfId="212" builtinId="8" hidden="1"/>
    <cellStyle name="Lien hypertexte" xfId="214" builtinId="8" hidden="1"/>
    <cellStyle name="Lien hypertexte" xfId="216" builtinId="8" hidden="1"/>
    <cellStyle name="Lien hypertexte" xfId="218" builtinId="8" hidden="1"/>
    <cellStyle name="Lien hypertexte" xfId="220" builtinId="8" hidden="1"/>
    <cellStyle name="Lien hypertexte" xfId="222" builtinId="8" hidden="1"/>
    <cellStyle name="Lien hypertexte" xfId="224" builtinId="8" hidden="1"/>
    <cellStyle name="Lien hypertexte" xfId="226" builtinId="8" hidden="1"/>
    <cellStyle name="Lien hypertexte" xfId="228" builtinId="8" hidden="1"/>
    <cellStyle name="Lien hypertexte" xfId="230" builtinId="8" hidden="1"/>
    <cellStyle name="Lien hypertexte" xfId="232" builtinId="8" hidden="1"/>
    <cellStyle name="Lien hypertexte" xfId="234" builtinId="8" hidden="1"/>
    <cellStyle name="Lien hypertexte" xfId="236" builtinId="8" hidden="1"/>
    <cellStyle name="Lien hypertexte" xfId="238" builtinId="8" hidden="1"/>
    <cellStyle name="Lien hypertexte" xfId="240" builtinId="8" hidden="1"/>
    <cellStyle name="Lien hypertexte" xfId="242" builtinId="8" hidden="1"/>
    <cellStyle name="Lien hypertexte" xfId="244" builtinId="8" hidden="1"/>
    <cellStyle name="Lien hypertexte" xfId="246" builtinId="8" hidden="1"/>
    <cellStyle name="Lien hypertexte" xfId="248" builtinId="8" hidden="1"/>
    <cellStyle name="Lien hypertexte" xfId="250" builtinId="8" hidden="1"/>
    <cellStyle name="Lien hypertexte" xfId="252" builtinId="8" hidden="1"/>
    <cellStyle name="Lien hypertexte" xfId="254" builtinId="8" hidden="1"/>
    <cellStyle name="Lien hypertexte" xfId="256" builtinId="8" hidden="1"/>
    <cellStyle name="Lien hypertexte" xfId="258" builtinId="8" hidden="1"/>
    <cellStyle name="Lien hypertexte" xfId="260" builtinId="8" hidden="1"/>
    <cellStyle name="Lien hypertexte" xfId="262" builtinId="8" hidden="1"/>
    <cellStyle name="Lien hypertexte" xfId="264" builtinId="8" hidden="1"/>
    <cellStyle name="Lien hypertexte" xfId="266" builtinId="8" hidden="1"/>
    <cellStyle name="Lien hypertexte" xfId="268" builtinId="8" hidden="1"/>
    <cellStyle name="Lien hypertexte" xfId="270" builtinId="8" hidden="1"/>
    <cellStyle name="Lien hypertexte" xfId="272" builtinId="8" hidden="1"/>
    <cellStyle name="Lien hypertexte" xfId="274" builtinId="8" hidden="1"/>
    <cellStyle name="Lien hypertexte" xfId="276" builtinId="8" hidden="1"/>
    <cellStyle name="Lien hypertexte" xfId="278" builtinId="8" hidden="1"/>
    <cellStyle name="Lien hypertexte" xfId="280" builtinId="8" hidden="1"/>
    <cellStyle name="Lien hypertexte" xfId="282" builtinId="8" hidden="1"/>
    <cellStyle name="Lien hypertexte" xfId="284" builtinId="8" hidden="1"/>
    <cellStyle name="Lien hypertexte" xfId="286" builtinId="8" hidden="1"/>
    <cellStyle name="Lien hypertexte" xfId="288" builtinId="8" hidden="1"/>
    <cellStyle name="Lien hypertexte" xfId="290" builtinId="8" hidden="1"/>
    <cellStyle name="Lien hypertexte" xfId="292" builtinId="8" hidden="1"/>
    <cellStyle name="Lien hypertexte" xfId="294" builtinId="8" hidden="1"/>
    <cellStyle name="Lien hypertexte" xfId="296" builtinId="8" hidden="1"/>
    <cellStyle name="Lien hypertexte" xfId="298" builtinId="8" hidden="1"/>
    <cellStyle name="Lien hypertexte" xfId="300" builtinId="8" hidden="1"/>
    <cellStyle name="Lien hypertexte" xfId="302" builtinId="8" hidden="1"/>
    <cellStyle name="Lien hypertexte" xfId="304" builtinId="8" hidden="1"/>
    <cellStyle name="Lien hypertexte" xfId="306" builtinId="8" hidden="1"/>
    <cellStyle name="Lien hypertexte" xfId="308" builtinId="8" hidden="1"/>
    <cellStyle name="Lien hypertexte" xfId="310" builtinId="8" hidden="1"/>
    <cellStyle name="Lien hypertexte" xfId="312" builtinId="8" hidden="1"/>
    <cellStyle name="Lien hypertexte" xfId="314" builtinId="8" hidden="1"/>
    <cellStyle name="Lien hypertexte" xfId="316" builtinId="8" hidden="1"/>
    <cellStyle name="Lien hypertexte" xfId="318" builtinId="8" hidden="1"/>
    <cellStyle name="Lien hypertexte" xfId="320" builtinId="8" hidden="1"/>
    <cellStyle name="Lien hypertexte" xfId="322" builtinId="8" hidden="1"/>
    <cellStyle name="Lien hypertexte" xfId="324" builtinId="8" hidden="1"/>
    <cellStyle name="Lien hypertexte" xfId="326" builtinId="8" hidden="1"/>
    <cellStyle name="Lien hypertexte" xfId="328" builtinId="8" hidden="1"/>
    <cellStyle name="Lien hypertexte" xfId="330" builtinId="8" hidden="1"/>
    <cellStyle name="Lien hypertexte" xfId="332" builtinId="8" hidden="1"/>
    <cellStyle name="Lien hypertexte" xfId="334" builtinId="8" hidden="1"/>
    <cellStyle name="Lien hypertexte" xfId="336" builtinId="8" hidden="1"/>
    <cellStyle name="Lien hypertexte" xfId="338" builtinId="8" hidden="1"/>
    <cellStyle name="Lien hypertexte" xfId="340" builtinId="8" hidden="1"/>
    <cellStyle name="Lien hypertexte" xfId="342" builtinId="8" hidden="1"/>
    <cellStyle name="Lien hypertexte" xfId="344" builtinId="8" hidden="1"/>
    <cellStyle name="Lien hypertexte" xfId="346" builtinId="8" hidden="1"/>
    <cellStyle name="Lien hypertexte" xfId="348" builtinId="8" hidden="1"/>
    <cellStyle name="Lien hypertexte" xfId="350" builtinId="8" hidden="1"/>
    <cellStyle name="Lien hypertexte" xfId="352" builtinId="8" hidden="1"/>
    <cellStyle name="Lien hypertexte" xfId="354" builtinId="8" hidden="1"/>
    <cellStyle name="Lien hypertexte" xfId="356" builtinId="8" hidden="1"/>
    <cellStyle name="Lien hypertexte" xfId="358" builtinId="8" hidden="1"/>
    <cellStyle name="Lien hypertexte" xfId="360" builtinId="8" hidden="1"/>
    <cellStyle name="Lien hypertexte" xfId="362" builtinId="8" hidden="1"/>
    <cellStyle name="Lien hypertexte" xfId="364" builtinId="8" hidden="1"/>
    <cellStyle name="Lien hypertexte" xfId="366" builtinId="8" hidden="1"/>
    <cellStyle name="Lien hypertexte" xfId="368" builtinId="8" hidden="1"/>
    <cellStyle name="Lien hypertexte" xfId="370" builtinId="8" hidden="1"/>
    <cellStyle name="Lien hypertexte" xfId="372" builtinId="8" hidden="1"/>
    <cellStyle name="Lien hypertexte" xfId="374" builtinId="8" hidden="1"/>
    <cellStyle name="Lien hypertexte" xfId="376" builtinId="8" hidden="1"/>
    <cellStyle name="Lien hypertexte" xfId="378" builtinId="8" hidden="1"/>
    <cellStyle name="Lien hypertexte" xfId="380" builtinId="8" hidden="1"/>
    <cellStyle name="Lien hypertexte" xfId="382" builtinId="8" hidden="1"/>
    <cellStyle name="Lien hypertexte" xfId="384" builtinId="8" hidden="1"/>
    <cellStyle name="Lien hypertexte" xfId="386" builtinId="8" hidden="1"/>
    <cellStyle name="Lien hypertexte" xfId="388" builtinId="8" hidden="1"/>
    <cellStyle name="Lien hypertexte" xfId="390" builtinId="8" hidden="1"/>
    <cellStyle name="Lien hypertexte" xfId="392" builtinId="8" hidden="1"/>
    <cellStyle name="Lien hypertexte" xfId="394" builtinId="8" hidden="1"/>
    <cellStyle name="Lien hypertexte" xfId="396" builtinId="8" hidden="1"/>
    <cellStyle name="Lien hypertexte" xfId="398" builtinId="8" hidden="1"/>
    <cellStyle name="Lien hypertexte" xfId="400" builtinId="8" hidden="1"/>
    <cellStyle name="Lien hypertexte" xfId="402" builtinId="8" hidden="1"/>
    <cellStyle name="Lien hypertexte" xfId="404" builtinId="8" hidden="1"/>
    <cellStyle name="Lien hypertexte" xfId="406" builtinId="8" hidden="1"/>
    <cellStyle name="Lien hypertexte" xfId="408" builtinId="8" hidden="1"/>
    <cellStyle name="Lien hypertexte" xfId="410" builtinId="8" hidden="1"/>
    <cellStyle name="Lien hypertexte" xfId="412" builtinId="8" hidden="1"/>
    <cellStyle name="Lien hypertexte" xfId="414" builtinId="8" hidden="1"/>
    <cellStyle name="Lien hypertexte" xfId="416" builtinId="8" hidden="1"/>
    <cellStyle name="Lien hypertexte" xfId="418" builtinId="8" hidden="1"/>
    <cellStyle name="Lien hypertexte" xfId="420" builtinId="8" hidden="1"/>
    <cellStyle name="Lien hypertexte" xfId="422" builtinId="8" hidden="1"/>
    <cellStyle name="Lien hypertexte" xfId="424" builtinId="8" hidden="1"/>
    <cellStyle name="Lien hypertexte" xfId="426" builtinId="8" hidden="1"/>
    <cellStyle name="Lien hypertexte" xfId="428" builtinId="8" hidden="1"/>
    <cellStyle name="Lien hypertexte" xfId="430" builtinId="8" hidden="1"/>
    <cellStyle name="Lien hypertexte" xfId="432" builtinId="8" hidden="1"/>
    <cellStyle name="Lien hypertexte" xfId="434" builtinId="8" hidden="1"/>
    <cellStyle name="Lien hypertexte" xfId="436" builtinId="8" hidden="1"/>
    <cellStyle name="Lien hypertexte" xfId="438" builtinId="8" hidden="1"/>
    <cellStyle name="Lien hypertexte" xfId="440" builtinId="8" hidden="1"/>
    <cellStyle name="Lien hypertexte" xfId="442" builtinId="8" hidden="1"/>
    <cellStyle name="Lien hypertexte" xfId="444" builtinId="8" hidden="1"/>
    <cellStyle name="Lien hypertexte" xfId="446" builtinId="8" hidden="1"/>
    <cellStyle name="Lien hypertexte" xfId="448" builtinId="8" hidden="1"/>
    <cellStyle name="Lien hypertexte" xfId="450" builtinId="8" hidden="1"/>
    <cellStyle name="Lien hypertexte" xfId="452" builtinId="8" hidden="1"/>
    <cellStyle name="Lien hypertexte" xfId="454" builtinId="8" hidden="1"/>
    <cellStyle name="Lien hypertexte" xfId="456" builtinId="8" hidden="1"/>
    <cellStyle name="Lien hypertexte" xfId="458" builtinId="8" hidden="1"/>
    <cellStyle name="Lien hypertexte" xfId="460" builtinId="8" hidden="1"/>
    <cellStyle name="Lien hypertexte" xfId="462" builtinId="8" hidden="1"/>
    <cellStyle name="Lien hypertexte" xfId="464" builtinId="8" hidden="1"/>
    <cellStyle name="Lien hypertexte" xfId="466" builtinId="8" hidden="1"/>
    <cellStyle name="Lien hypertexte" xfId="468" builtinId="8" hidden="1"/>
    <cellStyle name="Lien hypertexte" xfId="470" builtinId="8" hidden="1"/>
    <cellStyle name="Lien hypertexte" xfId="472" builtinId="8" hidden="1"/>
    <cellStyle name="Lien hypertexte" xfId="474" builtinId="8" hidden="1"/>
    <cellStyle name="Lien hypertexte" xfId="476" builtinId="8" hidden="1"/>
    <cellStyle name="Lien hypertexte" xfId="478" builtinId="8" hidden="1"/>
    <cellStyle name="Lien hypertexte" xfId="480" builtinId="8" hidden="1"/>
    <cellStyle name="Lien hypertexte" xfId="482" builtinId="8" hidden="1"/>
    <cellStyle name="Lien hypertexte" xfId="484" builtinId="8" hidden="1"/>
    <cellStyle name="Lien hypertexte" xfId="486" builtinId="8" hidden="1"/>
    <cellStyle name="Lien hypertexte" xfId="488" builtinId="8" hidden="1"/>
    <cellStyle name="Lien hypertexte" xfId="490" builtinId="8" hidden="1"/>
    <cellStyle name="Lien hypertexte" xfId="492" builtinId="8" hidden="1"/>
    <cellStyle name="Lien hypertexte" xfId="494" builtinId="8" hidden="1"/>
    <cellStyle name="Lien hypertexte" xfId="496" builtinId="8" hidden="1"/>
    <cellStyle name="Lien hypertexte" xfId="498" builtinId="8" hidden="1"/>
    <cellStyle name="Lien hypertexte" xfId="500" builtinId="8" hidden="1"/>
    <cellStyle name="Lien hypertexte" xfId="502" builtinId="8" hidden="1"/>
    <cellStyle name="Lien hypertexte" xfId="504" builtinId="8" hidden="1"/>
    <cellStyle name="Lien hypertexte" xfId="506" builtinId="8" hidden="1"/>
    <cellStyle name="Lien hypertexte" xfId="508" builtinId="8" hidden="1"/>
    <cellStyle name="Lien hypertexte" xfId="510" builtinId="8" hidden="1"/>
    <cellStyle name="Lien hypertexte" xfId="512" builtinId="8" hidden="1"/>
    <cellStyle name="Lien hypertexte" xfId="514" builtinId="8" hidden="1"/>
    <cellStyle name="Lien hypertexte" xfId="516" builtinId="8" hidden="1"/>
    <cellStyle name="Lien hypertexte" xfId="518" builtinId="8" hidden="1"/>
    <cellStyle name="Lien hypertexte" xfId="520" builtinId="8" hidden="1"/>
    <cellStyle name="Lien hypertexte 2" xfId="529"/>
    <cellStyle name="Lien hypertexte 3" xfId="535"/>
    <cellStyle name="Lien hypertexte 4" xfId="524"/>
    <cellStyle name="Lien hypertexte visité" xfId="1" builtinId="9" hidden="1"/>
    <cellStyle name="Lien hypertexte visité" xfId="2" builtinId="9" hidden="1"/>
    <cellStyle name="Lien hypertexte visité" xfId="3" builtinId="9" hidden="1"/>
    <cellStyle name="Lien hypertexte visité" xfId="4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5" builtinId="9" hidden="1"/>
    <cellStyle name="Lien hypertexte visité" xfId="16" builtinId="9" hidden="1"/>
    <cellStyle name="Lien hypertexte visité" xfId="17" builtinId="9" hidden="1"/>
    <cellStyle name="Lien hypertexte visité" xfId="18" builtinId="9" hidden="1"/>
    <cellStyle name="Lien hypertexte visité" xfId="19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Lien hypertexte visité" xfId="57" builtinId="9" hidden="1"/>
    <cellStyle name="Lien hypertexte visité" xfId="59" builtinId="9" hidden="1"/>
    <cellStyle name="Lien hypertexte visité" xfId="61" builtinId="9" hidden="1"/>
    <cellStyle name="Lien hypertexte visité" xfId="63" builtinId="9" hidden="1"/>
    <cellStyle name="Lien hypertexte visité" xfId="65" builtinId="9" hidden="1"/>
    <cellStyle name="Lien hypertexte visité" xfId="67" builtinId="9" hidden="1"/>
    <cellStyle name="Lien hypertexte visité" xfId="69" builtinId="9" hidden="1"/>
    <cellStyle name="Lien hypertexte visité" xfId="71" builtinId="9" hidden="1"/>
    <cellStyle name="Lien hypertexte visité" xfId="73" builtinId="9" hidden="1"/>
    <cellStyle name="Lien hypertexte visité" xfId="75" builtinId="9" hidden="1"/>
    <cellStyle name="Lien hypertexte visité" xfId="77" builtinId="9" hidden="1"/>
    <cellStyle name="Lien hypertexte visité" xfId="79" builtinId="9" hidden="1"/>
    <cellStyle name="Lien hypertexte visité" xfId="81" builtinId="9" hidden="1"/>
    <cellStyle name="Lien hypertexte visité" xfId="83" builtinId="9" hidden="1"/>
    <cellStyle name="Lien hypertexte visité" xfId="85" builtinId="9" hidden="1"/>
    <cellStyle name="Lien hypertexte visité" xfId="87" builtinId="9" hidden="1"/>
    <cellStyle name="Lien hypertexte visité" xfId="89" builtinId="9" hidden="1"/>
    <cellStyle name="Lien hypertexte visité" xfId="91" builtinId="9" hidden="1"/>
    <cellStyle name="Lien hypertexte visité" xfId="93" builtinId="9" hidden="1"/>
    <cellStyle name="Lien hypertexte visité" xfId="95" builtinId="9" hidden="1"/>
    <cellStyle name="Lien hypertexte visité" xfId="97" builtinId="9" hidden="1"/>
    <cellStyle name="Lien hypertexte visité" xfId="99" builtinId="9" hidden="1"/>
    <cellStyle name="Lien hypertexte visité" xfId="101" builtinId="9" hidden="1"/>
    <cellStyle name="Lien hypertexte visité" xfId="103" builtinId="9" hidden="1"/>
    <cellStyle name="Lien hypertexte visité" xfId="105" builtinId="9" hidden="1"/>
    <cellStyle name="Lien hypertexte visité" xfId="107" builtinId="9" hidden="1"/>
    <cellStyle name="Lien hypertexte visité" xfId="109" builtinId="9" hidden="1"/>
    <cellStyle name="Lien hypertexte visité" xfId="111" builtinId="9" hidden="1"/>
    <cellStyle name="Lien hypertexte visité" xfId="113" builtinId="9" hidden="1"/>
    <cellStyle name="Lien hypertexte visité" xfId="115" builtinId="9" hidden="1"/>
    <cellStyle name="Lien hypertexte visité" xfId="117" builtinId="9" hidden="1"/>
    <cellStyle name="Lien hypertexte visité" xfId="119" builtinId="9" hidden="1"/>
    <cellStyle name="Lien hypertexte visité" xfId="121" builtinId="9" hidden="1"/>
    <cellStyle name="Lien hypertexte visité" xfId="123" builtinId="9" hidden="1"/>
    <cellStyle name="Lien hypertexte visité" xfId="125" builtinId="9" hidden="1"/>
    <cellStyle name="Lien hypertexte visité" xfId="127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Lien hypertexte visité" xfId="153" builtinId="9" hidden="1"/>
    <cellStyle name="Lien hypertexte visité" xfId="155" builtinId="9" hidden="1"/>
    <cellStyle name="Lien hypertexte visité" xfId="157" builtinId="9" hidden="1"/>
    <cellStyle name="Lien hypertexte visité" xfId="159" builtinId="9" hidden="1"/>
    <cellStyle name="Lien hypertexte visité" xfId="161" builtinId="9" hidden="1"/>
    <cellStyle name="Lien hypertexte visité" xfId="163" builtinId="9" hidden="1"/>
    <cellStyle name="Lien hypertexte visité" xfId="165" builtinId="9" hidden="1"/>
    <cellStyle name="Lien hypertexte visité" xfId="167" builtinId="9" hidden="1"/>
    <cellStyle name="Lien hypertexte visité" xfId="169" builtinId="9" hidden="1"/>
    <cellStyle name="Lien hypertexte visité" xfId="171" builtinId="9" hidden="1"/>
    <cellStyle name="Lien hypertexte visité" xfId="173" builtinId="9" hidden="1"/>
    <cellStyle name="Lien hypertexte visité" xfId="175" builtinId="9" hidden="1"/>
    <cellStyle name="Lien hypertexte visité" xfId="177" builtinId="9" hidden="1"/>
    <cellStyle name="Lien hypertexte visité" xfId="179" builtinId="9" hidden="1"/>
    <cellStyle name="Lien hypertexte visité" xfId="181" builtinId="9" hidden="1"/>
    <cellStyle name="Lien hypertexte visité" xfId="183" builtinId="9" hidden="1"/>
    <cellStyle name="Lien hypertexte visité" xfId="185" builtinId="9" hidden="1"/>
    <cellStyle name="Lien hypertexte visité" xfId="187" builtinId="9" hidden="1"/>
    <cellStyle name="Lien hypertexte visité" xfId="189" builtinId="9" hidden="1"/>
    <cellStyle name="Lien hypertexte visité" xfId="191" builtinId="9" hidden="1"/>
    <cellStyle name="Lien hypertexte visité" xfId="193" builtinId="9" hidden="1"/>
    <cellStyle name="Lien hypertexte visité" xfId="195" builtinId="9" hidden="1"/>
    <cellStyle name="Lien hypertexte visité" xfId="197" builtinId="9" hidden="1"/>
    <cellStyle name="Lien hypertexte visité" xfId="199" builtinId="9" hidden="1"/>
    <cellStyle name="Lien hypertexte visité" xfId="200" builtinId="9" hidden="1"/>
    <cellStyle name="Lien hypertexte visité" xfId="201" builtinId="9" hidden="1"/>
    <cellStyle name="Lien hypertexte visité" xfId="203" builtinId="9" hidden="1"/>
    <cellStyle name="Lien hypertexte visité" xfId="205" builtinId="9" hidden="1"/>
    <cellStyle name="Lien hypertexte visité" xfId="207" builtinId="9" hidden="1"/>
    <cellStyle name="Lien hypertexte visité" xfId="209" builtinId="9" hidden="1"/>
    <cellStyle name="Lien hypertexte visité" xfId="211" builtinId="9" hidden="1"/>
    <cellStyle name="Lien hypertexte visité" xfId="213" builtinId="9" hidden="1"/>
    <cellStyle name="Lien hypertexte visité" xfId="215" builtinId="9" hidden="1"/>
    <cellStyle name="Lien hypertexte visité" xfId="217" builtinId="9" hidden="1"/>
    <cellStyle name="Lien hypertexte visité" xfId="219" builtinId="9" hidden="1"/>
    <cellStyle name="Lien hypertexte visité" xfId="221" builtinId="9" hidden="1"/>
    <cellStyle name="Lien hypertexte visité" xfId="223" builtinId="9" hidden="1"/>
    <cellStyle name="Lien hypertexte visité" xfId="225" builtinId="9" hidden="1"/>
    <cellStyle name="Lien hypertexte visité" xfId="227" builtinId="9" hidden="1"/>
    <cellStyle name="Lien hypertexte visité" xfId="229" builtinId="9" hidden="1"/>
    <cellStyle name="Lien hypertexte visité" xfId="231" builtinId="9" hidden="1"/>
    <cellStyle name="Lien hypertexte visité" xfId="233" builtinId="9" hidden="1"/>
    <cellStyle name="Lien hypertexte visité" xfId="235" builtinId="9" hidden="1"/>
    <cellStyle name="Lien hypertexte visité" xfId="237" builtinId="9" hidden="1"/>
    <cellStyle name="Lien hypertexte visité" xfId="239" builtinId="9" hidden="1"/>
    <cellStyle name="Lien hypertexte visité" xfId="241" builtinId="9" hidden="1"/>
    <cellStyle name="Lien hypertexte visité" xfId="243" builtinId="9" hidden="1"/>
    <cellStyle name="Lien hypertexte visité" xfId="245" builtinId="9" hidden="1"/>
    <cellStyle name="Lien hypertexte visité" xfId="247" builtinId="9" hidden="1"/>
    <cellStyle name="Lien hypertexte visité" xfId="249" builtinId="9" hidden="1"/>
    <cellStyle name="Lien hypertexte visité" xfId="251" builtinId="9" hidden="1"/>
    <cellStyle name="Lien hypertexte visité" xfId="253" builtinId="9" hidden="1"/>
    <cellStyle name="Lien hypertexte visité" xfId="255" builtinId="9" hidden="1"/>
    <cellStyle name="Lien hypertexte visité" xfId="257" builtinId="9" hidden="1"/>
    <cellStyle name="Lien hypertexte visité" xfId="259" builtinId="9" hidden="1"/>
    <cellStyle name="Lien hypertexte visité" xfId="261" builtinId="9" hidden="1"/>
    <cellStyle name="Lien hypertexte visité" xfId="263" builtinId="9" hidden="1"/>
    <cellStyle name="Lien hypertexte visité" xfId="265" builtinId="9" hidden="1"/>
    <cellStyle name="Lien hypertexte visité" xfId="267" builtinId="9" hidden="1"/>
    <cellStyle name="Lien hypertexte visité" xfId="269" builtinId="9" hidden="1"/>
    <cellStyle name="Lien hypertexte visité" xfId="271" builtinId="9" hidden="1"/>
    <cellStyle name="Lien hypertexte visité" xfId="273" builtinId="9" hidden="1"/>
    <cellStyle name="Lien hypertexte visité" xfId="275" builtinId="9" hidden="1"/>
    <cellStyle name="Lien hypertexte visité" xfId="277" builtinId="9" hidden="1"/>
    <cellStyle name="Lien hypertexte visité" xfId="279" builtinId="9" hidden="1"/>
    <cellStyle name="Lien hypertexte visité" xfId="281" builtinId="9" hidden="1"/>
    <cellStyle name="Lien hypertexte visité" xfId="283" builtinId="9" hidden="1"/>
    <cellStyle name="Lien hypertexte visité" xfId="285" builtinId="9" hidden="1"/>
    <cellStyle name="Lien hypertexte visité" xfId="287" builtinId="9" hidden="1"/>
    <cellStyle name="Lien hypertexte visité" xfId="289" builtinId="9" hidden="1"/>
    <cellStyle name="Lien hypertexte visité" xfId="291" builtinId="9" hidden="1"/>
    <cellStyle name="Lien hypertexte visité" xfId="293" builtinId="9" hidden="1"/>
    <cellStyle name="Lien hypertexte visité" xfId="295" builtinId="9" hidden="1"/>
    <cellStyle name="Lien hypertexte visité" xfId="297" builtinId="9" hidden="1"/>
    <cellStyle name="Lien hypertexte visité" xfId="299" builtinId="9" hidden="1"/>
    <cellStyle name="Lien hypertexte visité" xfId="301" builtinId="9" hidden="1"/>
    <cellStyle name="Lien hypertexte visité" xfId="303" builtinId="9" hidden="1"/>
    <cellStyle name="Lien hypertexte visité" xfId="305" builtinId="9" hidden="1"/>
    <cellStyle name="Lien hypertexte visité" xfId="307" builtinId="9" hidden="1"/>
    <cellStyle name="Lien hypertexte visité" xfId="309" builtinId="9" hidden="1"/>
    <cellStyle name="Lien hypertexte visité" xfId="311" builtinId="9" hidden="1"/>
    <cellStyle name="Lien hypertexte visité" xfId="313" builtinId="9" hidden="1"/>
    <cellStyle name="Lien hypertexte visité" xfId="315" builtinId="9" hidden="1"/>
    <cellStyle name="Lien hypertexte visité" xfId="317" builtinId="9" hidden="1"/>
    <cellStyle name="Lien hypertexte visité" xfId="319" builtinId="9" hidden="1"/>
    <cellStyle name="Lien hypertexte visité" xfId="321" builtinId="9" hidden="1"/>
    <cellStyle name="Lien hypertexte visité" xfId="323" builtinId="9" hidden="1"/>
    <cellStyle name="Lien hypertexte visité" xfId="325" builtinId="9" hidden="1"/>
    <cellStyle name="Lien hypertexte visité" xfId="327" builtinId="9" hidden="1"/>
    <cellStyle name="Lien hypertexte visité" xfId="329" builtinId="9" hidden="1"/>
    <cellStyle name="Lien hypertexte visité" xfId="331" builtinId="9" hidden="1"/>
    <cellStyle name="Lien hypertexte visité" xfId="333" builtinId="9" hidden="1"/>
    <cellStyle name="Lien hypertexte visité" xfId="335" builtinId="9" hidden="1"/>
    <cellStyle name="Lien hypertexte visité" xfId="337" builtinId="9" hidden="1"/>
    <cellStyle name="Lien hypertexte visité" xfId="339" builtinId="9" hidden="1"/>
    <cellStyle name="Lien hypertexte visité" xfId="341" builtinId="9" hidden="1"/>
    <cellStyle name="Lien hypertexte visité" xfId="343" builtinId="9" hidden="1"/>
    <cellStyle name="Lien hypertexte visité" xfId="345" builtinId="9" hidden="1"/>
    <cellStyle name="Lien hypertexte visité" xfId="347" builtinId="9" hidden="1"/>
    <cellStyle name="Lien hypertexte visité" xfId="349" builtinId="9" hidden="1"/>
    <cellStyle name="Lien hypertexte visité" xfId="351" builtinId="9" hidden="1"/>
    <cellStyle name="Lien hypertexte visité" xfId="353" builtinId="9" hidden="1"/>
    <cellStyle name="Lien hypertexte visité" xfId="355" builtinId="9" hidden="1"/>
    <cellStyle name="Lien hypertexte visité" xfId="357" builtinId="9" hidden="1"/>
    <cellStyle name="Lien hypertexte visité" xfId="359" builtinId="9" hidden="1"/>
    <cellStyle name="Lien hypertexte visité" xfId="361" builtinId="9" hidden="1"/>
    <cellStyle name="Lien hypertexte visité" xfId="363" builtinId="9" hidden="1"/>
    <cellStyle name="Lien hypertexte visité" xfId="365" builtinId="9" hidden="1"/>
    <cellStyle name="Lien hypertexte visité" xfId="367" builtinId="9" hidden="1"/>
    <cellStyle name="Lien hypertexte visité" xfId="369" builtinId="9" hidden="1"/>
    <cellStyle name="Lien hypertexte visité" xfId="371" builtinId="9" hidden="1"/>
    <cellStyle name="Lien hypertexte visité" xfId="373" builtinId="9" hidden="1"/>
    <cellStyle name="Lien hypertexte visité" xfId="375" builtinId="9" hidden="1"/>
    <cellStyle name="Lien hypertexte visité" xfId="377" builtinId="9" hidden="1"/>
    <cellStyle name="Lien hypertexte visité" xfId="379" builtinId="9" hidden="1"/>
    <cellStyle name="Lien hypertexte visité" xfId="381" builtinId="9" hidden="1"/>
    <cellStyle name="Lien hypertexte visité" xfId="383" builtinId="9" hidden="1"/>
    <cellStyle name="Lien hypertexte visité" xfId="385" builtinId="9" hidden="1"/>
    <cellStyle name="Lien hypertexte visité" xfId="387" builtinId="9" hidden="1"/>
    <cellStyle name="Lien hypertexte visité" xfId="389" builtinId="9" hidden="1"/>
    <cellStyle name="Lien hypertexte visité" xfId="391" builtinId="9" hidden="1"/>
    <cellStyle name="Lien hypertexte visité" xfId="393" builtinId="9" hidden="1"/>
    <cellStyle name="Lien hypertexte visité" xfId="395" builtinId="9" hidden="1"/>
    <cellStyle name="Lien hypertexte visité" xfId="397" builtinId="9" hidden="1"/>
    <cellStyle name="Lien hypertexte visité" xfId="399" builtinId="9" hidden="1"/>
    <cellStyle name="Lien hypertexte visité" xfId="401" builtinId="9" hidden="1"/>
    <cellStyle name="Lien hypertexte visité" xfId="403" builtinId="9" hidden="1"/>
    <cellStyle name="Lien hypertexte visité" xfId="405" builtinId="9" hidden="1"/>
    <cellStyle name="Lien hypertexte visité" xfId="407" builtinId="9" hidden="1"/>
    <cellStyle name="Lien hypertexte visité" xfId="409" builtinId="9" hidden="1"/>
    <cellStyle name="Lien hypertexte visité" xfId="411" builtinId="9" hidden="1"/>
    <cellStyle name="Lien hypertexte visité" xfId="413" builtinId="9" hidden="1"/>
    <cellStyle name="Lien hypertexte visité" xfId="415" builtinId="9" hidden="1"/>
    <cellStyle name="Lien hypertexte visité" xfId="417" builtinId="9" hidden="1"/>
    <cellStyle name="Lien hypertexte visité" xfId="419" builtinId="9" hidden="1"/>
    <cellStyle name="Lien hypertexte visité" xfId="421" builtinId="9" hidden="1"/>
    <cellStyle name="Lien hypertexte visité" xfId="423" builtinId="9" hidden="1"/>
    <cellStyle name="Lien hypertexte visité" xfId="425" builtinId="9" hidden="1"/>
    <cellStyle name="Lien hypertexte visité" xfId="427" builtinId="9" hidden="1"/>
    <cellStyle name="Lien hypertexte visité" xfId="429" builtinId="9" hidden="1"/>
    <cellStyle name="Lien hypertexte visité" xfId="431" builtinId="9" hidden="1"/>
    <cellStyle name="Lien hypertexte visité" xfId="433" builtinId="9" hidden="1"/>
    <cellStyle name="Lien hypertexte visité" xfId="435" builtinId="9" hidden="1"/>
    <cellStyle name="Lien hypertexte visité" xfId="437" builtinId="9" hidden="1"/>
    <cellStyle name="Lien hypertexte visité" xfId="439" builtinId="9" hidden="1"/>
    <cellStyle name="Lien hypertexte visité" xfId="441" builtinId="9" hidden="1"/>
    <cellStyle name="Lien hypertexte visité" xfId="443" builtinId="9" hidden="1"/>
    <cellStyle name="Lien hypertexte visité" xfId="445" builtinId="9" hidden="1"/>
    <cellStyle name="Lien hypertexte visité" xfId="447" builtinId="9" hidden="1"/>
    <cellStyle name="Lien hypertexte visité" xfId="449" builtinId="9" hidden="1"/>
    <cellStyle name="Lien hypertexte visité" xfId="451" builtinId="9" hidden="1"/>
    <cellStyle name="Lien hypertexte visité" xfId="453" builtinId="9" hidden="1"/>
    <cellStyle name="Lien hypertexte visité" xfId="455" builtinId="9" hidden="1"/>
    <cellStyle name="Lien hypertexte visité" xfId="457" builtinId="9" hidden="1"/>
    <cellStyle name="Lien hypertexte visité" xfId="459" builtinId="9" hidden="1"/>
    <cellStyle name="Lien hypertexte visité" xfId="461" builtinId="9" hidden="1"/>
    <cellStyle name="Lien hypertexte visité" xfId="463" builtinId="9" hidden="1"/>
    <cellStyle name="Lien hypertexte visité" xfId="465" builtinId="9" hidden="1"/>
    <cellStyle name="Lien hypertexte visité" xfId="467" builtinId="9" hidden="1"/>
    <cellStyle name="Lien hypertexte visité" xfId="469" builtinId="9" hidden="1"/>
    <cellStyle name="Lien hypertexte visité" xfId="471" builtinId="9" hidden="1"/>
    <cellStyle name="Lien hypertexte visité" xfId="473" builtinId="9" hidden="1"/>
    <cellStyle name="Lien hypertexte visité" xfId="475" builtinId="9" hidden="1"/>
    <cellStyle name="Lien hypertexte visité" xfId="477" builtinId="9" hidden="1"/>
    <cellStyle name="Lien hypertexte visité" xfId="479" builtinId="9" hidden="1"/>
    <cellStyle name="Lien hypertexte visité" xfId="481" builtinId="9" hidden="1"/>
    <cellStyle name="Lien hypertexte visité" xfId="483" builtinId="9" hidden="1"/>
    <cellStyle name="Lien hypertexte visité" xfId="485" builtinId="9" hidden="1"/>
    <cellStyle name="Lien hypertexte visité" xfId="487" builtinId="9" hidden="1"/>
    <cellStyle name="Lien hypertexte visité" xfId="489" builtinId="9" hidden="1"/>
    <cellStyle name="Lien hypertexte visité" xfId="491" builtinId="9" hidden="1"/>
    <cellStyle name="Lien hypertexte visité" xfId="493" builtinId="9" hidden="1"/>
    <cellStyle name="Lien hypertexte visité" xfId="495" builtinId="9" hidden="1"/>
    <cellStyle name="Lien hypertexte visité" xfId="497" builtinId="9" hidden="1"/>
    <cellStyle name="Lien hypertexte visité" xfId="499" builtinId="9" hidden="1"/>
    <cellStyle name="Lien hypertexte visité" xfId="501" builtinId="9" hidden="1"/>
    <cellStyle name="Lien hypertexte visité" xfId="503" builtinId="9" hidden="1"/>
    <cellStyle name="Lien hypertexte visité" xfId="505" builtinId="9" hidden="1"/>
    <cellStyle name="Lien hypertexte visité" xfId="507" builtinId="9" hidden="1"/>
    <cellStyle name="Lien hypertexte visité" xfId="509" builtinId="9" hidden="1"/>
    <cellStyle name="Lien hypertexte visité" xfId="511" builtinId="9" hidden="1"/>
    <cellStyle name="Lien hypertexte visité" xfId="513" builtinId="9" hidden="1"/>
    <cellStyle name="Lien hypertexte visité" xfId="515" builtinId="9" hidden="1"/>
    <cellStyle name="Lien hypertexte visité" xfId="517" builtinId="9" hidden="1"/>
    <cellStyle name="Lien hypertexte visité" xfId="519" builtinId="9" hidden="1"/>
    <cellStyle name="Lien hypertexte visité" xfId="521" builtinId="9" hidden="1"/>
    <cellStyle name="Milliers" xfId="538" builtinId="3"/>
    <cellStyle name="Milliers 2" xfId="532"/>
    <cellStyle name="Milliers 3" xfId="536"/>
    <cellStyle name="Milliers 4" xfId="525"/>
    <cellStyle name="Normal" xfId="0" builtinId="0"/>
    <cellStyle name="Normal 2" xfId="22"/>
    <cellStyle name="Normal 2 2" xfId="526"/>
    <cellStyle name="Normal 3" xfId="522"/>
    <cellStyle name="Normal 3 2" xfId="530"/>
    <cellStyle name="Normal 3 2 2" xfId="537"/>
    <cellStyle name="Normal 3 3" xfId="528"/>
    <cellStyle name="Normal 4" xfId="531"/>
    <cellStyle name="Normal 5" xfId="534"/>
    <cellStyle name="Normal 6" xfId="523"/>
    <cellStyle name="Normal 7" xfId="541"/>
    <cellStyle name="Normal 8" xfId="542"/>
    <cellStyle name="Normal_Simul" xfId="539"/>
    <cellStyle name="Normal_Simul_2" xfId="540"/>
    <cellStyle name="Pourcentage" xfId="41" builtinId="5"/>
    <cellStyle name="Pourcentage 2" xfId="533"/>
    <cellStyle name="Pourcentage 3" xfId="527"/>
    <cellStyle name="SAPBEXaggData" xfId="24"/>
    <cellStyle name="SAPBEXaggItem" xfId="25"/>
    <cellStyle name="SAPBEXchaText" xfId="20"/>
    <cellStyle name="SAPBEXformats" xfId="26"/>
    <cellStyle name="SAPBEXstdData" xfId="23"/>
    <cellStyle name="SAPBEXstdItem" xfId="21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color rgb="FFFF0000"/>
      </font>
      <fill>
        <patternFill>
          <bgColor theme="7" tint="0.79998168889431442"/>
        </patternFill>
      </fill>
    </dxf>
  </dxfs>
  <tableStyles count="0" defaultTableStyle="TableStyleMedium9" defaultPivotStyle="PivotStyleMedium4"/>
  <colors>
    <mruColors>
      <color rgb="FFD632CE"/>
      <color rgb="FFE0EFF3"/>
      <color rgb="FFB1D7E1"/>
      <color rgb="FF2F528F"/>
      <color rgb="FF0000FF"/>
      <color rgb="FFF0E8B5"/>
      <color rgb="FFFF5050"/>
      <color rgb="FFE4EBF3"/>
      <color rgb="FFE2E5F3"/>
      <color rgb="FF3D96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of budget needs (MCHF) according to different scenario of hiring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256200588025749E-2"/>
          <c:y val="8.8230738094198971E-2"/>
          <c:w val="0.90517526463817277"/>
          <c:h val="0.68382020329428372"/>
        </c:manualLayout>
      </c:layout>
      <c:lineChart>
        <c:grouping val="standard"/>
        <c:varyColors val="0"/>
        <c:ser>
          <c:idx val="0"/>
          <c:order val="0"/>
          <c:tx>
            <c:strRef>
              <c:f>Menu!$T$34</c:f>
              <c:strCache>
                <c:ptCount val="1"/>
                <c:pt idx="0">
                  <c:v>2019 STI Budget</c:v>
                </c:pt>
              </c:strCache>
            </c:strRef>
          </c:tx>
          <c:spPr>
            <a:ln w="28575" cap="rnd">
              <a:solidFill>
                <a:srgbClr val="FF5050"/>
              </a:solidFill>
              <a:round/>
            </a:ln>
            <a:effectLst/>
          </c:spPr>
          <c:marker>
            <c:symbol val="none"/>
          </c:marker>
          <c:dPt>
            <c:idx val="11"/>
            <c:marker>
              <c:symbol val="none"/>
            </c:marker>
            <c:bubble3D val="0"/>
            <c:spPr>
              <a:ln w="34925" cap="rnd">
                <a:solidFill>
                  <a:srgbClr val="FF5050"/>
                </a:solidFill>
                <a:round/>
              </a:ln>
              <a:effectLst/>
            </c:spPr>
          </c:dPt>
          <c:cat>
            <c:numRef>
              <c:f>Menu!$AD$33:$AO$33</c:f>
              <c:numCache>
                <c:formatCode>General</c:formatCode>
                <c:ptCount val="1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</c:numCache>
            </c:numRef>
          </c:cat>
          <c:val>
            <c:numRef>
              <c:f>Menu!$AD$34:$AO$34</c:f>
              <c:numCache>
                <c:formatCode>0.000</c:formatCode>
                <c:ptCount val="12"/>
                <c:pt idx="0">
                  <c:v>80.599000000000004</c:v>
                </c:pt>
                <c:pt idx="1">
                  <c:v>81.799000000000007</c:v>
                </c:pt>
                <c:pt idx="2">
                  <c:v>83.599000000000004</c:v>
                </c:pt>
                <c:pt idx="3">
                  <c:v>83.599000000000004</c:v>
                </c:pt>
                <c:pt idx="4">
                  <c:v>83.599000000000004</c:v>
                </c:pt>
                <c:pt idx="5">
                  <c:v>83.599000000000004</c:v>
                </c:pt>
                <c:pt idx="6">
                  <c:v>83.599000000000004</c:v>
                </c:pt>
                <c:pt idx="7">
                  <c:v>83.599000000000004</c:v>
                </c:pt>
                <c:pt idx="8">
                  <c:v>83.599000000000004</c:v>
                </c:pt>
                <c:pt idx="9">
                  <c:v>83.599000000000004</c:v>
                </c:pt>
                <c:pt idx="10">
                  <c:v>83.599000000000004</c:v>
                </c:pt>
                <c:pt idx="11">
                  <c:v>83.599000000000004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Menu!$T$35</c:f>
              <c:strCache>
                <c:ptCount val="1"/>
                <c:pt idx="0">
                  <c:v>S0 - stg until 2019, no admin reduction, no hire</c:v>
                </c:pt>
              </c:strCache>
            </c:strRef>
          </c:tx>
          <c:spPr>
            <a:ln w="28575" cap="rnd">
              <a:solidFill>
                <a:srgbClr val="4A7EB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4A7EBB"/>
                </a:solidFill>
              </a:ln>
              <a:effectLst/>
            </c:spPr>
          </c:marker>
          <c:cat>
            <c:numRef>
              <c:f>Menu!$AD$33:$AO$33</c:f>
              <c:numCache>
                <c:formatCode>General</c:formatCode>
                <c:ptCount val="1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</c:numCache>
            </c:numRef>
          </c:cat>
          <c:val>
            <c:numRef>
              <c:f>Menu!$AD$35:$AO$35</c:f>
              <c:numCache>
                <c:formatCode>0.000</c:formatCode>
                <c:ptCount val="12"/>
                <c:pt idx="0">
                  <c:v>80.599000000000004</c:v>
                </c:pt>
                <c:pt idx="1">
                  <c:v>81.865767060416644</c:v>
                </c:pt>
                <c:pt idx="2">
                  <c:v>82.915419837499996</c:v>
                </c:pt>
                <c:pt idx="3">
                  <c:v>84.463305614999996</c:v>
                </c:pt>
                <c:pt idx="4">
                  <c:v>82.200641847499995</c:v>
                </c:pt>
                <c:pt idx="5">
                  <c:v>82.138574043749998</c:v>
                </c:pt>
                <c:pt idx="6">
                  <c:v>83.904297330000006</c:v>
                </c:pt>
                <c:pt idx="7">
                  <c:v>84.965521120833344</c:v>
                </c:pt>
                <c:pt idx="8">
                  <c:v>85.095665233333349</c:v>
                </c:pt>
                <c:pt idx="9">
                  <c:v>83.631906588333337</c:v>
                </c:pt>
                <c:pt idx="10">
                  <c:v>81.430717033124992</c:v>
                </c:pt>
                <c:pt idx="11">
                  <c:v>79.409169868749984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Menu!$T$36</c:f>
              <c:strCache>
                <c:ptCount val="1"/>
                <c:pt idx="0">
                  <c:v>S1 - budget 1000 CHF - impact incompres.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Menu!$AD$36:$AO$36</c:f>
              <c:numCache>
                <c:formatCode>0.000</c:formatCode>
                <c:ptCount val="12"/>
                <c:pt idx="0">
                  <c:v>80.489678562500004</c:v>
                </c:pt>
                <c:pt idx="1">
                  <c:v>80.798242227083321</c:v>
                </c:pt>
                <c:pt idx="2">
                  <c:v>80.940616618749985</c:v>
                </c:pt>
                <c:pt idx="3">
                  <c:v>82.164842223333324</c:v>
                </c:pt>
                <c:pt idx="4">
                  <c:v>79.27127252527778</c:v>
                </c:pt>
                <c:pt idx="5">
                  <c:v>78.805143671527773</c:v>
                </c:pt>
                <c:pt idx="6">
                  <c:v>79.526922503611104</c:v>
                </c:pt>
                <c:pt idx="7">
                  <c:v>80.104407031944419</c:v>
                </c:pt>
                <c:pt idx="8">
                  <c:v>79.794997391666641</c:v>
                </c:pt>
                <c:pt idx="9">
                  <c:v>77.961469129999998</c:v>
                </c:pt>
                <c:pt idx="10">
                  <c:v>75.77955147479166</c:v>
                </c:pt>
                <c:pt idx="11">
                  <c:v>73.188796154166653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Menu!$T$37</c:f>
              <c:strCache>
                <c:ptCount val="1"/>
                <c:pt idx="0">
                  <c:v>S2 - budget 1000 CHF - màj promotions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Menu!$AD$37:$AO$37</c:f>
              <c:numCache>
                <c:formatCode>0.000</c:formatCode>
                <c:ptCount val="12"/>
                <c:pt idx="0">
                  <c:v>80.489678562500004</c:v>
                </c:pt>
                <c:pt idx="1">
                  <c:v>80.744218352083323</c:v>
                </c:pt>
                <c:pt idx="2">
                  <c:v>80.767443993749993</c:v>
                </c:pt>
                <c:pt idx="3">
                  <c:v>81.991669598333331</c:v>
                </c:pt>
                <c:pt idx="4">
                  <c:v>79.112059275277772</c:v>
                </c:pt>
                <c:pt idx="5">
                  <c:v>78.658076171527767</c:v>
                </c:pt>
                <c:pt idx="6">
                  <c:v>79.526922503611104</c:v>
                </c:pt>
                <c:pt idx="7">
                  <c:v>80.076488281944435</c:v>
                </c:pt>
                <c:pt idx="8">
                  <c:v>79.762425516666667</c:v>
                </c:pt>
                <c:pt idx="9">
                  <c:v>77.910284755000006</c:v>
                </c:pt>
                <c:pt idx="10">
                  <c:v>75.728367099791654</c:v>
                </c:pt>
                <c:pt idx="11">
                  <c:v>73.137611779166662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Menu!$T$38</c:f>
              <c:strCache>
                <c:ptCount val="1"/>
                <c:pt idx="0">
                  <c:v>S3 - correction bug Villanueva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Menu!$AD$38:$AO$38</c:f>
              <c:numCache>
                <c:formatCode>0.000</c:formatCode>
                <c:ptCount val="12"/>
                <c:pt idx="0">
                  <c:v>80.489678562500004</c:v>
                </c:pt>
                <c:pt idx="1">
                  <c:v>80.46292997708332</c:v>
                </c:pt>
                <c:pt idx="2">
                  <c:v>80.486155618750004</c:v>
                </c:pt>
                <c:pt idx="3">
                  <c:v>81.710381223333329</c:v>
                </c:pt>
                <c:pt idx="4">
                  <c:v>78.901092994027778</c:v>
                </c:pt>
                <c:pt idx="5">
                  <c:v>78.447109890277758</c:v>
                </c:pt>
                <c:pt idx="6">
                  <c:v>79.315956222361109</c:v>
                </c:pt>
                <c:pt idx="7">
                  <c:v>79.86552200069444</c:v>
                </c:pt>
                <c:pt idx="8">
                  <c:v>79.762425516666667</c:v>
                </c:pt>
                <c:pt idx="9">
                  <c:v>77.910284755000006</c:v>
                </c:pt>
                <c:pt idx="10">
                  <c:v>75.728367099791654</c:v>
                </c:pt>
                <c:pt idx="11">
                  <c:v>73.137611779166662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2096"/>
        <c:axId val="78087976"/>
      </c:lineChart>
      <c:catAx>
        <c:axId val="7808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7976"/>
        <c:crosses val="autoZero"/>
        <c:auto val="1"/>
        <c:lblAlgn val="ctr"/>
        <c:lblOffset val="100"/>
        <c:noMultiLvlLbl val="0"/>
      </c:catAx>
      <c:valAx>
        <c:axId val="78087976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Annual budget needs (MCHF)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198870735351192E-2"/>
          <c:y val="0.81772032210457746"/>
          <c:w val="0.98466640437669795"/>
          <c:h val="0.168006708670154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of the total number of </a:t>
            </a:r>
            <a:r>
              <a:rPr lang="en-US" sz="1400"/>
              <a:t>PATT/PA/PO </a:t>
            </a:r>
            <a:r>
              <a:rPr lang="en-US" sz="1400" b="0" i="0" baseline="0">
                <a:effectLst/>
              </a:rPr>
              <a:t>according to different scenario of hiring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686139643284836E-2"/>
          <c:y val="0.1087683284457478"/>
          <c:w val="0.92467037355417614"/>
          <c:h val="0.65641235827926192"/>
        </c:manualLayout>
      </c:layout>
      <c:lineChart>
        <c:grouping val="standard"/>
        <c:varyColors val="0"/>
        <c:ser>
          <c:idx val="0"/>
          <c:order val="0"/>
          <c:tx>
            <c:strRef>
              <c:f>Menu!$T$35</c:f>
              <c:strCache>
                <c:ptCount val="1"/>
                <c:pt idx="0">
                  <c:v>S0 - stg until 2019, no admin reduction, no hire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Menu!$AR$33:$BC$33</c:f>
              <c:numCache>
                <c:formatCode>General</c:formatCode>
                <c:ptCount val="1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</c:numCache>
            </c:numRef>
          </c:cat>
          <c:val>
            <c:numRef>
              <c:f>Menu!$AR$35:$BC$35</c:f>
              <c:numCache>
                <c:formatCode>General</c:formatCode>
                <c:ptCount val="12"/>
                <c:pt idx="0" formatCode="0">
                  <c:v>87</c:v>
                </c:pt>
                <c:pt idx="1">
                  <c:v>85</c:v>
                </c:pt>
                <c:pt idx="2">
                  <c:v>83</c:v>
                </c:pt>
                <c:pt idx="3">
                  <c:v>80</c:v>
                </c:pt>
                <c:pt idx="4">
                  <c:v>76</c:v>
                </c:pt>
                <c:pt idx="5">
                  <c:v>74</c:v>
                </c:pt>
                <c:pt idx="6">
                  <c:v>73</c:v>
                </c:pt>
                <c:pt idx="7">
                  <c:v>73</c:v>
                </c:pt>
                <c:pt idx="8">
                  <c:v>71</c:v>
                </c:pt>
                <c:pt idx="9">
                  <c:v>68</c:v>
                </c:pt>
                <c:pt idx="10">
                  <c:v>65</c:v>
                </c:pt>
                <c:pt idx="11">
                  <c:v>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Menu!$T$36</c:f>
              <c:strCache>
                <c:ptCount val="1"/>
                <c:pt idx="0">
                  <c:v>S1 - budget 1000 CHF - impact incompres.</c:v>
                </c:pt>
              </c:strCache>
            </c:strRef>
          </c:tx>
          <c:spPr>
            <a:ln w="28575" cap="rnd">
              <a:solidFill>
                <a:srgbClr val="A5A5A5"/>
              </a:solidFill>
              <a:round/>
            </a:ln>
            <a:effectLst/>
          </c:spPr>
          <c:marker>
            <c:symbol val="none"/>
          </c:marker>
          <c:val>
            <c:numRef>
              <c:f>Menu!$AR$36:$BC$36</c:f>
              <c:numCache>
                <c:formatCode>General</c:formatCode>
                <c:ptCount val="12"/>
                <c:pt idx="0" formatCode="0">
                  <c:v>87</c:v>
                </c:pt>
                <c:pt idx="1">
                  <c:v>85</c:v>
                </c:pt>
                <c:pt idx="2">
                  <c:v>83</c:v>
                </c:pt>
                <c:pt idx="3">
                  <c:v>80</c:v>
                </c:pt>
                <c:pt idx="4">
                  <c:v>76</c:v>
                </c:pt>
                <c:pt idx="5">
                  <c:v>74</c:v>
                </c:pt>
                <c:pt idx="6">
                  <c:v>73</c:v>
                </c:pt>
                <c:pt idx="7">
                  <c:v>73</c:v>
                </c:pt>
                <c:pt idx="8">
                  <c:v>71</c:v>
                </c:pt>
                <c:pt idx="9">
                  <c:v>68</c:v>
                </c:pt>
                <c:pt idx="10">
                  <c:v>65</c:v>
                </c:pt>
                <c:pt idx="11">
                  <c:v>64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Menu!$T$37</c:f>
              <c:strCache>
                <c:ptCount val="1"/>
                <c:pt idx="0">
                  <c:v>S2 - budget 1000 CHF - màj promotions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Menu!$AR$37:$BC$37</c:f>
              <c:numCache>
                <c:formatCode>General</c:formatCode>
                <c:ptCount val="12"/>
                <c:pt idx="0" formatCode="0">
                  <c:v>87</c:v>
                </c:pt>
                <c:pt idx="1">
                  <c:v>85</c:v>
                </c:pt>
                <c:pt idx="2">
                  <c:v>83</c:v>
                </c:pt>
                <c:pt idx="3">
                  <c:v>80</c:v>
                </c:pt>
                <c:pt idx="4">
                  <c:v>76</c:v>
                </c:pt>
                <c:pt idx="5">
                  <c:v>74</c:v>
                </c:pt>
                <c:pt idx="6">
                  <c:v>73</c:v>
                </c:pt>
                <c:pt idx="7">
                  <c:v>73</c:v>
                </c:pt>
                <c:pt idx="8">
                  <c:v>71</c:v>
                </c:pt>
                <c:pt idx="9">
                  <c:v>68</c:v>
                </c:pt>
                <c:pt idx="10">
                  <c:v>65</c:v>
                </c:pt>
                <c:pt idx="11">
                  <c:v>64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Menu!$T$38</c:f>
              <c:strCache>
                <c:ptCount val="1"/>
                <c:pt idx="0">
                  <c:v>S3 - correction bug Villanueva</c:v>
                </c:pt>
              </c:strCache>
            </c:strRef>
          </c:tx>
          <c:spPr>
            <a:ln w="28575" cap="rnd">
              <a:solidFill>
                <a:srgbClr val="5B9BD5"/>
              </a:solidFill>
              <a:round/>
            </a:ln>
            <a:effectLst/>
          </c:spPr>
          <c:marker>
            <c:symbol val="none"/>
          </c:marker>
          <c:val>
            <c:numRef>
              <c:f>Menu!$AR$38:$BC$38</c:f>
              <c:numCache>
                <c:formatCode>General</c:formatCode>
                <c:ptCount val="12"/>
                <c:pt idx="0" formatCode="0">
                  <c:v>87</c:v>
                </c:pt>
                <c:pt idx="1">
                  <c:v>85</c:v>
                </c:pt>
                <c:pt idx="2">
                  <c:v>83</c:v>
                </c:pt>
                <c:pt idx="3">
                  <c:v>80</c:v>
                </c:pt>
                <c:pt idx="4">
                  <c:v>76</c:v>
                </c:pt>
                <c:pt idx="5">
                  <c:v>74</c:v>
                </c:pt>
                <c:pt idx="6">
                  <c:v>73</c:v>
                </c:pt>
                <c:pt idx="7">
                  <c:v>73</c:v>
                </c:pt>
                <c:pt idx="8">
                  <c:v>71</c:v>
                </c:pt>
                <c:pt idx="9">
                  <c:v>68</c:v>
                </c:pt>
                <c:pt idx="10">
                  <c:v>65</c:v>
                </c:pt>
                <c:pt idx="11">
                  <c:v>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1704"/>
        <c:axId val="78084056"/>
      </c:lineChart>
      <c:catAx>
        <c:axId val="78081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4056"/>
        <c:crosses val="autoZero"/>
        <c:auto val="1"/>
        <c:lblAlgn val="ctr"/>
        <c:lblOffset val="100"/>
        <c:noMultiLvlLbl val="0"/>
      </c:catAx>
      <c:valAx>
        <c:axId val="7808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1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82457132398857"/>
          <c:y val="0.84200845128962987"/>
          <c:w val="0.70350857352022855"/>
          <c:h val="0.140396240792481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breakdown 2019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6662429140344277E-2"/>
          <c:y val="0.20359560437933155"/>
          <c:w val="0.82667514171931145"/>
          <c:h val="0.562465342720007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3.7284178027993616E-3"/>
                  <c:y val="8.0369191096110112E-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BF8964CA-36D4-4808-B417-7312C21BF90E}" type="VALUE">
                      <a:rPr lang="en-US"/>
                      <a:pPr/>
                      <a:t>[VALEUR]</a:t>
                    </a:fld>
                    <a:r>
                      <a:rPr lang="en-US" baseline="0"/>
                      <a:t>; 0.7%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Simul!$U$11:$U$19</c:f>
              <c:strCache>
                <c:ptCount val="9"/>
                <c:pt idx="0">
                  <c:v>Laboratories</c:v>
                </c:pt>
                <c:pt idx="1">
                  <c:v>Independent scientists</c:v>
                </c:pt>
                <c:pt idx="2">
                  <c:v>Dean's office + IT</c:v>
                </c:pt>
                <c:pt idx="3">
                  <c:v>Sections</c:v>
                </c:pt>
                <c:pt idx="4">
                  <c:v>Institutes</c:v>
                </c:pt>
                <c:pt idx="5">
                  <c:v>DLL</c:v>
                </c:pt>
                <c:pt idx="6">
                  <c:v>Mechanical workshops</c:v>
                </c:pt>
                <c:pt idx="7">
                  <c:v>Other expenses</c:v>
                </c:pt>
                <c:pt idx="8">
                  <c:v>Approved initiatives</c:v>
                </c:pt>
              </c:strCache>
            </c:strRef>
          </c:cat>
          <c:val>
            <c:numRef>
              <c:f>Simul!$W$11:$W$19</c:f>
              <c:numCache>
                <c:formatCode>#\ ##0.0</c:formatCode>
                <c:ptCount val="9"/>
                <c:pt idx="0">
                  <c:v>59.359765500000002</c:v>
                </c:pt>
                <c:pt idx="1">
                  <c:v>5.8296055000000004</c:v>
                </c:pt>
                <c:pt idx="2">
                  <c:v>3.7088185</c:v>
                </c:pt>
                <c:pt idx="3">
                  <c:v>1.5570729999999999</c:v>
                </c:pt>
                <c:pt idx="4">
                  <c:v>2.8696475000000001</c:v>
                </c:pt>
                <c:pt idx="5">
                  <c:v>0.79155799999999998</c:v>
                </c:pt>
                <c:pt idx="6">
                  <c:v>3.8351427500000002</c:v>
                </c:pt>
                <c:pt idx="7">
                  <c:v>2.276878</c:v>
                </c:pt>
                <c:pt idx="8">
                  <c:v>0.371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228600</xdr:colOff>
      <xdr:row>6</xdr:row>
      <xdr:rowOff>3175</xdr:rowOff>
    </xdr:from>
    <xdr:to>
      <xdr:col>18</xdr:col>
      <xdr:colOff>5080</xdr:colOff>
      <xdr:row>29</xdr:row>
      <xdr:rowOff>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231774</xdr:colOff>
      <xdr:row>30</xdr:row>
      <xdr:rowOff>9525</xdr:rowOff>
    </xdr:from>
    <xdr:to>
      <xdr:col>17</xdr:col>
      <xdr:colOff>755592</xdr:colOff>
      <xdr:row>50</xdr:row>
      <xdr:rowOff>6350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393700</xdr:colOff>
      <xdr:row>2</xdr:row>
      <xdr:rowOff>88900</xdr:rowOff>
    </xdr:from>
    <xdr:to>
      <xdr:col>17</xdr:col>
      <xdr:colOff>393700</xdr:colOff>
      <xdr:row>3</xdr:row>
      <xdr:rowOff>203200</xdr:rowOff>
    </xdr:to>
    <xdr:sp macro="[0]!Lancer" textlink="">
      <xdr:nvSpPr>
        <xdr:cNvPr id="5" name="Chevron 4"/>
        <xdr:cNvSpPr/>
      </xdr:nvSpPr>
      <xdr:spPr>
        <a:xfrm>
          <a:off x="11099800" y="419100"/>
          <a:ext cx="762000" cy="406400"/>
        </a:xfrm>
        <a:prstGeom prst="chevron">
          <a:avLst/>
        </a:prstGeom>
        <a:solidFill>
          <a:srgbClr val="B1D7E1"/>
        </a:solidFill>
        <a:ln>
          <a:solidFill>
            <a:srgbClr val="2F52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0"/>
        <a:lstStyle/>
        <a:p>
          <a:pPr algn="l"/>
          <a:r>
            <a:rPr lang="en-US" sz="1100" b="1">
              <a:solidFill>
                <a:srgbClr val="2F528F"/>
              </a:solidFill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93810</xdr:colOff>
      <xdr:row>36</xdr:row>
      <xdr:rowOff>44424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0735"/>
        <a:stretch/>
      </xdr:blipFill>
      <xdr:spPr>
        <a:xfrm>
          <a:off x="1" y="1"/>
          <a:ext cx="11523809" cy="579117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133351</xdr:rowOff>
    </xdr:from>
    <xdr:to>
      <xdr:col>15</xdr:col>
      <xdr:colOff>67143</xdr:colOff>
      <xdr:row>75</xdr:row>
      <xdr:rowOff>46973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997"/>
        <a:stretch/>
      </xdr:blipFill>
      <xdr:spPr>
        <a:xfrm>
          <a:off x="0" y="5689601"/>
          <a:ext cx="11497143" cy="62636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612774</xdr:colOff>
      <xdr:row>25</xdr:row>
      <xdr:rowOff>165099</xdr:rowOff>
    </xdr:from>
    <xdr:to>
      <xdr:col>26</xdr:col>
      <xdr:colOff>393699</xdr:colOff>
      <xdr:row>48</xdr:row>
      <xdr:rowOff>60572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ouilla/Documents/Vue%20CF/CF0851_LMC_Scrivener/F0851_EtatGlobal_201903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0851"/>
      <sheetName val="EvolB"/>
      <sheetName val="Fdt"/>
      <sheetName val="RH"/>
      <sheetName val="Decpte Salaire"/>
      <sheetName val="Salary Pl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earch.epfl.ch/browseunit.do?unitdn=ou%3dUPGUIDUC1%2cou%3dIBI2%2cou%3dSTI%2co%3dEPFL%2cc%3dch" TargetMode="Externa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/>
  <dimension ref="B2:BC69"/>
  <sheetViews>
    <sheetView tabSelected="1" zoomScale="90" zoomScaleNormal="90" workbookViewId="0">
      <selection activeCell="S39" sqref="S39"/>
    </sheetView>
  </sheetViews>
  <sheetFormatPr baseColWidth="10" defaultColWidth="10.90625" defaultRowHeight="13" x14ac:dyDescent="0.25"/>
  <cols>
    <col min="1" max="2" width="2.6328125" style="111" customWidth="1"/>
    <col min="3" max="3" width="10.90625" style="111"/>
    <col min="4" max="4" width="11.6328125" style="111" customWidth="1"/>
    <col min="5" max="5" width="13.90625" style="111" bestFit="1" customWidth="1"/>
    <col min="6" max="6" width="10.90625" style="111"/>
    <col min="7" max="7" width="12.08984375" style="111" customWidth="1"/>
    <col min="8" max="8" width="3.26953125" style="111" customWidth="1"/>
    <col min="9" max="9" width="10.90625" style="111"/>
    <col min="10" max="17" width="16" style="111" customWidth="1"/>
    <col min="18" max="18" width="10.90625" style="111"/>
    <col min="19" max="19" width="3.81640625" style="189" customWidth="1"/>
    <col min="20" max="20" width="54.90625" style="111" customWidth="1"/>
    <col min="21" max="24" width="7.6328125" style="111" customWidth="1"/>
    <col min="25" max="29" width="8.6328125" style="111" customWidth="1"/>
    <col min="30" max="43" width="9.6328125" style="111" customWidth="1"/>
    <col min="44" max="16384" width="10.90625" style="111"/>
  </cols>
  <sheetData>
    <row r="2" spans="2:23" x14ac:dyDescent="0.25">
      <c r="B2" s="108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10"/>
    </row>
    <row r="3" spans="2:23" ht="23" customHeight="1" x14ac:dyDescent="0.25">
      <c r="B3" s="112"/>
      <c r="C3" s="336" t="s">
        <v>416</v>
      </c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113"/>
    </row>
    <row r="4" spans="2:23" ht="23" customHeight="1" x14ac:dyDescent="0.25">
      <c r="B4" s="112"/>
      <c r="C4" s="336" t="s">
        <v>415</v>
      </c>
      <c r="D4" s="336"/>
      <c r="E4" s="336"/>
      <c r="F4" s="336"/>
      <c r="G4" s="336"/>
      <c r="H4" s="336"/>
      <c r="I4" s="336"/>
      <c r="J4" s="336"/>
      <c r="K4" s="336"/>
      <c r="L4" s="336"/>
      <c r="M4" s="336"/>
      <c r="N4" s="336"/>
      <c r="O4" s="336"/>
      <c r="P4" s="336"/>
      <c r="Q4" s="336"/>
      <c r="R4" s="113"/>
    </row>
    <row r="5" spans="2:23" x14ac:dyDescent="0.25">
      <c r="B5" s="114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6"/>
    </row>
    <row r="7" spans="2:23" x14ac:dyDescent="0.25">
      <c r="B7" s="108"/>
      <c r="C7" s="109"/>
      <c r="D7" s="109"/>
      <c r="E7" s="109"/>
      <c r="F7" s="109"/>
      <c r="G7" s="109"/>
      <c r="H7" s="110"/>
      <c r="T7" s="129" t="s">
        <v>424</v>
      </c>
    </row>
    <row r="8" spans="2:23" ht="19" customHeight="1" x14ac:dyDescent="0.25">
      <c r="B8" s="112"/>
      <c r="C8" s="117" t="s">
        <v>419</v>
      </c>
      <c r="D8" s="118"/>
      <c r="E8" s="118"/>
      <c r="F8" s="118"/>
      <c r="G8" s="118"/>
      <c r="H8" s="113"/>
      <c r="U8" s="217" t="s">
        <v>463</v>
      </c>
      <c r="V8" s="217" t="s">
        <v>463</v>
      </c>
    </row>
    <row r="9" spans="2:23" ht="12" customHeight="1" x14ac:dyDescent="0.25">
      <c r="B9" s="112"/>
      <c r="C9" s="118"/>
      <c r="D9" s="118"/>
      <c r="E9" s="118"/>
      <c r="F9" s="118"/>
      <c r="G9" s="118"/>
      <c r="H9" s="113"/>
      <c r="T9" s="186" t="s">
        <v>443</v>
      </c>
      <c r="U9" s="187" t="s">
        <v>154</v>
      </c>
      <c r="V9" s="186" t="s">
        <v>454</v>
      </c>
    </row>
    <row r="10" spans="2:23" ht="19" customHeight="1" x14ac:dyDescent="0.25">
      <c r="B10" s="112"/>
      <c r="C10" s="118" t="s">
        <v>408</v>
      </c>
      <c r="D10" s="118"/>
      <c r="E10" s="122">
        <v>6</v>
      </c>
      <c r="F10" s="118" t="s">
        <v>409</v>
      </c>
      <c r="G10" s="118"/>
      <c r="H10" s="113"/>
      <c r="T10" s="209" t="s">
        <v>451</v>
      </c>
      <c r="U10" s="215">
        <f>$AP34</f>
        <v>917.78900000000021</v>
      </c>
      <c r="V10" s="209"/>
    </row>
    <row r="11" spans="2:23" ht="19" customHeight="1" x14ac:dyDescent="0.25">
      <c r="B11" s="112"/>
      <c r="C11" s="118"/>
      <c r="D11" s="118"/>
      <c r="E11" s="122">
        <v>9</v>
      </c>
      <c r="F11" s="118" t="s">
        <v>410</v>
      </c>
      <c r="G11" s="118"/>
      <c r="H11" s="113"/>
      <c r="T11" s="209" t="str">
        <f>T35</f>
        <v>S0 - stg until 2019, no admin reduction, no hire</v>
      </c>
      <c r="U11" s="215">
        <f>$AP35</f>
        <v>912.02098557854174</v>
      </c>
      <c r="V11" s="218">
        <f>U11-$U$10</f>
        <v>-5.7680144214584743</v>
      </c>
      <c r="W11" s="111" t="s">
        <v>455</v>
      </c>
    </row>
    <row r="12" spans="2:23" ht="12" customHeight="1" x14ac:dyDescent="0.25">
      <c r="B12" s="112"/>
      <c r="C12" s="118"/>
      <c r="D12" s="118"/>
      <c r="E12" s="119"/>
      <c r="F12" s="118"/>
      <c r="G12" s="118"/>
      <c r="H12" s="113"/>
      <c r="T12" s="209" t="str">
        <f>T36</f>
        <v>S1 - budget 1000 CHF - impact incompres.</v>
      </c>
      <c r="U12" s="215">
        <v>868.33626095215266</v>
      </c>
      <c r="V12" s="218">
        <f>U12-$U$10</f>
        <v>-49.452739047847558</v>
      </c>
    </row>
    <row r="13" spans="2:23" ht="19" customHeight="1" x14ac:dyDescent="0.25">
      <c r="B13" s="112"/>
      <c r="C13" s="118" t="s">
        <v>411</v>
      </c>
      <c r="D13" s="118"/>
      <c r="E13" s="122">
        <v>6</v>
      </c>
      <c r="F13" s="118" t="s">
        <v>409</v>
      </c>
      <c r="G13" s="118"/>
      <c r="H13" s="113"/>
      <c r="T13" s="209" t="str">
        <f>T37</f>
        <v>S2 - budget 1000 CHF - màj promotions</v>
      </c>
      <c r="U13" s="215">
        <v>867.41556732715276</v>
      </c>
      <c r="V13" s="218">
        <f>U13-$U$10</f>
        <v>-50.373432672847457</v>
      </c>
      <c r="W13" s="219"/>
    </row>
    <row r="14" spans="2:23" ht="19" customHeight="1" x14ac:dyDescent="0.25">
      <c r="B14" s="112"/>
      <c r="C14" s="118"/>
      <c r="D14" s="118"/>
      <c r="E14" s="122">
        <v>9</v>
      </c>
      <c r="F14" s="118" t="s">
        <v>410</v>
      </c>
      <c r="G14" s="118"/>
      <c r="H14" s="113"/>
      <c r="T14" s="209" t="str">
        <f>T38</f>
        <v>S3 - correction bug Villanueva</v>
      </c>
      <c r="U14" s="215">
        <v>866.13208707715262</v>
      </c>
      <c r="V14" s="218">
        <f>U14-$U$10</f>
        <v>-51.656912922847596</v>
      </c>
    </row>
    <row r="15" spans="2:23" ht="19" customHeight="1" x14ac:dyDescent="0.25">
      <c r="B15" s="112"/>
      <c r="C15" s="118"/>
      <c r="D15" s="118"/>
      <c r="E15" s="118"/>
      <c r="F15" s="118"/>
      <c r="G15" s="118"/>
      <c r="H15" s="113"/>
      <c r="U15" s="216"/>
      <c r="V15" s="219"/>
    </row>
    <row r="16" spans="2:23" ht="19" customHeight="1" x14ac:dyDescent="0.25">
      <c r="B16" s="112"/>
      <c r="C16" s="117" t="s">
        <v>420</v>
      </c>
      <c r="D16" s="118"/>
      <c r="E16" s="118"/>
      <c r="F16" s="118"/>
      <c r="G16" s="118"/>
      <c r="H16" s="113"/>
      <c r="U16" s="216"/>
      <c r="V16" s="219"/>
      <c r="W16" s="219"/>
    </row>
    <row r="17" spans="2:43" ht="25" customHeight="1" x14ac:dyDescent="0.25">
      <c r="B17" s="112"/>
      <c r="C17" s="118"/>
      <c r="D17" s="118"/>
      <c r="E17" s="118"/>
      <c r="F17" s="118"/>
      <c r="G17" s="264" t="s">
        <v>536</v>
      </c>
      <c r="H17" s="113"/>
      <c r="U17" s="216"/>
      <c r="V17" s="219"/>
      <c r="W17" s="219"/>
    </row>
    <row r="18" spans="2:43" ht="19" customHeight="1" x14ac:dyDescent="0.25">
      <c r="B18" s="112"/>
      <c r="C18" s="118" t="s">
        <v>421</v>
      </c>
      <c r="D18" s="118"/>
      <c r="E18" s="337" t="s">
        <v>535</v>
      </c>
      <c r="F18" s="337"/>
      <c r="G18" s="265">
        <v>5</v>
      </c>
      <c r="H18" s="113"/>
      <c r="U18" s="216"/>
      <c r="V18" s="219"/>
      <c r="W18" s="260"/>
      <c r="X18" s="260"/>
    </row>
    <row r="19" spans="2:43" ht="19" customHeight="1" x14ac:dyDescent="0.25">
      <c r="B19" s="112"/>
      <c r="C19" s="118"/>
      <c r="D19" s="118"/>
      <c r="E19" s="272" t="s">
        <v>540</v>
      </c>
      <c r="F19" s="272"/>
      <c r="G19" s="273">
        <v>2021</v>
      </c>
      <c r="H19" s="113"/>
      <c r="U19" s="216"/>
      <c r="V19" s="219"/>
    </row>
    <row r="20" spans="2:43" ht="19" customHeight="1" x14ac:dyDescent="0.25">
      <c r="B20" s="112"/>
      <c r="C20" s="118"/>
      <c r="D20" s="119" t="s">
        <v>417</v>
      </c>
      <c r="E20" s="118"/>
      <c r="F20" s="127"/>
      <c r="G20" s="127" t="s">
        <v>412</v>
      </c>
      <c r="H20" s="113"/>
      <c r="U20" s="216"/>
      <c r="V20" s="219"/>
    </row>
    <row r="21" spans="2:43" ht="19" customHeight="1" x14ac:dyDescent="0.25">
      <c r="B21" s="112"/>
      <c r="C21" s="118"/>
      <c r="D21" s="120" t="s">
        <v>381</v>
      </c>
      <c r="E21" s="222" t="s">
        <v>465</v>
      </c>
      <c r="F21" s="222" t="s">
        <v>466</v>
      </c>
      <c r="G21" s="120" t="s">
        <v>413</v>
      </c>
      <c r="H21" s="113"/>
      <c r="U21" s="216"/>
      <c r="V21" s="219"/>
    </row>
    <row r="22" spans="2:43" ht="19" customHeight="1" x14ac:dyDescent="0.25">
      <c r="B22" s="112"/>
      <c r="C22" s="118" t="s">
        <v>133</v>
      </c>
      <c r="D22" s="192">
        <f>E22*1.225+F22</f>
        <v>442</v>
      </c>
      <c r="E22" s="191">
        <v>320</v>
      </c>
      <c r="F22" s="191">
        <v>50</v>
      </c>
      <c r="G22" s="192">
        <v>33</v>
      </c>
      <c r="H22" s="113"/>
      <c r="U22" s="216"/>
      <c r="V22" s="219"/>
    </row>
    <row r="23" spans="2:43" ht="19" customHeight="1" x14ac:dyDescent="0.25">
      <c r="B23" s="112"/>
      <c r="C23" s="118" t="s">
        <v>134</v>
      </c>
      <c r="D23" s="192">
        <f>E23*1.225+F23</f>
        <v>721.1875</v>
      </c>
      <c r="E23" s="266">
        <v>527.5</v>
      </c>
      <c r="F23" s="266">
        <v>75</v>
      </c>
      <c r="G23" s="192">
        <v>38</v>
      </c>
      <c r="H23" s="113"/>
      <c r="U23" s="216"/>
      <c r="V23" s="219"/>
    </row>
    <row r="24" spans="2:43" ht="19" customHeight="1" x14ac:dyDescent="0.25">
      <c r="B24" s="112"/>
      <c r="C24" s="118" t="s">
        <v>135</v>
      </c>
      <c r="D24" s="192">
        <f>E24*1.225+F24</f>
        <v>1000.3750000000001</v>
      </c>
      <c r="E24" s="249">
        <v>735</v>
      </c>
      <c r="F24" s="249">
        <v>100</v>
      </c>
      <c r="G24" s="192">
        <v>43</v>
      </c>
      <c r="H24" s="113"/>
      <c r="U24" s="216"/>
      <c r="V24" s="219"/>
    </row>
    <row r="25" spans="2:43" ht="19" customHeight="1" x14ac:dyDescent="0.25">
      <c r="B25" s="112"/>
      <c r="C25" s="121" t="s">
        <v>418</v>
      </c>
      <c r="D25" s="118"/>
      <c r="E25" s="118"/>
      <c r="F25" s="118"/>
      <c r="G25" s="118"/>
      <c r="H25" s="113"/>
      <c r="U25" s="216"/>
      <c r="V25" s="219"/>
    </row>
    <row r="26" spans="2:43" ht="19" customHeight="1" x14ac:dyDescent="0.25">
      <c r="B26" s="112"/>
      <c r="C26" s="237" t="s">
        <v>488</v>
      </c>
      <c r="D26" s="118"/>
      <c r="E26" s="238" t="s">
        <v>538</v>
      </c>
      <c r="F26" s="118"/>
      <c r="G26" s="118"/>
      <c r="H26" s="113"/>
      <c r="U26" s="216"/>
      <c r="V26" s="219"/>
    </row>
    <row r="27" spans="2:43" ht="27" customHeight="1" x14ac:dyDescent="0.25">
      <c r="B27" s="112"/>
      <c r="C27" s="118" t="s">
        <v>422</v>
      </c>
      <c r="D27" s="118"/>
      <c r="E27" s="118"/>
      <c r="F27" s="118"/>
      <c r="G27" s="118"/>
      <c r="H27" s="113"/>
      <c r="U27" s="216"/>
      <c r="V27" s="219"/>
    </row>
    <row r="28" spans="2:43" ht="19" customHeight="1" x14ac:dyDescent="0.25">
      <c r="B28" s="112"/>
      <c r="C28" s="121"/>
      <c r="D28" s="126">
        <v>0</v>
      </c>
      <c r="E28" s="118" t="s">
        <v>423</v>
      </c>
      <c r="F28" s="125">
        <v>4</v>
      </c>
      <c r="G28" s="111" t="s">
        <v>409</v>
      </c>
      <c r="H28" s="113"/>
      <c r="U28" s="216"/>
      <c r="V28" s="219"/>
    </row>
    <row r="29" spans="2:43" x14ac:dyDescent="0.25">
      <c r="B29" s="114"/>
      <c r="C29" s="115"/>
      <c r="D29" s="115"/>
      <c r="E29" s="115"/>
      <c r="F29" s="115"/>
      <c r="G29" s="115"/>
      <c r="H29" s="116"/>
      <c r="U29" s="216"/>
      <c r="V29" s="219"/>
    </row>
    <row r="30" spans="2:43" x14ac:dyDescent="0.25">
      <c r="U30" s="216"/>
      <c r="V30" s="219"/>
    </row>
    <row r="31" spans="2:43" x14ac:dyDescent="0.25">
      <c r="B31" s="108"/>
      <c r="C31" s="109"/>
      <c r="D31" s="109"/>
      <c r="E31" s="109"/>
      <c r="F31" s="109"/>
      <c r="G31" s="109"/>
      <c r="H31" s="110"/>
      <c r="T31" s="129"/>
      <c r="U31" s="216"/>
      <c r="V31" s="219"/>
    </row>
    <row r="32" spans="2:43" ht="19" customHeight="1" x14ac:dyDescent="0.25">
      <c r="B32" s="112"/>
      <c r="C32" s="117" t="s">
        <v>414</v>
      </c>
      <c r="D32" s="118"/>
      <c r="E32" s="118"/>
      <c r="F32" s="118"/>
      <c r="G32" s="118"/>
      <c r="H32" s="113"/>
      <c r="T32" s="236" t="s">
        <v>487</v>
      </c>
      <c r="U32" s="216"/>
      <c r="V32" s="219"/>
      <c r="AE32" s="193"/>
      <c r="AF32" s="193"/>
      <c r="AP32" s="111" t="s">
        <v>526</v>
      </c>
      <c r="AQ32" s="111" t="s">
        <v>546</v>
      </c>
    </row>
    <row r="33" spans="2:55" ht="19" customHeight="1" x14ac:dyDescent="0.25">
      <c r="B33" s="112"/>
      <c r="C33" s="118"/>
      <c r="D33" s="118"/>
      <c r="E33" s="118"/>
      <c r="F33" s="118"/>
      <c r="G33" s="118"/>
      <c r="H33" s="113"/>
      <c r="T33" s="186" t="s">
        <v>443</v>
      </c>
      <c r="U33" s="187" t="s">
        <v>444</v>
      </c>
      <c r="V33" s="187" t="s">
        <v>445</v>
      </c>
      <c r="W33" s="187" t="s">
        <v>446</v>
      </c>
      <c r="X33" s="187" t="s">
        <v>447</v>
      </c>
      <c r="Y33" s="187" t="s">
        <v>448</v>
      </c>
      <c r="Z33" s="187" t="s">
        <v>449</v>
      </c>
      <c r="AA33" s="187" t="s">
        <v>450</v>
      </c>
      <c r="AB33" s="187" t="s">
        <v>544</v>
      </c>
      <c r="AC33" s="188" t="s">
        <v>545</v>
      </c>
      <c r="AD33" s="187">
        <v>2019</v>
      </c>
      <c r="AE33" s="187">
        <v>2020</v>
      </c>
      <c r="AF33" s="187">
        <v>2021</v>
      </c>
      <c r="AG33" s="187">
        <v>2022</v>
      </c>
      <c r="AH33" s="187">
        <v>2023</v>
      </c>
      <c r="AI33" s="187">
        <v>2024</v>
      </c>
      <c r="AJ33" s="187">
        <v>2025</v>
      </c>
      <c r="AK33" s="187">
        <v>2026</v>
      </c>
      <c r="AL33" s="187">
        <v>2027</v>
      </c>
      <c r="AM33" s="187">
        <v>2028</v>
      </c>
      <c r="AN33" s="187">
        <v>2029</v>
      </c>
      <c r="AO33" s="188">
        <v>2030</v>
      </c>
      <c r="AP33" s="188" t="s">
        <v>154</v>
      </c>
      <c r="AQ33" s="188" t="s">
        <v>154</v>
      </c>
      <c r="AR33" s="187">
        <v>2019</v>
      </c>
      <c r="AS33" s="187">
        <v>2020</v>
      </c>
      <c r="AT33" s="187">
        <v>2021</v>
      </c>
      <c r="AU33" s="187">
        <v>2022</v>
      </c>
      <c r="AV33" s="187">
        <v>2023</v>
      </c>
      <c r="AW33" s="187">
        <v>2024</v>
      </c>
      <c r="AX33" s="187">
        <v>2025</v>
      </c>
      <c r="AY33" s="187">
        <v>2026</v>
      </c>
      <c r="AZ33" s="187">
        <v>2027</v>
      </c>
      <c r="BA33" s="187">
        <v>2028</v>
      </c>
      <c r="BB33" s="187">
        <v>2029</v>
      </c>
      <c r="BC33" s="188">
        <v>2030</v>
      </c>
    </row>
    <row r="34" spans="2:55" ht="19" customHeight="1" x14ac:dyDescent="0.25">
      <c r="B34" s="112"/>
      <c r="C34" s="118"/>
      <c r="D34" s="119" t="s">
        <v>133</v>
      </c>
      <c r="E34" s="119" t="s">
        <v>134</v>
      </c>
      <c r="F34" s="119" t="s">
        <v>135</v>
      </c>
      <c r="G34" s="221" t="s">
        <v>464</v>
      </c>
      <c r="H34" s="113"/>
      <c r="T34" s="209" t="s">
        <v>451</v>
      </c>
      <c r="U34" s="209"/>
      <c r="V34" s="209"/>
      <c r="W34" s="209"/>
      <c r="X34" s="209"/>
      <c r="Y34" s="209"/>
      <c r="Z34" s="209"/>
      <c r="AA34" s="209"/>
      <c r="AB34" s="209"/>
      <c r="AC34" s="210"/>
      <c r="AD34" s="211">
        <v>80.599000000000004</v>
      </c>
      <c r="AE34" s="211">
        <f>AD34*(1+$G$35)</f>
        <v>81.799000000000007</v>
      </c>
      <c r="AF34" s="211">
        <f>AE34*(1+$G$36)</f>
        <v>83.599000000000004</v>
      </c>
      <c r="AG34" s="211">
        <f>AF34*(1+$G$37)</f>
        <v>83.599000000000004</v>
      </c>
      <c r="AH34" s="211">
        <f>AG34*(1+$G$38)</f>
        <v>83.599000000000004</v>
      </c>
      <c r="AI34" s="211">
        <f>AH34*(1+$G$39)</f>
        <v>83.599000000000004</v>
      </c>
      <c r="AJ34" s="211">
        <f>AI34*(1+$G$40)</f>
        <v>83.599000000000004</v>
      </c>
      <c r="AK34" s="211">
        <f>AJ34*(1+$G$41)</f>
        <v>83.599000000000004</v>
      </c>
      <c r="AL34" s="211">
        <f>AK34*(1+$G$42)</f>
        <v>83.599000000000004</v>
      </c>
      <c r="AM34" s="211">
        <f>AL34*(1+$G$43)</f>
        <v>83.599000000000004</v>
      </c>
      <c r="AN34" s="211">
        <f>AM34*(1+$G$3544)</f>
        <v>83.599000000000004</v>
      </c>
      <c r="AO34" s="212">
        <f>AN34*(1+$G$45)</f>
        <v>83.599000000000004</v>
      </c>
      <c r="AP34" s="269">
        <f>SUM(AE34:AO34)</f>
        <v>917.78900000000021</v>
      </c>
      <c r="AQ34" s="268">
        <f>SUM(AE34:AJ34)</f>
        <v>499.79399999999998</v>
      </c>
      <c r="AR34" s="209"/>
      <c r="AS34" s="209"/>
      <c r="AT34" s="209"/>
      <c r="AU34" s="209"/>
      <c r="AV34" s="209"/>
      <c r="AW34" s="209"/>
      <c r="AX34" s="209"/>
      <c r="AY34" s="209"/>
      <c r="AZ34" s="209"/>
      <c r="BA34" s="209"/>
      <c r="BB34" s="209"/>
      <c r="BC34" s="209"/>
    </row>
    <row r="35" spans="2:55" ht="19" customHeight="1" x14ac:dyDescent="0.25">
      <c r="B35" s="112"/>
      <c r="C35" s="118">
        <v>2020</v>
      </c>
      <c r="D35" s="122"/>
      <c r="E35" s="122">
        <v>1</v>
      </c>
      <c r="F35" s="122"/>
      <c r="G35" s="248">
        <f>1.2/AD34</f>
        <v>1.4888522190101613E-2</v>
      </c>
      <c r="H35" s="113"/>
      <c r="T35" s="209" t="s">
        <v>534</v>
      </c>
      <c r="U35" s="213">
        <v>6</v>
      </c>
      <c r="V35" s="213">
        <v>9</v>
      </c>
      <c r="W35" s="213">
        <v>6</v>
      </c>
      <c r="X35" s="213">
        <v>9</v>
      </c>
      <c r="Y35" s="214">
        <v>442</v>
      </c>
      <c r="Z35" s="214">
        <v>784.375</v>
      </c>
      <c r="AA35" s="214">
        <v>1077.75</v>
      </c>
      <c r="AB35" s="214">
        <v>0</v>
      </c>
      <c r="AC35" s="210">
        <v>4</v>
      </c>
      <c r="AD35" s="211">
        <v>80.599000000000004</v>
      </c>
      <c r="AE35" s="211">
        <v>81.865767060416644</v>
      </c>
      <c r="AF35" s="211">
        <v>82.915419837499996</v>
      </c>
      <c r="AG35" s="211">
        <v>84.463305614999996</v>
      </c>
      <c r="AH35" s="211">
        <v>82.200641847499995</v>
      </c>
      <c r="AI35" s="211">
        <v>82.138574043749998</v>
      </c>
      <c r="AJ35" s="211">
        <v>83.904297330000006</v>
      </c>
      <c r="AK35" s="211">
        <v>84.965521120833344</v>
      </c>
      <c r="AL35" s="211">
        <v>85.095665233333349</v>
      </c>
      <c r="AM35" s="211">
        <v>83.631906588333337</v>
      </c>
      <c r="AN35" s="211">
        <v>81.430717033124992</v>
      </c>
      <c r="AO35" s="212">
        <v>79.409169868749984</v>
      </c>
      <c r="AP35" s="269">
        <f>SUM(AE35:AO35)</f>
        <v>912.02098557854174</v>
      </c>
      <c r="AQ35" s="269">
        <f>SUM(AE35:AJ35)</f>
        <v>497.48800573416668</v>
      </c>
      <c r="AR35" s="270">
        <v>87</v>
      </c>
      <c r="AS35" s="209">
        <v>85</v>
      </c>
      <c r="AT35" s="209">
        <v>83</v>
      </c>
      <c r="AU35" s="209">
        <v>80</v>
      </c>
      <c r="AV35" s="209">
        <v>76</v>
      </c>
      <c r="AW35" s="209">
        <v>74</v>
      </c>
      <c r="AX35" s="209">
        <v>73</v>
      </c>
      <c r="AY35" s="209">
        <v>73</v>
      </c>
      <c r="AZ35" s="209">
        <v>71</v>
      </c>
      <c r="BA35" s="209">
        <v>68</v>
      </c>
      <c r="BB35" s="209">
        <v>65</v>
      </c>
      <c r="BC35" s="209">
        <v>64</v>
      </c>
    </row>
    <row r="36" spans="2:55" ht="19" customHeight="1" x14ac:dyDescent="0.25">
      <c r="B36" s="112"/>
      <c r="C36" s="118">
        <v>2021</v>
      </c>
      <c r="D36" s="122"/>
      <c r="E36" s="122"/>
      <c r="F36" s="122"/>
      <c r="G36" s="248">
        <f>(3-1.2)/AE34</f>
        <v>2.2005158987273683E-2</v>
      </c>
      <c r="H36" s="113"/>
      <c r="T36" s="209" t="s">
        <v>1362</v>
      </c>
      <c r="U36" s="213">
        <v>6</v>
      </c>
      <c r="V36" s="213">
        <v>9</v>
      </c>
      <c r="W36" s="213">
        <v>6</v>
      </c>
      <c r="X36" s="213">
        <v>9</v>
      </c>
      <c r="Y36" s="214">
        <v>442</v>
      </c>
      <c r="Z36" s="214">
        <v>721.1875</v>
      </c>
      <c r="AA36" s="214">
        <v>1000.3750000000001</v>
      </c>
      <c r="AB36" s="214">
        <v>5</v>
      </c>
      <c r="AC36" s="210">
        <v>0</v>
      </c>
      <c r="AD36" s="211">
        <v>80.489678562500004</v>
      </c>
      <c r="AE36" s="211">
        <v>80.798242227083321</v>
      </c>
      <c r="AF36" s="211">
        <v>80.940616618749985</v>
      </c>
      <c r="AG36" s="211">
        <v>82.164842223333324</v>
      </c>
      <c r="AH36" s="211">
        <v>79.27127252527778</v>
      </c>
      <c r="AI36" s="211">
        <v>78.805143671527773</v>
      </c>
      <c r="AJ36" s="211">
        <v>79.526922503611104</v>
      </c>
      <c r="AK36" s="211">
        <v>80.104407031944419</v>
      </c>
      <c r="AL36" s="211">
        <v>79.794997391666641</v>
      </c>
      <c r="AM36" s="211">
        <v>77.961469129999998</v>
      </c>
      <c r="AN36" s="211">
        <v>75.77955147479166</v>
      </c>
      <c r="AO36" s="212">
        <v>73.188796154166653</v>
      </c>
      <c r="AP36" s="269">
        <v>868.33626095215266</v>
      </c>
      <c r="AQ36" s="269">
        <v>481.50703976958329</v>
      </c>
      <c r="AR36" s="270">
        <v>87</v>
      </c>
      <c r="AS36" s="209">
        <v>85</v>
      </c>
      <c r="AT36" s="209">
        <v>83</v>
      </c>
      <c r="AU36" s="209">
        <v>80</v>
      </c>
      <c r="AV36" s="209">
        <v>76</v>
      </c>
      <c r="AW36" s="209">
        <v>74</v>
      </c>
      <c r="AX36" s="209">
        <v>73</v>
      </c>
      <c r="AY36" s="209">
        <v>73</v>
      </c>
      <c r="AZ36" s="209">
        <v>71</v>
      </c>
      <c r="BA36" s="209">
        <v>68</v>
      </c>
      <c r="BB36" s="209">
        <v>65</v>
      </c>
      <c r="BC36" s="209">
        <v>64</v>
      </c>
    </row>
    <row r="37" spans="2:55" ht="19" customHeight="1" x14ac:dyDescent="0.25">
      <c r="B37" s="112"/>
      <c r="C37" s="118">
        <v>2022</v>
      </c>
      <c r="D37" s="122"/>
      <c r="E37" s="122"/>
      <c r="F37" s="122"/>
      <c r="G37" s="123"/>
      <c r="H37" s="113"/>
      <c r="T37" s="209" t="s">
        <v>3612</v>
      </c>
      <c r="U37" s="213">
        <v>6</v>
      </c>
      <c r="V37" s="213">
        <v>9</v>
      </c>
      <c r="W37" s="213">
        <v>6</v>
      </c>
      <c r="X37" s="213">
        <v>9</v>
      </c>
      <c r="Y37" s="214">
        <v>442</v>
      </c>
      <c r="Z37" s="214">
        <v>721.1875</v>
      </c>
      <c r="AA37" s="214">
        <v>1000.3750000000001</v>
      </c>
      <c r="AB37" s="214">
        <v>5</v>
      </c>
      <c r="AC37" s="210">
        <v>0</v>
      </c>
      <c r="AD37" s="211">
        <v>80.489678562500004</v>
      </c>
      <c r="AE37" s="211">
        <v>80.744218352083323</v>
      </c>
      <c r="AF37" s="211">
        <v>80.767443993749993</v>
      </c>
      <c r="AG37" s="211">
        <v>81.991669598333331</v>
      </c>
      <c r="AH37" s="211">
        <v>79.112059275277772</v>
      </c>
      <c r="AI37" s="211">
        <v>78.658076171527767</v>
      </c>
      <c r="AJ37" s="211">
        <v>79.526922503611104</v>
      </c>
      <c r="AK37" s="211">
        <v>80.076488281944435</v>
      </c>
      <c r="AL37" s="211">
        <v>79.762425516666667</v>
      </c>
      <c r="AM37" s="211">
        <v>77.910284755000006</v>
      </c>
      <c r="AN37" s="211">
        <v>75.728367099791654</v>
      </c>
      <c r="AO37" s="212">
        <v>73.137611779166662</v>
      </c>
      <c r="AP37" s="269">
        <v>867.41556732715276</v>
      </c>
      <c r="AQ37" s="269">
        <v>480.8003898945833</v>
      </c>
      <c r="AR37" s="270">
        <v>87</v>
      </c>
      <c r="AS37" s="209">
        <v>85</v>
      </c>
      <c r="AT37" s="209">
        <v>83</v>
      </c>
      <c r="AU37" s="209">
        <v>80</v>
      </c>
      <c r="AV37" s="209">
        <v>76</v>
      </c>
      <c r="AW37" s="209">
        <v>74</v>
      </c>
      <c r="AX37" s="209">
        <v>73</v>
      </c>
      <c r="AY37" s="209">
        <v>73</v>
      </c>
      <c r="AZ37" s="209">
        <v>71</v>
      </c>
      <c r="BA37" s="209">
        <v>68</v>
      </c>
      <c r="BB37" s="209">
        <v>65</v>
      </c>
      <c r="BC37" s="209">
        <v>64</v>
      </c>
    </row>
    <row r="38" spans="2:55" ht="19" customHeight="1" x14ac:dyDescent="0.25">
      <c r="B38" s="112"/>
      <c r="C38" s="118">
        <v>2023</v>
      </c>
      <c r="D38" s="122"/>
      <c r="E38" s="122"/>
      <c r="F38" s="122"/>
      <c r="G38" s="123"/>
      <c r="H38" s="113"/>
      <c r="T38" s="209" t="s">
        <v>3614</v>
      </c>
      <c r="U38" s="213">
        <v>6</v>
      </c>
      <c r="V38" s="213">
        <v>9</v>
      </c>
      <c r="W38" s="213">
        <v>6</v>
      </c>
      <c r="X38" s="213">
        <v>9</v>
      </c>
      <c r="Y38" s="214">
        <v>442</v>
      </c>
      <c r="Z38" s="214">
        <v>721.1875</v>
      </c>
      <c r="AA38" s="214">
        <v>1000.3750000000001</v>
      </c>
      <c r="AB38" s="214">
        <v>5</v>
      </c>
      <c r="AC38" s="210">
        <v>0</v>
      </c>
      <c r="AD38" s="211">
        <v>80.489678562500004</v>
      </c>
      <c r="AE38" s="211">
        <v>80.46292997708332</v>
      </c>
      <c r="AF38" s="211">
        <v>80.486155618750004</v>
      </c>
      <c r="AG38" s="211">
        <v>81.710381223333329</v>
      </c>
      <c r="AH38" s="211">
        <v>78.901092994027778</v>
      </c>
      <c r="AI38" s="211">
        <v>78.447109890277758</v>
      </c>
      <c r="AJ38" s="211">
        <v>79.315956222361109</v>
      </c>
      <c r="AK38" s="211">
        <v>79.86552200069444</v>
      </c>
      <c r="AL38" s="211">
        <v>79.762425516666667</v>
      </c>
      <c r="AM38" s="211">
        <v>77.910284755000006</v>
      </c>
      <c r="AN38" s="211">
        <v>75.728367099791654</v>
      </c>
      <c r="AO38" s="212">
        <v>73.137611779166662</v>
      </c>
      <c r="AP38" s="269">
        <v>865.7278370771528</v>
      </c>
      <c r="AQ38" s="269">
        <v>479.32362592583331</v>
      </c>
      <c r="AR38" s="270">
        <v>87</v>
      </c>
      <c r="AS38" s="209">
        <v>85</v>
      </c>
      <c r="AT38" s="209">
        <v>83</v>
      </c>
      <c r="AU38" s="209">
        <v>80</v>
      </c>
      <c r="AV38" s="209">
        <v>76</v>
      </c>
      <c r="AW38" s="209">
        <v>74</v>
      </c>
      <c r="AX38" s="209">
        <v>73</v>
      </c>
      <c r="AY38" s="209">
        <v>73</v>
      </c>
      <c r="AZ38" s="209">
        <v>71</v>
      </c>
      <c r="BA38" s="209">
        <v>68</v>
      </c>
      <c r="BB38" s="209">
        <v>65</v>
      </c>
      <c r="BC38" s="209">
        <v>64</v>
      </c>
    </row>
    <row r="39" spans="2:55" ht="19" customHeight="1" x14ac:dyDescent="0.25">
      <c r="B39" s="112"/>
      <c r="C39" s="118">
        <v>2024</v>
      </c>
      <c r="D39" s="122"/>
      <c r="E39" s="122"/>
      <c r="F39" s="122"/>
      <c r="G39" s="123"/>
      <c r="H39" s="113"/>
      <c r="AE39" s="193"/>
      <c r="AF39" s="193"/>
      <c r="AG39" s="193"/>
      <c r="AH39" s="193"/>
      <c r="AI39" s="193"/>
      <c r="AJ39" s="193"/>
      <c r="AK39" s="193"/>
      <c r="AL39" s="193"/>
      <c r="AM39" s="193"/>
      <c r="AN39" s="193"/>
      <c r="AO39" s="193"/>
    </row>
    <row r="40" spans="2:55" ht="19" customHeight="1" x14ac:dyDescent="0.25">
      <c r="B40" s="112"/>
      <c r="C40" s="118">
        <v>2025</v>
      </c>
      <c r="D40" s="122"/>
      <c r="E40" s="122"/>
      <c r="F40" s="122"/>
      <c r="G40" s="123"/>
      <c r="H40" s="113"/>
    </row>
    <row r="41" spans="2:55" ht="19" customHeight="1" x14ac:dyDescent="0.25">
      <c r="B41" s="112"/>
      <c r="C41" s="118">
        <v>2026</v>
      </c>
      <c r="D41" s="122"/>
      <c r="E41" s="122"/>
      <c r="F41" s="122"/>
      <c r="G41" s="123"/>
      <c r="H41" s="113"/>
    </row>
    <row r="42" spans="2:55" ht="19" customHeight="1" x14ac:dyDescent="0.25">
      <c r="B42" s="112"/>
      <c r="C42" s="118">
        <v>2027</v>
      </c>
      <c r="D42" s="122"/>
      <c r="E42" s="122"/>
      <c r="F42" s="122"/>
      <c r="G42" s="123"/>
      <c r="H42" s="113"/>
    </row>
    <row r="43" spans="2:55" ht="19" customHeight="1" x14ac:dyDescent="0.25">
      <c r="B43" s="112"/>
      <c r="C43" s="118">
        <v>2028</v>
      </c>
      <c r="D43" s="122"/>
      <c r="E43" s="122"/>
      <c r="F43" s="122"/>
      <c r="G43" s="123"/>
      <c r="H43" s="113"/>
    </row>
    <row r="44" spans="2:55" ht="19" customHeight="1" x14ac:dyDescent="0.25">
      <c r="B44" s="112"/>
      <c r="C44" s="118">
        <v>2029</v>
      </c>
      <c r="D44" s="122"/>
      <c r="E44" s="122"/>
      <c r="F44" s="122"/>
      <c r="G44" s="123"/>
      <c r="H44" s="113"/>
    </row>
    <row r="45" spans="2:55" ht="19" customHeight="1" x14ac:dyDescent="0.25">
      <c r="B45" s="112"/>
      <c r="C45" s="118">
        <v>2030</v>
      </c>
      <c r="D45" s="122"/>
      <c r="E45" s="122"/>
      <c r="F45" s="122"/>
      <c r="G45" s="123"/>
      <c r="H45" s="113"/>
    </row>
    <row r="46" spans="2:55" x14ac:dyDescent="0.25">
      <c r="B46" s="124"/>
      <c r="C46" s="115"/>
      <c r="D46" s="115"/>
      <c r="E46" s="115"/>
      <c r="F46" s="115"/>
      <c r="G46" s="115"/>
      <c r="H46" s="116"/>
    </row>
    <row r="50" spans="3:11" x14ac:dyDescent="0.25">
      <c r="C50" s="209" t="s">
        <v>513</v>
      </c>
    </row>
    <row r="51" spans="3:11" x14ac:dyDescent="0.25">
      <c r="C51" s="209" t="s">
        <v>514</v>
      </c>
    </row>
    <row r="52" spans="3:11" x14ac:dyDescent="0.25">
      <c r="C52" s="209" t="s">
        <v>512</v>
      </c>
    </row>
    <row r="53" spans="3:11" x14ac:dyDescent="0.25">
      <c r="C53" s="209" t="s">
        <v>515</v>
      </c>
      <c r="F53" s="129"/>
      <c r="K53" s="267"/>
    </row>
    <row r="54" spans="3:11" x14ac:dyDescent="0.25">
      <c r="C54" s="111" t="s">
        <v>516</v>
      </c>
      <c r="F54" s="128"/>
      <c r="J54" s="267">
        <f>D23-D22</f>
        <v>279.1875</v>
      </c>
      <c r="K54" s="267"/>
    </row>
    <row r="55" spans="3:11" x14ac:dyDescent="0.25">
      <c r="F55" s="128"/>
      <c r="J55" s="267">
        <f>D24-D23</f>
        <v>279.18750000000011</v>
      </c>
    </row>
    <row r="56" spans="3:11" x14ac:dyDescent="0.25">
      <c r="E56" s="111" t="s">
        <v>530</v>
      </c>
      <c r="F56" s="111" t="s">
        <v>517</v>
      </c>
      <c r="G56" s="190"/>
      <c r="H56" s="111" t="s">
        <v>521</v>
      </c>
    </row>
    <row r="57" spans="3:11" x14ac:dyDescent="0.25">
      <c r="C57" s="118">
        <v>2020</v>
      </c>
      <c r="D57" s="122"/>
      <c r="E57" s="122"/>
      <c r="F57" s="191">
        <v>320</v>
      </c>
      <c r="G57" s="191">
        <v>50</v>
      </c>
      <c r="I57" s="111">
        <f>F57*1.225+G57</f>
        <v>442</v>
      </c>
    </row>
    <row r="58" spans="3:11" x14ac:dyDescent="0.25">
      <c r="C58" s="118">
        <v>2021</v>
      </c>
      <c r="D58" s="122">
        <v>3</v>
      </c>
      <c r="E58" s="122">
        <v>2</v>
      </c>
      <c r="F58" s="191">
        <v>575</v>
      </c>
      <c r="G58" s="191">
        <v>80</v>
      </c>
      <c r="I58" s="111">
        <f>F58*1.225+G58</f>
        <v>784.375</v>
      </c>
    </row>
    <row r="59" spans="3:11" x14ac:dyDescent="0.25">
      <c r="C59" s="118">
        <v>2022</v>
      </c>
      <c r="D59" s="122">
        <v>2</v>
      </c>
      <c r="E59" s="122">
        <v>1</v>
      </c>
      <c r="F59" s="191">
        <v>790</v>
      </c>
      <c r="G59" s="191">
        <v>110</v>
      </c>
      <c r="I59" s="111">
        <f>F59*1.225+G59</f>
        <v>1077.75</v>
      </c>
      <c r="J59" s="111">
        <f>I59-I58</f>
        <v>293.375</v>
      </c>
      <c r="K59" s="111">
        <f>I59-55*1.225</f>
        <v>1010.375</v>
      </c>
    </row>
    <row r="60" spans="3:11" x14ac:dyDescent="0.25">
      <c r="C60" s="118">
        <v>2023</v>
      </c>
      <c r="D60" s="122">
        <v>2</v>
      </c>
      <c r="E60" s="122">
        <v>2</v>
      </c>
    </row>
    <row r="61" spans="3:11" x14ac:dyDescent="0.25">
      <c r="C61" s="118">
        <v>2024</v>
      </c>
      <c r="D61" s="122">
        <v>4</v>
      </c>
      <c r="E61" s="122">
        <v>4</v>
      </c>
      <c r="F61" s="111" t="s">
        <v>518</v>
      </c>
      <c r="H61" s="111" t="s">
        <v>522</v>
      </c>
    </row>
    <row r="62" spans="3:11" x14ac:dyDescent="0.25">
      <c r="C62" s="118">
        <v>2025</v>
      </c>
      <c r="D62" s="122">
        <v>2</v>
      </c>
      <c r="E62" s="122">
        <v>2</v>
      </c>
      <c r="F62" s="249">
        <v>365</v>
      </c>
      <c r="G62" s="249">
        <v>50</v>
      </c>
      <c r="J62" s="250"/>
      <c r="K62" s="250"/>
    </row>
    <row r="63" spans="3:11" x14ac:dyDescent="0.25">
      <c r="C63" s="118">
        <v>2026</v>
      </c>
      <c r="D63" s="122">
        <v>1</v>
      </c>
      <c r="E63" s="122">
        <v>1</v>
      </c>
      <c r="F63" s="249">
        <v>525</v>
      </c>
      <c r="G63" s="249">
        <v>75</v>
      </c>
      <c r="J63" s="250"/>
      <c r="K63" s="250"/>
    </row>
    <row r="64" spans="3:11" x14ac:dyDescent="0.25">
      <c r="C64" s="118">
        <v>2027</v>
      </c>
      <c r="D64" s="122">
        <v>0</v>
      </c>
      <c r="E64" s="122">
        <v>0</v>
      </c>
      <c r="F64" s="249">
        <v>765</v>
      </c>
      <c r="G64" s="249">
        <v>100</v>
      </c>
      <c r="I64" s="111">
        <f>F64*1.225+G64</f>
        <v>1037.125</v>
      </c>
      <c r="J64" s="271">
        <f>(I64-I59)/I59</f>
        <v>-3.7694270470888427E-2</v>
      </c>
      <c r="K64" s="250"/>
    </row>
    <row r="65" spans="3:9" x14ac:dyDescent="0.25">
      <c r="C65" s="118">
        <v>2028</v>
      </c>
      <c r="D65" s="122">
        <v>1</v>
      </c>
      <c r="E65" s="122">
        <v>1</v>
      </c>
    </row>
    <row r="66" spans="3:9" x14ac:dyDescent="0.25">
      <c r="C66" s="118">
        <v>2029</v>
      </c>
      <c r="D66" s="122">
        <v>3</v>
      </c>
      <c r="E66" s="122">
        <v>3</v>
      </c>
      <c r="F66" s="111" t="s">
        <v>519</v>
      </c>
      <c r="H66" s="111" t="s">
        <v>523</v>
      </c>
    </row>
    <row r="67" spans="3:9" x14ac:dyDescent="0.25">
      <c r="C67" s="118">
        <v>2030</v>
      </c>
      <c r="D67" s="122">
        <v>3</v>
      </c>
      <c r="E67" s="122">
        <v>3</v>
      </c>
      <c r="F67" s="191">
        <v>350</v>
      </c>
      <c r="G67" s="191">
        <v>50</v>
      </c>
    </row>
    <row r="68" spans="3:9" x14ac:dyDescent="0.25">
      <c r="F68" s="191">
        <v>485</v>
      </c>
      <c r="G68" s="191">
        <v>55</v>
      </c>
    </row>
    <row r="69" spans="3:9" x14ac:dyDescent="0.25">
      <c r="F69" s="191">
        <v>680</v>
      </c>
      <c r="G69" s="191">
        <v>100</v>
      </c>
      <c r="I69" s="111">
        <f>F69*1.225+G69</f>
        <v>933.00000000000011</v>
      </c>
    </row>
  </sheetData>
  <mergeCells count="3">
    <mergeCell ref="C3:Q3"/>
    <mergeCell ref="C4:Q4"/>
    <mergeCell ref="E18:F18"/>
  </mergeCells>
  <dataValidations count="2">
    <dataValidation type="list" allowBlank="1" showInputMessage="1" showErrorMessage="1" sqref="E18:F18">
      <formula1>"1 - gradual envelope increase,2  - stepwise envelope increase,3 - mixed envelope increase,4 - postponed mixed envelope increase"</formula1>
    </dataValidation>
    <dataValidation type="list" allowBlank="1" showInputMessage="1" showErrorMessage="1" sqref="E26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H814"/>
  <sheetViews>
    <sheetView workbookViewId="0">
      <selection activeCell="I56" sqref="I56"/>
    </sheetView>
  </sheetViews>
  <sheetFormatPr baseColWidth="10" defaultRowHeight="12.5" x14ac:dyDescent="0.25"/>
  <cols>
    <col min="1" max="1" width="37.08984375" bestFit="1" customWidth="1"/>
  </cols>
  <sheetData>
    <row r="1" spans="1:34" x14ac:dyDescent="0.25">
      <c r="S1" s="288">
        <f>MIN(S3:S814)</f>
        <v>842.06405930840265</v>
      </c>
      <c r="T1" s="288">
        <f>MIN(T3:T814)</f>
        <v>468.70848937583332</v>
      </c>
      <c r="U1" s="288"/>
      <c r="V1" s="288"/>
    </row>
    <row r="2" spans="1:34" ht="13" x14ac:dyDescent="0.25">
      <c r="A2" s="186" t="s">
        <v>443</v>
      </c>
      <c r="B2" s="187" t="s">
        <v>448</v>
      </c>
      <c r="C2" s="187" t="s">
        <v>449</v>
      </c>
      <c r="D2" s="187" t="s">
        <v>450</v>
      </c>
      <c r="E2" s="187" t="s">
        <v>544</v>
      </c>
      <c r="F2" s="188" t="s">
        <v>545</v>
      </c>
      <c r="G2" s="187">
        <v>2019</v>
      </c>
      <c r="H2" s="187">
        <v>2020</v>
      </c>
      <c r="I2" s="187">
        <v>2021</v>
      </c>
      <c r="J2" s="187">
        <v>2022</v>
      </c>
      <c r="K2" s="187">
        <v>2023</v>
      </c>
      <c r="L2" s="187">
        <v>2024</v>
      </c>
      <c r="M2" s="187">
        <v>2025</v>
      </c>
      <c r="N2" s="187">
        <v>2026</v>
      </c>
      <c r="O2" s="187">
        <v>2027</v>
      </c>
      <c r="P2" s="187">
        <v>2028</v>
      </c>
      <c r="Q2" s="187">
        <v>2029</v>
      </c>
      <c r="R2" s="188">
        <v>2030</v>
      </c>
      <c r="S2" s="188" t="s">
        <v>1357</v>
      </c>
      <c r="T2" s="188" t="s">
        <v>1358</v>
      </c>
      <c r="U2" s="188" t="s">
        <v>1359</v>
      </c>
      <c r="V2" s="188" t="s">
        <v>1360</v>
      </c>
      <c r="W2" s="187">
        <v>2019</v>
      </c>
      <c r="X2" s="187">
        <v>2020</v>
      </c>
      <c r="Y2" s="187">
        <v>2021</v>
      </c>
      <c r="Z2" s="187">
        <v>2022</v>
      </c>
      <c r="AA2" s="187">
        <v>2023</v>
      </c>
      <c r="AB2" s="187">
        <v>2024</v>
      </c>
      <c r="AC2" s="187">
        <v>2025</v>
      </c>
      <c r="AD2" s="187">
        <v>2026</v>
      </c>
      <c r="AE2" s="187">
        <v>2027</v>
      </c>
      <c r="AF2" s="187">
        <v>2028</v>
      </c>
      <c r="AG2" s="187">
        <v>2029</v>
      </c>
      <c r="AH2" s="188">
        <v>2030</v>
      </c>
    </row>
    <row r="3" spans="1:34" s="1" customFormat="1" ht="13" x14ac:dyDescent="0.25">
      <c r="A3" s="280" t="s">
        <v>451</v>
      </c>
      <c r="B3" s="280"/>
      <c r="C3" s="280"/>
      <c r="D3" s="280"/>
      <c r="E3" s="280"/>
      <c r="F3" s="281"/>
      <c r="G3" s="282">
        <v>80.599000000000004</v>
      </c>
      <c r="H3" s="282">
        <v>81.799000000000007</v>
      </c>
      <c r="I3" s="282">
        <v>83.599000000000004</v>
      </c>
      <c r="J3" s="282">
        <v>83.599000000000004</v>
      </c>
      <c r="K3" s="282">
        <v>83.599000000000004</v>
      </c>
      <c r="L3" s="282">
        <v>83.599000000000004</v>
      </c>
      <c r="M3" s="282">
        <v>83.599000000000004</v>
      </c>
      <c r="N3" s="282">
        <v>83.599000000000004</v>
      </c>
      <c r="O3" s="282">
        <v>83.599000000000004</v>
      </c>
      <c r="P3" s="282">
        <v>83.599000000000004</v>
      </c>
      <c r="Q3" s="282">
        <v>83.599000000000004</v>
      </c>
      <c r="R3" s="283">
        <v>83.599000000000004</v>
      </c>
      <c r="S3" s="284">
        <v>917.78900000000021</v>
      </c>
      <c r="T3" s="285">
        <v>499.79399999999998</v>
      </c>
      <c r="U3" s="296"/>
      <c r="V3" s="296"/>
      <c r="W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</row>
    <row r="4" spans="1:34" s="1" customFormat="1" ht="13" x14ac:dyDescent="0.25">
      <c r="A4" s="280" t="s">
        <v>534</v>
      </c>
      <c r="B4" s="286">
        <v>442</v>
      </c>
      <c r="C4" s="286">
        <v>784.375</v>
      </c>
      <c r="D4" s="286">
        <v>1077.75</v>
      </c>
      <c r="E4" s="286">
        <v>0</v>
      </c>
      <c r="F4" s="281">
        <v>4</v>
      </c>
      <c r="G4" s="282">
        <v>80.599000000000004</v>
      </c>
      <c r="H4" s="282">
        <v>81.865767060416644</v>
      </c>
      <c r="I4" s="282">
        <v>82.915419837499996</v>
      </c>
      <c r="J4" s="282">
        <v>84.463305614999996</v>
      </c>
      <c r="K4" s="282">
        <v>82.200641847499995</v>
      </c>
      <c r="L4" s="282">
        <v>82.138574043749998</v>
      </c>
      <c r="M4" s="282">
        <v>83.904297330000006</v>
      </c>
      <c r="N4" s="282">
        <v>84.965521120833344</v>
      </c>
      <c r="O4" s="282">
        <v>85.095665233333349</v>
      </c>
      <c r="P4" s="282">
        <v>83.631906588333337</v>
      </c>
      <c r="Q4" s="282">
        <v>81.430717033124992</v>
      </c>
      <c r="R4" s="283">
        <v>79.409169868749984</v>
      </c>
      <c r="S4" s="284">
        <v>912.02098557854174</v>
      </c>
      <c r="T4" s="284">
        <v>497.48800573416668</v>
      </c>
      <c r="U4" s="296">
        <f>S4-S$3</f>
        <v>-5.7680144214584743</v>
      </c>
      <c r="V4" s="296">
        <f>T4-T$3</f>
        <v>-2.3059942658333057</v>
      </c>
      <c r="W4" s="287">
        <v>87</v>
      </c>
      <c r="X4" s="280">
        <v>85</v>
      </c>
      <c r="Y4" s="280">
        <v>83</v>
      </c>
      <c r="Z4" s="280">
        <v>80</v>
      </c>
      <c r="AA4" s="280">
        <v>76</v>
      </c>
      <c r="AB4" s="280">
        <v>74</v>
      </c>
      <c r="AC4" s="280">
        <v>73</v>
      </c>
      <c r="AD4" s="280">
        <v>73</v>
      </c>
      <c r="AE4" s="280">
        <v>71</v>
      </c>
      <c r="AF4" s="280">
        <v>68</v>
      </c>
      <c r="AG4" s="280">
        <v>65</v>
      </c>
      <c r="AH4" s="280">
        <v>64</v>
      </c>
    </row>
    <row r="5" spans="1:34" s="1" customFormat="1" ht="13" x14ac:dyDescent="0.25">
      <c r="A5" s="280" t="s">
        <v>547</v>
      </c>
      <c r="B5" s="286">
        <v>442</v>
      </c>
      <c r="C5" s="286">
        <v>727.875</v>
      </c>
      <c r="D5" s="286">
        <v>1013.7500000000001</v>
      </c>
      <c r="E5" s="286">
        <v>1</v>
      </c>
      <c r="F5" s="281">
        <v>0</v>
      </c>
      <c r="G5" s="282">
        <v>80.489678562500004</v>
      </c>
      <c r="H5" s="282">
        <v>81.023515885416657</v>
      </c>
      <c r="I5" s="282">
        <v>81.238706245833328</v>
      </c>
      <c r="J5" s="282">
        <v>82.485623223333334</v>
      </c>
      <c r="K5" s="282">
        <v>79.571439775277781</v>
      </c>
      <c r="L5" s="282">
        <v>78.251421171527767</v>
      </c>
      <c r="M5" s="282">
        <v>78.677306482777766</v>
      </c>
      <c r="N5" s="282">
        <v>79.000372531944421</v>
      </c>
      <c r="O5" s="282">
        <v>78.835799516666654</v>
      </c>
      <c r="P5" s="282">
        <v>76.989984213333329</v>
      </c>
      <c r="Q5" s="282">
        <v>74.846751974791644</v>
      </c>
      <c r="R5" s="283">
        <v>72.40653669583331</v>
      </c>
      <c r="S5" s="284">
        <v>863.32745771673603</v>
      </c>
      <c r="T5" s="284">
        <v>481.24801278416669</v>
      </c>
      <c r="U5" s="296">
        <f t="shared" ref="U5:U68" si="0">S5-S$3</f>
        <v>-54.46154228326418</v>
      </c>
      <c r="V5" s="296">
        <f t="shared" ref="V5:V68" si="1">T5-T$3</f>
        <v>-18.545987215833293</v>
      </c>
      <c r="W5" s="287">
        <v>87</v>
      </c>
      <c r="X5" s="280">
        <v>85</v>
      </c>
      <c r="Y5" s="280">
        <v>83</v>
      </c>
      <c r="Z5" s="280">
        <v>80</v>
      </c>
      <c r="AA5" s="280">
        <v>76</v>
      </c>
      <c r="AB5" s="280">
        <v>74</v>
      </c>
      <c r="AC5" s="280">
        <v>73</v>
      </c>
      <c r="AD5" s="280">
        <v>73</v>
      </c>
      <c r="AE5" s="280">
        <v>71</v>
      </c>
      <c r="AF5" s="280">
        <v>68</v>
      </c>
      <c r="AG5" s="280">
        <v>65</v>
      </c>
      <c r="AH5" s="280">
        <v>64</v>
      </c>
    </row>
    <row r="6" spans="1:34" s="1" customFormat="1" ht="13" x14ac:dyDescent="0.25">
      <c r="A6" s="280" t="s">
        <v>548</v>
      </c>
      <c r="B6" s="286">
        <v>442</v>
      </c>
      <c r="C6" s="286">
        <v>727.875</v>
      </c>
      <c r="D6" s="286">
        <v>1013.7500000000001</v>
      </c>
      <c r="E6" s="286">
        <v>1</v>
      </c>
      <c r="F6" s="281">
        <v>1</v>
      </c>
      <c r="G6" s="282">
        <v>80.489678562500004</v>
      </c>
      <c r="H6" s="282">
        <v>81.023515885416657</v>
      </c>
      <c r="I6" s="282">
        <v>81.683706245833335</v>
      </c>
      <c r="J6" s="282">
        <v>83.375623223333349</v>
      </c>
      <c r="K6" s="282">
        <v>80.906439775277775</v>
      </c>
      <c r="L6" s="282">
        <v>80.098796171527766</v>
      </c>
      <c r="M6" s="282">
        <v>81.037056482777771</v>
      </c>
      <c r="N6" s="282">
        <v>81.872497531944433</v>
      </c>
      <c r="O6" s="282">
        <v>82.266580766666664</v>
      </c>
      <c r="P6" s="282">
        <v>80.979421713333338</v>
      </c>
      <c r="Q6" s="282">
        <v>79.394845724791651</v>
      </c>
      <c r="R6" s="283">
        <v>77.513286695833315</v>
      </c>
      <c r="S6" s="284">
        <v>890.15177021673594</v>
      </c>
      <c r="T6" s="284">
        <v>488.12513778416667</v>
      </c>
      <c r="U6" s="296">
        <f t="shared" si="0"/>
        <v>-27.637229783264274</v>
      </c>
      <c r="V6" s="296">
        <f t="shared" si="1"/>
        <v>-11.668862215833315</v>
      </c>
      <c r="W6" s="287">
        <v>87</v>
      </c>
      <c r="X6" s="280">
        <v>85</v>
      </c>
      <c r="Y6" s="280">
        <v>84</v>
      </c>
      <c r="Z6" s="280">
        <v>82</v>
      </c>
      <c r="AA6" s="280">
        <v>79</v>
      </c>
      <c r="AB6" s="280">
        <v>78</v>
      </c>
      <c r="AC6" s="280">
        <v>78</v>
      </c>
      <c r="AD6" s="280">
        <v>79</v>
      </c>
      <c r="AE6" s="280">
        <v>78</v>
      </c>
      <c r="AF6" s="280">
        <v>76</v>
      </c>
      <c r="AG6" s="280">
        <v>74</v>
      </c>
      <c r="AH6" s="280">
        <v>74</v>
      </c>
    </row>
    <row r="7" spans="1:34" s="1" customFormat="1" ht="13" x14ac:dyDescent="0.25">
      <c r="A7" s="280" t="s">
        <v>549</v>
      </c>
      <c r="B7" s="286">
        <v>442</v>
      </c>
      <c r="C7" s="286">
        <v>727.875</v>
      </c>
      <c r="D7" s="286">
        <v>1013.7500000000001</v>
      </c>
      <c r="E7" s="286">
        <v>1</v>
      </c>
      <c r="F7" s="281">
        <v>2</v>
      </c>
      <c r="G7" s="282">
        <v>80.489678562500004</v>
      </c>
      <c r="H7" s="282">
        <v>81.023515885416657</v>
      </c>
      <c r="I7" s="282">
        <v>82.128706245833342</v>
      </c>
      <c r="J7" s="282">
        <v>84.26562322333335</v>
      </c>
      <c r="K7" s="282">
        <v>82.241439775277769</v>
      </c>
      <c r="L7" s="282">
        <v>81.946171171527766</v>
      </c>
      <c r="M7" s="282">
        <v>83.396806482777777</v>
      </c>
      <c r="N7" s="282">
        <v>84.744622531944444</v>
      </c>
      <c r="O7" s="282">
        <v>85.697362016666673</v>
      </c>
      <c r="P7" s="282">
        <v>84.968859213333332</v>
      </c>
      <c r="Q7" s="282">
        <v>83.942939474791658</v>
      </c>
      <c r="R7" s="283">
        <v>82.620036695833321</v>
      </c>
      <c r="S7" s="284">
        <v>916.97608271673607</v>
      </c>
      <c r="T7" s="284">
        <v>495.0022627841667</v>
      </c>
      <c r="U7" s="296">
        <f t="shared" si="0"/>
        <v>-0.81291728326414159</v>
      </c>
      <c r="V7" s="296">
        <f t="shared" si="1"/>
        <v>-4.7917372158332796</v>
      </c>
      <c r="W7" s="287">
        <v>87</v>
      </c>
      <c r="X7" s="280">
        <v>85</v>
      </c>
      <c r="Y7" s="280">
        <v>85</v>
      </c>
      <c r="Z7" s="280">
        <v>84</v>
      </c>
      <c r="AA7" s="280">
        <v>82</v>
      </c>
      <c r="AB7" s="280">
        <v>82</v>
      </c>
      <c r="AC7" s="280">
        <v>83</v>
      </c>
      <c r="AD7" s="280">
        <v>85</v>
      </c>
      <c r="AE7" s="280">
        <v>85</v>
      </c>
      <c r="AF7" s="280">
        <v>84</v>
      </c>
      <c r="AG7" s="280">
        <v>83</v>
      </c>
      <c r="AH7" s="280">
        <v>84</v>
      </c>
    </row>
    <row r="8" spans="1:34" s="1" customFormat="1" ht="13" x14ac:dyDescent="0.25">
      <c r="A8" s="280" t="s">
        <v>550</v>
      </c>
      <c r="B8" s="286">
        <v>442</v>
      </c>
      <c r="C8" s="286">
        <v>727.875</v>
      </c>
      <c r="D8" s="286">
        <v>1013.7500000000001</v>
      </c>
      <c r="E8" s="286">
        <v>1</v>
      </c>
      <c r="F8" s="281">
        <v>3</v>
      </c>
      <c r="G8" s="282">
        <v>80.489678562500004</v>
      </c>
      <c r="H8" s="282">
        <v>81.023515885416657</v>
      </c>
      <c r="I8" s="282">
        <v>82.573706245833336</v>
      </c>
      <c r="J8" s="282">
        <v>85.155623223333336</v>
      </c>
      <c r="K8" s="282">
        <v>83.576439775277791</v>
      </c>
      <c r="L8" s="282">
        <v>83.793546171527765</v>
      </c>
      <c r="M8" s="282">
        <v>85.756556482777782</v>
      </c>
      <c r="N8" s="282">
        <v>87.616747531944441</v>
      </c>
      <c r="O8" s="282">
        <v>89.128143266666669</v>
      </c>
      <c r="P8" s="282">
        <v>88.958296713333326</v>
      </c>
      <c r="Q8" s="282">
        <v>88.491033224791664</v>
      </c>
      <c r="R8" s="283">
        <v>87.726786695833312</v>
      </c>
      <c r="S8" s="284">
        <v>943.80039521673609</v>
      </c>
      <c r="T8" s="284">
        <v>501.87938778416662</v>
      </c>
      <c r="U8" s="296">
        <f t="shared" si="0"/>
        <v>26.011395216735878</v>
      </c>
      <c r="V8" s="296">
        <f t="shared" si="1"/>
        <v>2.0853877841666417</v>
      </c>
      <c r="W8" s="287">
        <v>87</v>
      </c>
      <c r="X8" s="280">
        <v>85</v>
      </c>
      <c r="Y8" s="280">
        <v>86</v>
      </c>
      <c r="Z8" s="280">
        <v>86</v>
      </c>
      <c r="AA8" s="280">
        <v>85</v>
      </c>
      <c r="AB8" s="280">
        <v>86</v>
      </c>
      <c r="AC8" s="280">
        <v>88</v>
      </c>
      <c r="AD8" s="280">
        <v>91</v>
      </c>
      <c r="AE8" s="280">
        <v>92</v>
      </c>
      <c r="AF8" s="280">
        <v>92</v>
      </c>
      <c r="AG8" s="280">
        <v>92</v>
      </c>
      <c r="AH8" s="280">
        <v>94</v>
      </c>
    </row>
    <row r="9" spans="1:34" s="1" customFormat="1" ht="13" x14ac:dyDescent="0.25">
      <c r="A9" s="280" t="s">
        <v>551</v>
      </c>
      <c r="B9" s="286">
        <v>442</v>
      </c>
      <c r="C9" s="286">
        <v>727.875</v>
      </c>
      <c r="D9" s="286">
        <v>1013.7500000000001</v>
      </c>
      <c r="E9" s="286">
        <v>1</v>
      </c>
      <c r="F9" s="281">
        <v>4</v>
      </c>
      <c r="G9" s="282">
        <v>80.489678562500004</v>
      </c>
      <c r="H9" s="282">
        <v>81.023515885416657</v>
      </c>
      <c r="I9" s="282">
        <v>83.018706245833343</v>
      </c>
      <c r="J9" s="282">
        <v>86.045623223333337</v>
      </c>
      <c r="K9" s="282">
        <v>84.911439775277785</v>
      </c>
      <c r="L9" s="282">
        <v>85.640921171527765</v>
      </c>
      <c r="M9" s="282">
        <v>88.116306482777802</v>
      </c>
      <c r="N9" s="282">
        <v>90.488872531944438</v>
      </c>
      <c r="O9" s="282">
        <v>92.558924516666679</v>
      </c>
      <c r="P9" s="282">
        <v>92.947734213333334</v>
      </c>
      <c r="Q9" s="282">
        <v>93.039126974791671</v>
      </c>
      <c r="R9" s="283">
        <v>92.833536695833317</v>
      </c>
      <c r="S9" s="284">
        <v>970.62470771673622</v>
      </c>
      <c r="T9" s="284">
        <v>508.75651278416677</v>
      </c>
      <c r="U9" s="296">
        <f t="shared" si="0"/>
        <v>52.83570771673601</v>
      </c>
      <c r="V9" s="296">
        <f t="shared" si="1"/>
        <v>8.9625127841667904</v>
      </c>
      <c r="W9" s="287">
        <v>87</v>
      </c>
      <c r="X9" s="280">
        <v>85</v>
      </c>
      <c r="Y9" s="280">
        <v>87</v>
      </c>
      <c r="Z9" s="280">
        <v>88</v>
      </c>
      <c r="AA9" s="280">
        <v>88</v>
      </c>
      <c r="AB9" s="280">
        <v>90</v>
      </c>
      <c r="AC9" s="280">
        <v>93</v>
      </c>
      <c r="AD9" s="280">
        <v>97</v>
      </c>
      <c r="AE9" s="280">
        <v>99</v>
      </c>
      <c r="AF9" s="280">
        <v>100</v>
      </c>
      <c r="AG9" s="280">
        <v>101</v>
      </c>
      <c r="AH9" s="280">
        <v>104</v>
      </c>
    </row>
    <row r="10" spans="1:34" s="1" customFormat="1" ht="13" x14ac:dyDescent="0.25">
      <c r="A10" s="280" t="s">
        <v>552</v>
      </c>
      <c r="B10" s="286">
        <v>442</v>
      </c>
      <c r="C10" s="286">
        <v>727.875</v>
      </c>
      <c r="D10" s="286">
        <v>1013.7500000000001</v>
      </c>
      <c r="E10" s="286">
        <v>1</v>
      </c>
      <c r="F10" s="281">
        <v>5</v>
      </c>
      <c r="G10" s="282">
        <v>80.489678562500004</v>
      </c>
      <c r="H10" s="282">
        <v>81.023515885416657</v>
      </c>
      <c r="I10" s="282">
        <v>83.463706245833336</v>
      </c>
      <c r="J10" s="282">
        <v>86.935623223333337</v>
      </c>
      <c r="K10" s="282">
        <v>86.246439775277793</v>
      </c>
      <c r="L10" s="282">
        <v>87.488296171527764</v>
      </c>
      <c r="M10" s="282">
        <v>90.476056482777793</v>
      </c>
      <c r="N10" s="282">
        <v>93.360997531944449</v>
      </c>
      <c r="O10" s="282">
        <v>95.989705766666674</v>
      </c>
      <c r="P10" s="282">
        <v>96.937171713333328</v>
      </c>
      <c r="Q10" s="282">
        <v>97.587220724791663</v>
      </c>
      <c r="R10" s="283">
        <v>97.940286695833322</v>
      </c>
      <c r="S10" s="284">
        <v>997.44902021673624</v>
      </c>
      <c r="T10" s="284">
        <v>515.63363778416669</v>
      </c>
      <c r="U10" s="296">
        <f t="shared" si="0"/>
        <v>79.660020216736029</v>
      </c>
      <c r="V10" s="296">
        <f t="shared" si="1"/>
        <v>15.839637784166712</v>
      </c>
      <c r="W10" s="287">
        <v>87</v>
      </c>
      <c r="X10" s="280">
        <v>85</v>
      </c>
      <c r="Y10" s="280">
        <v>88</v>
      </c>
      <c r="Z10" s="280">
        <v>90</v>
      </c>
      <c r="AA10" s="280">
        <v>91</v>
      </c>
      <c r="AB10" s="280">
        <v>94</v>
      </c>
      <c r="AC10" s="280">
        <v>98</v>
      </c>
      <c r="AD10" s="280">
        <v>103</v>
      </c>
      <c r="AE10" s="280">
        <v>106</v>
      </c>
      <c r="AF10" s="280">
        <v>108</v>
      </c>
      <c r="AG10" s="280">
        <v>110</v>
      </c>
      <c r="AH10" s="280">
        <v>114</v>
      </c>
    </row>
    <row r="11" spans="1:34" s="1" customFormat="1" ht="13" x14ac:dyDescent="0.25">
      <c r="A11" s="280" t="s">
        <v>553</v>
      </c>
      <c r="B11" s="286">
        <v>442</v>
      </c>
      <c r="C11" s="286">
        <v>727.875</v>
      </c>
      <c r="D11" s="286">
        <v>1013.7500000000001</v>
      </c>
      <c r="E11" s="286">
        <v>2</v>
      </c>
      <c r="F11" s="281">
        <v>0</v>
      </c>
      <c r="G11" s="282">
        <v>80.489678562500004</v>
      </c>
      <c r="H11" s="282">
        <v>79.851375218749993</v>
      </c>
      <c r="I11" s="282">
        <v>80.360520537499994</v>
      </c>
      <c r="J11" s="282">
        <v>81.390855139999985</v>
      </c>
      <c r="K11" s="282">
        <v>78.704957108611111</v>
      </c>
      <c r="L11" s="282">
        <v>77.875171171527768</v>
      </c>
      <c r="M11" s="282">
        <v>78.264025232777769</v>
      </c>
      <c r="N11" s="282">
        <v>78.600580865277763</v>
      </c>
      <c r="O11" s="282">
        <v>78.27819534999999</v>
      </c>
      <c r="P11" s="282">
        <v>76.590192546666657</v>
      </c>
      <c r="Q11" s="282">
        <v>74.415397808124993</v>
      </c>
      <c r="R11" s="283">
        <v>71.891015862499984</v>
      </c>
      <c r="S11" s="284">
        <v>856.22228684173615</v>
      </c>
      <c r="T11" s="284">
        <v>476.44690440916662</v>
      </c>
      <c r="U11" s="296">
        <f t="shared" si="0"/>
        <v>-61.566713158264065</v>
      </c>
      <c r="V11" s="296">
        <f t="shared" si="1"/>
        <v>-23.347095590833362</v>
      </c>
      <c r="W11" s="287">
        <v>87</v>
      </c>
      <c r="X11" s="280">
        <v>85</v>
      </c>
      <c r="Y11" s="280">
        <v>83</v>
      </c>
      <c r="Z11" s="280">
        <v>80</v>
      </c>
      <c r="AA11" s="280">
        <v>76</v>
      </c>
      <c r="AB11" s="280">
        <v>74</v>
      </c>
      <c r="AC11" s="280">
        <v>73</v>
      </c>
      <c r="AD11" s="280">
        <v>73</v>
      </c>
      <c r="AE11" s="280">
        <v>71</v>
      </c>
      <c r="AF11" s="280">
        <v>68</v>
      </c>
      <c r="AG11" s="280">
        <v>65</v>
      </c>
      <c r="AH11" s="280">
        <v>64</v>
      </c>
    </row>
    <row r="12" spans="1:34" s="1" customFormat="1" ht="13" x14ac:dyDescent="0.25">
      <c r="A12" s="280" t="s">
        <v>554</v>
      </c>
      <c r="B12" s="286">
        <v>442</v>
      </c>
      <c r="C12" s="286">
        <v>727.875</v>
      </c>
      <c r="D12" s="286">
        <v>1013.7500000000001</v>
      </c>
      <c r="E12" s="286">
        <v>2</v>
      </c>
      <c r="F12" s="281">
        <v>1</v>
      </c>
      <c r="G12" s="282">
        <v>80.489678562500004</v>
      </c>
      <c r="H12" s="282">
        <v>79.851375218749993</v>
      </c>
      <c r="I12" s="282">
        <v>80.805520537499987</v>
      </c>
      <c r="J12" s="282">
        <v>82.28085514</v>
      </c>
      <c r="K12" s="282">
        <v>80.039957108611105</v>
      </c>
      <c r="L12" s="282">
        <v>79.722546171527767</v>
      </c>
      <c r="M12" s="282">
        <v>80.623775232777774</v>
      </c>
      <c r="N12" s="282">
        <v>81.47270586527776</v>
      </c>
      <c r="O12" s="282">
        <v>81.708976599999986</v>
      </c>
      <c r="P12" s="282">
        <v>80.579630046666665</v>
      </c>
      <c r="Q12" s="282">
        <v>78.963491558124986</v>
      </c>
      <c r="R12" s="283">
        <v>76.997765862499989</v>
      </c>
      <c r="S12" s="284">
        <v>883.04659934173628</v>
      </c>
      <c r="T12" s="284">
        <v>483.32402940916666</v>
      </c>
      <c r="U12" s="296">
        <f t="shared" si="0"/>
        <v>-34.742400658263932</v>
      </c>
      <c r="V12" s="296">
        <f t="shared" si="1"/>
        <v>-16.469970590833327</v>
      </c>
      <c r="W12" s="287">
        <v>87</v>
      </c>
      <c r="X12" s="280">
        <v>85</v>
      </c>
      <c r="Y12" s="280">
        <v>84</v>
      </c>
      <c r="Z12" s="280">
        <v>82</v>
      </c>
      <c r="AA12" s="280">
        <v>79</v>
      </c>
      <c r="AB12" s="280">
        <v>78</v>
      </c>
      <c r="AC12" s="280">
        <v>78</v>
      </c>
      <c r="AD12" s="280">
        <v>79</v>
      </c>
      <c r="AE12" s="280">
        <v>78</v>
      </c>
      <c r="AF12" s="280">
        <v>76</v>
      </c>
      <c r="AG12" s="280">
        <v>74</v>
      </c>
      <c r="AH12" s="280">
        <v>74</v>
      </c>
    </row>
    <row r="13" spans="1:34" s="1" customFormat="1" ht="13" x14ac:dyDescent="0.25">
      <c r="A13" s="280" t="s">
        <v>555</v>
      </c>
      <c r="B13" s="286">
        <v>442</v>
      </c>
      <c r="C13" s="286">
        <v>727.875</v>
      </c>
      <c r="D13" s="286">
        <v>1013.7500000000001</v>
      </c>
      <c r="E13" s="286">
        <v>2</v>
      </c>
      <c r="F13" s="281">
        <v>2</v>
      </c>
      <c r="G13" s="282">
        <v>80.489678562500004</v>
      </c>
      <c r="H13" s="282">
        <v>79.851375218749993</v>
      </c>
      <c r="I13" s="282">
        <v>81.250520537499995</v>
      </c>
      <c r="J13" s="282">
        <v>83.17085514</v>
      </c>
      <c r="K13" s="282">
        <v>81.374957108611113</v>
      </c>
      <c r="L13" s="282">
        <v>81.569921171527767</v>
      </c>
      <c r="M13" s="282">
        <v>82.983525232777765</v>
      </c>
      <c r="N13" s="282">
        <v>84.344830865277771</v>
      </c>
      <c r="O13" s="282">
        <v>85.139757849999995</v>
      </c>
      <c r="P13" s="282">
        <v>84.569067546666673</v>
      </c>
      <c r="Q13" s="282">
        <v>83.511585308125007</v>
      </c>
      <c r="R13" s="283">
        <v>82.104515862499994</v>
      </c>
      <c r="S13" s="284">
        <v>909.87091184173619</v>
      </c>
      <c r="T13" s="284">
        <v>490.20115440916663</v>
      </c>
      <c r="U13" s="296">
        <f t="shared" si="0"/>
        <v>-7.9180881582640268</v>
      </c>
      <c r="V13" s="296">
        <f t="shared" si="1"/>
        <v>-9.592845590833349</v>
      </c>
      <c r="W13" s="287">
        <v>87</v>
      </c>
      <c r="X13" s="280">
        <v>85</v>
      </c>
      <c r="Y13" s="280">
        <v>85</v>
      </c>
      <c r="Z13" s="280">
        <v>84</v>
      </c>
      <c r="AA13" s="280">
        <v>82</v>
      </c>
      <c r="AB13" s="280">
        <v>82</v>
      </c>
      <c r="AC13" s="280">
        <v>83</v>
      </c>
      <c r="AD13" s="280">
        <v>85</v>
      </c>
      <c r="AE13" s="280">
        <v>85</v>
      </c>
      <c r="AF13" s="280">
        <v>84</v>
      </c>
      <c r="AG13" s="280">
        <v>83</v>
      </c>
      <c r="AH13" s="280">
        <v>84</v>
      </c>
    </row>
    <row r="14" spans="1:34" s="1" customFormat="1" ht="13" x14ac:dyDescent="0.25">
      <c r="A14" s="280" t="s">
        <v>556</v>
      </c>
      <c r="B14" s="286">
        <v>442</v>
      </c>
      <c r="C14" s="286">
        <v>727.875</v>
      </c>
      <c r="D14" s="286">
        <v>1013.7500000000001</v>
      </c>
      <c r="E14" s="286">
        <v>2</v>
      </c>
      <c r="F14" s="281">
        <v>3</v>
      </c>
      <c r="G14" s="282">
        <v>80.489678562500004</v>
      </c>
      <c r="H14" s="282">
        <v>79.851375218749993</v>
      </c>
      <c r="I14" s="282">
        <v>81.695520537500002</v>
      </c>
      <c r="J14" s="282">
        <v>84.060855140000015</v>
      </c>
      <c r="K14" s="282">
        <v>82.709957108611107</v>
      </c>
      <c r="L14" s="282">
        <v>83.417296171527767</v>
      </c>
      <c r="M14" s="282">
        <v>85.343275232777771</v>
      </c>
      <c r="N14" s="282">
        <v>87.216955865277768</v>
      </c>
      <c r="O14" s="282">
        <v>88.570539100000005</v>
      </c>
      <c r="P14" s="282">
        <v>88.558505046666681</v>
      </c>
      <c r="Q14" s="282">
        <v>88.059679058125013</v>
      </c>
      <c r="R14" s="283">
        <v>87.211265862499999</v>
      </c>
      <c r="S14" s="284">
        <v>936.69522434173609</v>
      </c>
      <c r="T14" s="284">
        <v>497.07827940916667</v>
      </c>
      <c r="U14" s="296">
        <f t="shared" si="0"/>
        <v>18.906224341735879</v>
      </c>
      <c r="V14" s="296">
        <f t="shared" si="1"/>
        <v>-2.715720590833314</v>
      </c>
      <c r="W14" s="287">
        <v>87</v>
      </c>
      <c r="X14" s="280">
        <v>85</v>
      </c>
      <c r="Y14" s="280">
        <v>86</v>
      </c>
      <c r="Z14" s="280">
        <v>86</v>
      </c>
      <c r="AA14" s="280">
        <v>85</v>
      </c>
      <c r="AB14" s="280">
        <v>86</v>
      </c>
      <c r="AC14" s="280">
        <v>88</v>
      </c>
      <c r="AD14" s="280">
        <v>91</v>
      </c>
      <c r="AE14" s="280">
        <v>92</v>
      </c>
      <c r="AF14" s="280">
        <v>92</v>
      </c>
      <c r="AG14" s="280">
        <v>92</v>
      </c>
      <c r="AH14" s="280">
        <v>94</v>
      </c>
    </row>
    <row r="15" spans="1:34" s="1" customFormat="1" ht="13" x14ac:dyDescent="0.25">
      <c r="A15" s="280" t="s">
        <v>557</v>
      </c>
      <c r="B15" s="286">
        <v>442</v>
      </c>
      <c r="C15" s="286">
        <v>727.875</v>
      </c>
      <c r="D15" s="286">
        <v>1013.7500000000001</v>
      </c>
      <c r="E15" s="286">
        <v>2</v>
      </c>
      <c r="F15" s="281">
        <v>4</v>
      </c>
      <c r="G15" s="282">
        <v>80.489678562500004</v>
      </c>
      <c r="H15" s="282">
        <v>79.851375218749993</v>
      </c>
      <c r="I15" s="282">
        <v>82.140520537500009</v>
      </c>
      <c r="J15" s="282">
        <v>84.950855140000016</v>
      </c>
      <c r="K15" s="282">
        <v>84.044957108611129</v>
      </c>
      <c r="L15" s="282">
        <v>85.264671171527766</v>
      </c>
      <c r="M15" s="282">
        <v>87.703025232777776</v>
      </c>
      <c r="N15" s="282">
        <v>90.089080865277765</v>
      </c>
      <c r="O15" s="282">
        <v>92.00132035</v>
      </c>
      <c r="P15" s="282">
        <v>92.547942546666675</v>
      </c>
      <c r="Q15" s="282">
        <v>92.607772808125006</v>
      </c>
      <c r="R15" s="283">
        <v>92.318015862500005</v>
      </c>
      <c r="S15" s="284">
        <v>963.51953684173623</v>
      </c>
      <c r="T15" s="284">
        <v>503.9554044091667</v>
      </c>
      <c r="U15" s="296">
        <f t="shared" si="0"/>
        <v>45.730536841736011</v>
      </c>
      <c r="V15" s="296">
        <f t="shared" si="1"/>
        <v>4.1614044091667211</v>
      </c>
      <c r="W15" s="287">
        <v>87</v>
      </c>
      <c r="X15" s="280">
        <v>85</v>
      </c>
      <c r="Y15" s="280">
        <v>87</v>
      </c>
      <c r="Z15" s="280">
        <v>88</v>
      </c>
      <c r="AA15" s="280">
        <v>88</v>
      </c>
      <c r="AB15" s="280">
        <v>90</v>
      </c>
      <c r="AC15" s="280">
        <v>93</v>
      </c>
      <c r="AD15" s="280">
        <v>97</v>
      </c>
      <c r="AE15" s="280">
        <v>99</v>
      </c>
      <c r="AF15" s="280">
        <v>100</v>
      </c>
      <c r="AG15" s="280">
        <v>101</v>
      </c>
      <c r="AH15" s="280">
        <v>104</v>
      </c>
    </row>
    <row r="16" spans="1:34" s="1" customFormat="1" ht="13" x14ac:dyDescent="0.25">
      <c r="A16" s="280" t="s">
        <v>558</v>
      </c>
      <c r="B16" s="286">
        <v>442</v>
      </c>
      <c r="C16" s="286">
        <v>727.875</v>
      </c>
      <c r="D16" s="286">
        <v>1013.7500000000001</v>
      </c>
      <c r="E16" s="286">
        <v>2</v>
      </c>
      <c r="F16" s="281">
        <v>5</v>
      </c>
      <c r="G16" s="282">
        <v>80.489678562500004</v>
      </c>
      <c r="H16" s="282">
        <v>79.851375218749993</v>
      </c>
      <c r="I16" s="282">
        <v>82.585520537500003</v>
      </c>
      <c r="J16" s="282">
        <v>85.840855140000016</v>
      </c>
      <c r="K16" s="282">
        <v>85.379957108611123</v>
      </c>
      <c r="L16" s="282">
        <v>87.112046171527766</v>
      </c>
      <c r="M16" s="282">
        <v>90.062775232777781</v>
      </c>
      <c r="N16" s="282">
        <v>92.961205865277776</v>
      </c>
      <c r="O16" s="282">
        <v>95.432101599999996</v>
      </c>
      <c r="P16" s="282">
        <v>96.537380046666669</v>
      </c>
      <c r="Q16" s="282">
        <v>97.155866558125012</v>
      </c>
      <c r="R16" s="283">
        <v>97.424765862499996</v>
      </c>
      <c r="S16" s="284">
        <v>990.34384934173602</v>
      </c>
      <c r="T16" s="284">
        <v>510.83252940916668</v>
      </c>
      <c r="U16" s="296">
        <f t="shared" si="0"/>
        <v>72.554849341735803</v>
      </c>
      <c r="V16" s="296">
        <f t="shared" si="1"/>
        <v>11.038529409166699</v>
      </c>
      <c r="W16" s="287">
        <v>87</v>
      </c>
      <c r="X16" s="280">
        <v>85</v>
      </c>
      <c r="Y16" s="280">
        <v>88</v>
      </c>
      <c r="Z16" s="280">
        <v>90</v>
      </c>
      <c r="AA16" s="280">
        <v>91</v>
      </c>
      <c r="AB16" s="280">
        <v>94</v>
      </c>
      <c r="AC16" s="280">
        <v>98</v>
      </c>
      <c r="AD16" s="280">
        <v>103</v>
      </c>
      <c r="AE16" s="280">
        <v>106</v>
      </c>
      <c r="AF16" s="280">
        <v>108</v>
      </c>
      <c r="AG16" s="280">
        <v>110</v>
      </c>
      <c r="AH16" s="280">
        <v>114</v>
      </c>
    </row>
    <row r="17" spans="1:34" s="1" customFormat="1" ht="13" x14ac:dyDescent="0.25">
      <c r="A17" s="280" t="s">
        <v>559</v>
      </c>
      <c r="B17" s="286">
        <v>442</v>
      </c>
      <c r="C17" s="286">
        <v>727.875</v>
      </c>
      <c r="D17" s="286">
        <v>1013.7500000000001</v>
      </c>
      <c r="E17" s="286">
        <v>3</v>
      </c>
      <c r="F17" s="281">
        <v>0</v>
      </c>
      <c r="G17" s="282">
        <v>80.489678562500004</v>
      </c>
      <c r="H17" s="282">
        <v>79.423047413194439</v>
      </c>
      <c r="I17" s="282">
        <v>79.696588301388886</v>
      </c>
      <c r="J17" s="282">
        <v>80.894976778888875</v>
      </c>
      <c r="K17" s="282">
        <v>78.028116830833326</v>
      </c>
      <c r="L17" s="282">
        <v>77.398226727083312</v>
      </c>
      <c r="M17" s="282">
        <v>77.876507871666661</v>
      </c>
      <c r="N17" s="282">
        <v>78.22884475416663</v>
      </c>
      <c r="O17" s="282">
        <v>77.825799516666663</v>
      </c>
      <c r="P17" s="282">
        <v>76.085192546666661</v>
      </c>
      <c r="Q17" s="282">
        <v>74.00508530812499</v>
      </c>
      <c r="R17" s="283">
        <v>71.431606140277765</v>
      </c>
      <c r="S17" s="284">
        <v>850.89399218895824</v>
      </c>
      <c r="T17" s="284">
        <v>473.31746392305553</v>
      </c>
      <c r="U17" s="296">
        <f t="shared" si="0"/>
        <v>-66.895007811041978</v>
      </c>
      <c r="V17" s="296">
        <f t="shared" si="1"/>
        <v>-26.476536076944456</v>
      </c>
      <c r="W17" s="287">
        <v>87</v>
      </c>
      <c r="X17" s="280">
        <v>85</v>
      </c>
      <c r="Y17" s="280">
        <v>83</v>
      </c>
      <c r="Z17" s="280">
        <v>80</v>
      </c>
      <c r="AA17" s="280">
        <v>76</v>
      </c>
      <c r="AB17" s="280">
        <v>74</v>
      </c>
      <c r="AC17" s="280">
        <v>73</v>
      </c>
      <c r="AD17" s="280">
        <v>73</v>
      </c>
      <c r="AE17" s="280">
        <v>71</v>
      </c>
      <c r="AF17" s="280">
        <v>68</v>
      </c>
      <c r="AG17" s="280">
        <v>65</v>
      </c>
      <c r="AH17" s="280">
        <v>64</v>
      </c>
    </row>
    <row r="18" spans="1:34" s="1" customFormat="1" ht="13" x14ac:dyDescent="0.25">
      <c r="A18" s="280" t="s">
        <v>560</v>
      </c>
      <c r="B18" s="286">
        <v>442</v>
      </c>
      <c r="C18" s="286">
        <v>727.875</v>
      </c>
      <c r="D18" s="286">
        <v>1013.7500000000001</v>
      </c>
      <c r="E18" s="286">
        <v>3</v>
      </c>
      <c r="F18" s="281">
        <v>1</v>
      </c>
      <c r="G18" s="282">
        <v>80.489678562500004</v>
      </c>
      <c r="H18" s="282">
        <v>79.423047413194439</v>
      </c>
      <c r="I18" s="282">
        <v>80.141588301388879</v>
      </c>
      <c r="J18" s="282">
        <v>81.78497677888889</v>
      </c>
      <c r="K18" s="282">
        <v>79.363116830833334</v>
      </c>
      <c r="L18" s="282">
        <v>79.245601727083312</v>
      </c>
      <c r="M18" s="282">
        <v>80.236257871666652</v>
      </c>
      <c r="N18" s="282">
        <v>81.100969754166627</v>
      </c>
      <c r="O18" s="282">
        <v>81.256580766666659</v>
      </c>
      <c r="P18" s="282">
        <v>80.074630046666655</v>
      </c>
      <c r="Q18" s="282">
        <v>78.553179058124996</v>
      </c>
      <c r="R18" s="283">
        <v>76.53835614027777</v>
      </c>
      <c r="S18" s="284">
        <v>877.71830468895826</v>
      </c>
      <c r="T18" s="284">
        <v>480.19458892305556</v>
      </c>
      <c r="U18" s="296">
        <f t="shared" si="0"/>
        <v>-40.070695311041959</v>
      </c>
      <c r="V18" s="296">
        <f t="shared" si="1"/>
        <v>-19.599411076944421</v>
      </c>
      <c r="W18" s="287">
        <v>87</v>
      </c>
      <c r="X18" s="280">
        <v>85</v>
      </c>
      <c r="Y18" s="280">
        <v>84</v>
      </c>
      <c r="Z18" s="280">
        <v>82</v>
      </c>
      <c r="AA18" s="280">
        <v>79</v>
      </c>
      <c r="AB18" s="280">
        <v>78</v>
      </c>
      <c r="AC18" s="280">
        <v>78</v>
      </c>
      <c r="AD18" s="280">
        <v>79</v>
      </c>
      <c r="AE18" s="280">
        <v>78</v>
      </c>
      <c r="AF18" s="280">
        <v>76</v>
      </c>
      <c r="AG18" s="280">
        <v>74</v>
      </c>
      <c r="AH18" s="280">
        <v>74</v>
      </c>
    </row>
    <row r="19" spans="1:34" s="1" customFormat="1" ht="13" x14ac:dyDescent="0.25">
      <c r="A19" s="280" t="s">
        <v>561</v>
      </c>
      <c r="B19" s="286">
        <v>442</v>
      </c>
      <c r="C19" s="286">
        <v>727.875</v>
      </c>
      <c r="D19" s="286">
        <v>1013.7500000000001</v>
      </c>
      <c r="E19" s="286">
        <v>3</v>
      </c>
      <c r="F19" s="281">
        <v>2</v>
      </c>
      <c r="G19" s="282">
        <v>80.489678562500004</v>
      </c>
      <c r="H19" s="282">
        <v>79.423047413194439</v>
      </c>
      <c r="I19" s="282">
        <v>80.586588301388886</v>
      </c>
      <c r="J19" s="282">
        <v>82.67497677888889</v>
      </c>
      <c r="K19" s="282">
        <v>80.698116830833328</v>
      </c>
      <c r="L19" s="282">
        <v>81.092976727083311</v>
      </c>
      <c r="M19" s="282">
        <v>82.596007871666657</v>
      </c>
      <c r="N19" s="282">
        <v>83.973094754166652</v>
      </c>
      <c r="O19" s="282">
        <v>84.687362016666668</v>
      </c>
      <c r="P19" s="282">
        <v>84.064067546666678</v>
      </c>
      <c r="Q19" s="282">
        <v>83.101272808125003</v>
      </c>
      <c r="R19" s="283">
        <v>81.645106140277775</v>
      </c>
      <c r="S19" s="284">
        <v>904.54261718895827</v>
      </c>
      <c r="T19" s="284">
        <v>487.07171392305554</v>
      </c>
      <c r="U19" s="296">
        <f t="shared" si="0"/>
        <v>-13.24638281104194</v>
      </c>
      <c r="V19" s="296">
        <f t="shared" si="1"/>
        <v>-12.722286076944442</v>
      </c>
      <c r="W19" s="287">
        <v>87</v>
      </c>
      <c r="X19" s="280">
        <v>85</v>
      </c>
      <c r="Y19" s="280">
        <v>85</v>
      </c>
      <c r="Z19" s="280">
        <v>84</v>
      </c>
      <c r="AA19" s="280">
        <v>82</v>
      </c>
      <c r="AB19" s="280">
        <v>82</v>
      </c>
      <c r="AC19" s="280">
        <v>83</v>
      </c>
      <c r="AD19" s="280">
        <v>85</v>
      </c>
      <c r="AE19" s="280">
        <v>85</v>
      </c>
      <c r="AF19" s="280">
        <v>84</v>
      </c>
      <c r="AG19" s="280">
        <v>83</v>
      </c>
      <c r="AH19" s="280">
        <v>84</v>
      </c>
    </row>
    <row r="20" spans="1:34" s="1" customFormat="1" ht="13" x14ac:dyDescent="0.25">
      <c r="A20" s="280" t="s">
        <v>562</v>
      </c>
      <c r="B20" s="286">
        <v>442</v>
      </c>
      <c r="C20" s="286">
        <v>727.875</v>
      </c>
      <c r="D20" s="286">
        <v>1013.7500000000001</v>
      </c>
      <c r="E20" s="286">
        <v>3</v>
      </c>
      <c r="F20" s="281">
        <v>3</v>
      </c>
      <c r="G20" s="282">
        <v>80.489678562500004</v>
      </c>
      <c r="H20" s="282">
        <v>79.423047413194439</v>
      </c>
      <c r="I20" s="282">
        <v>81.031588301388879</v>
      </c>
      <c r="J20" s="282">
        <v>83.564976778888905</v>
      </c>
      <c r="K20" s="282">
        <v>82.033116830833336</v>
      </c>
      <c r="L20" s="282">
        <v>82.940351727083311</v>
      </c>
      <c r="M20" s="282">
        <v>84.955757871666677</v>
      </c>
      <c r="N20" s="282">
        <v>86.845219754166664</v>
      </c>
      <c r="O20" s="282">
        <v>88.118143266666678</v>
      </c>
      <c r="P20" s="282">
        <v>88.053505046666672</v>
      </c>
      <c r="Q20" s="282">
        <v>87.64936655812501</v>
      </c>
      <c r="R20" s="283">
        <v>86.751856140277766</v>
      </c>
      <c r="S20" s="284">
        <v>931.36692968895841</v>
      </c>
      <c r="T20" s="284">
        <v>493.94883892305558</v>
      </c>
      <c r="U20" s="296">
        <f t="shared" si="0"/>
        <v>13.577929688958193</v>
      </c>
      <c r="V20" s="296">
        <f t="shared" si="1"/>
        <v>-5.8451610769444073</v>
      </c>
      <c r="W20" s="287">
        <v>87</v>
      </c>
      <c r="X20" s="280">
        <v>85</v>
      </c>
      <c r="Y20" s="280">
        <v>86</v>
      </c>
      <c r="Z20" s="280">
        <v>86</v>
      </c>
      <c r="AA20" s="280">
        <v>85</v>
      </c>
      <c r="AB20" s="280">
        <v>86</v>
      </c>
      <c r="AC20" s="280">
        <v>88</v>
      </c>
      <c r="AD20" s="280">
        <v>91</v>
      </c>
      <c r="AE20" s="280">
        <v>92</v>
      </c>
      <c r="AF20" s="280">
        <v>92</v>
      </c>
      <c r="AG20" s="280">
        <v>92</v>
      </c>
      <c r="AH20" s="280">
        <v>94</v>
      </c>
    </row>
    <row r="21" spans="1:34" s="1" customFormat="1" ht="13" x14ac:dyDescent="0.25">
      <c r="A21" s="280" t="s">
        <v>563</v>
      </c>
      <c r="B21" s="286">
        <v>442</v>
      </c>
      <c r="C21" s="286">
        <v>727.875</v>
      </c>
      <c r="D21" s="286">
        <v>1013.7500000000001</v>
      </c>
      <c r="E21" s="286">
        <v>3</v>
      </c>
      <c r="F21" s="281">
        <v>4</v>
      </c>
      <c r="G21" s="282">
        <v>80.489678562500004</v>
      </c>
      <c r="H21" s="282">
        <v>79.423047413194439</v>
      </c>
      <c r="I21" s="282">
        <v>81.476588301388873</v>
      </c>
      <c r="J21" s="282">
        <v>84.454976778888906</v>
      </c>
      <c r="K21" s="282">
        <v>83.368116830833344</v>
      </c>
      <c r="L21" s="282">
        <v>84.78772672708331</v>
      </c>
      <c r="M21" s="282">
        <v>87.315507871666668</v>
      </c>
      <c r="N21" s="282">
        <v>89.71734475416666</v>
      </c>
      <c r="O21" s="282">
        <v>91.548924516666673</v>
      </c>
      <c r="P21" s="282">
        <v>92.04294254666668</v>
      </c>
      <c r="Q21" s="282">
        <v>92.197460308125002</v>
      </c>
      <c r="R21" s="283">
        <v>91.858606140277772</v>
      </c>
      <c r="S21" s="284">
        <v>958.19124218895843</v>
      </c>
      <c r="T21" s="284">
        <v>500.82596392305561</v>
      </c>
      <c r="U21" s="296">
        <f t="shared" si="0"/>
        <v>40.402242188958212</v>
      </c>
      <c r="V21" s="296">
        <f t="shared" si="1"/>
        <v>1.0319639230556277</v>
      </c>
      <c r="W21" s="287">
        <v>87</v>
      </c>
      <c r="X21" s="280">
        <v>85</v>
      </c>
      <c r="Y21" s="280">
        <v>87</v>
      </c>
      <c r="Z21" s="280">
        <v>88</v>
      </c>
      <c r="AA21" s="280">
        <v>88</v>
      </c>
      <c r="AB21" s="280">
        <v>90</v>
      </c>
      <c r="AC21" s="280">
        <v>93</v>
      </c>
      <c r="AD21" s="280">
        <v>97</v>
      </c>
      <c r="AE21" s="280">
        <v>99</v>
      </c>
      <c r="AF21" s="280">
        <v>100</v>
      </c>
      <c r="AG21" s="280">
        <v>101</v>
      </c>
      <c r="AH21" s="280">
        <v>104</v>
      </c>
    </row>
    <row r="22" spans="1:34" s="1" customFormat="1" ht="13" x14ac:dyDescent="0.25">
      <c r="A22" s="280" t="s">
        <v>564</v>
      </c>
      <c r="B22" s="286">
        <v>442</v>
      </c>
      <c r="C22" s="286">
        <v>727.875</v>
      </c>
      <c r="D22" s="286">
        <v>1013.7500000000001</v>
      </c>
      <c r="E22" s="286">
        <v>3</v>
      </c>
      <c r="F22" s="281">
        <v>5</v>
      </c>
      <c r="G22" s="282">
        <v>80.489678562500004</v>
      </c>
      <c r="H22" s="282">
        <v>79.423047413194439</v>
      </c>
      <c r="I22" s="282">
        <v>81.921588301388894</v>
      </c>
      <c r="J22" s="282">
        <v>85.344976778888906</v>
      </c>
      <c r="K22" s="282">
        <v>84.703116830833352</v>
      </c>
      <c r="L22" s="282">
        <v>86.63510172708331</v>
      </c>
      <c r="M22" s="282">
        <v>89.675257871666673</v>
      </c>
      <c r="N22" s="282">
        <v>92.589469754166657</v>
      </c>
      <c r="O22" s="282">
        <v>94.979705766666669</v>
      </c>
      <c r="P22" s="282">
        <v>96.032380046666674</v>
      </c>
      <c r="Q22" s="282">
        <v>96.745554058125009</v>
      </c>
      <c r="R22" s="283">
        <v>96.965356140277763</v>
      </c>
      <c r="S22" s="284">
        <v>985.01555468895833</v>
      </c>
      <c r="T22" s="284">
        <v>507.70308892305559</v>
      </c>
      <c r="U22" s="296">
        <f t="shared" si="0"/>
        <v>67.226554688958117</v>
      </c>
      <c r="V22" s="296">
        <f t="shared" si="1"/>
        <v>7.9090889230556058</v>
      </c>
      <c r="W22" s="287">
        <v>87</v>
      </c>
      <c r="X22" s="280">
        <v>85</v>
      </c>
      <c r="Y22" s="280">
        <v>88</v>
      </c>
      <c r="Z22" s="280">
        <v>90</v>
      </c>
      <c r="AA22" s="280">
        <v>91</v>
      </c>
      <c r="AB22" s="280">
        <v>94</v>
      </c>
      <c r="AC22" s="280">
        <v>98</v>
      </c>
      <c r="AD22" s="280">
        <v>103</v>
      </c>
      <c r="AE22" s="280">
        <v>106</v>
      </c>
      <c r="AF22" s="280">
        <v>108</v>
      </c>
      <c r="AG22" s="280">
        <v>110</v>
      </c>
      <c r="AH22" s="280">
        <v>114</v>
      </c>
    </row>
    <row r="23" spans="1:34" s="1" customFormat="1" ht="13" x14ac:dyDescent="0.25">
      <c r="A23" s="280" t="s">
        <v>565</v>
      </c>
      <c r="B23" s="286">
        <v>442</v>
      </c>
      <c r="C23" s="286">
        <v>727.875</v>
      </c>
      <c r="D23" s="286">
        <v>1013.7500000000001</v>
      </c>
      <c r="E23" s="286">
        <v>4</v>
      </c>
      <c r="F23" s="281">
        <v>0</v>
      </c>
      <c r="G23" s="282">
        <v>80.489678562500004</v>
      </c>
      <c r="H23" s="282">
        <v>79.18332256041667</v>
      </c>
      <c r="I23" s="282">
        <v>79.267530266666668</v>
      </c>
      <c r="J23" s="282">
        <v>80.402531306666646</v>
      </c>
      <c r="K23" s="282">
        <v>77.589852691944444</v>
      </c>
      <c r="L23" s="282">
        <v>76.8968135048611</v>
      </c>
      <c r="M23" s="282">
        <v>77.451290857777764</v>
      </c>
      <c r="N23" s="282">
        <v>77.885164198611093</v>
      </c>
      <c r="O23" s="282">
        <v>77.420747433333318</v>
      </c>
      <c r="P23" s="282">
        <v>75.632796713333335</v>
      </c>
      <c r="Q23" s="282">
        <v>73.521126974791656</v>
      </c>
      <c r="R23" s="283">
        <v>71.002005445833319</v>
      </c>
      <c r="S23" s="284">
        <v>846.25318195423597</v>
      </c>
      <c r="T23" s="284">
        <v>470.79134118833326</v>
      </c>
      <c r="U23" s="296">
        <f t="shared" si="0"/>
        <v>-71.535818045764245</v>
      </c>
      <c r="V23" s="296">
        <f t="shared" si="1"/>
        <v>-29.00265881166672</v>
      </c>
      <c r="W23" s="287">
        <v>87</v>
      </c>
      <c r="X23" s="280">
        <v>85</v>
      </c>
      <c r="Y23" s="280">
        <v>83</v>
      </c>
      <c r="Z23" s="280">
        <v>80</v>
      </c>
      <c r="AA23" s="280">
        <v>76</v>
      </c>
      <c r="AB23" s="280">
        <v>74</v>
      </c>
      <c r="AC23" s="280">
        <v>73</v>
      </c>
      <c r="AD23" s="280">
        <v>73</v>
      </c>
      <c r="AE23" s="280">
        <v>71</v>
      </c>
      <c r="AF23" s="280">
        <v>68</v>
      </c>
      <c r="AG23" s="280">
        <v>65</v>
      </c>
      <c r="AH23" s="280">
        <v>64</v>
      </c>
    </row>
    <row r="24" spans="1:34" s="1" customFormat="1" ht="13" x14ac:dyDescent="0.25">
      <c r="A24" s="280" t="s">
        <v>566</v>
      </c>
      <c r="B24" s="286">
        <v>442</v>
      </c>
      <c r="C24" s="286">
        <v>727.875</v>
      </c>
      <c r="D24" s="286">
        <v>1013.7500000000001</v>
      </c>
      <c r="E24" s="286">
        <v>4</v>
      </c>
      <c r="F24" s="281">
        <v>1</v>
      </c>
      <c r="G24" s="282">
        <v>80.489678562500004</v>
      </c>
      <c r="H24" s="282">
        <v>79.18332256041667</v>
      </c>
      <c r="I24" s="282">
        <v>79.712530266666661</v>
      </c>
      <c r="J24" s="282">
        <v>81.29253130666666</v>
      </c>
      <c r="K24" s="282">
        <v>78.924852691944437</v>
      </c>
      <c r="L24" s="282">
        <v>78.7441885048611</v>
      </c>
      <c r="M24" s="282">
        <v>79.811040857777769</v>
      </c>
      <c r="N24" s="282">
        <v>80.757289198611105</v>
      </c>
      <c r="O24" s="282">
        <v>80.851528683333314</v>
      </c>
      <c r="P24" s="282">
        <v>79.622234213333329</v>
      </c>
      <c r="Q24" s="282">
        <v>78.069220724791649</v>
      </c>
      <c r="R24" s="283">
        <v>76.10875544583331</v>
      </c>
      <c r="S24" s="284">
        <v>873.07749445423588</v>
      </c>
      <c r="T24" s="284">
        <v>477.6684661883333</v>
      </c>
      <c r="U24" s="296">
        <f t="shared" si="0"/>
        <v>-44.711505545764339</v>
      </c>
      <c r="V24" s="296">
        <f t="shared" si="1"/>
        <v>-22.125533811666685</v>
      </c>
      <c r="W24" s="287">
        <v>87</v>
      </c>
      <c r="X24" s="280">
        <v>85</v>
      </c>
      <c r="Y24" s="280">
        <v>84</v>
      </c>
      <c r="Z24" s="280">
        <v>82</v>
      </c>
      <c r="AA24" s="280">
        <v>79</v>
      </c>
      <c r="AB24" s="280">
        <v>78</v>
      </c>
      <c r="AC24" s="280">
        <v>78</v>
      </c>
      <c r="AD24" s="280">
        <v>79</v>
      </c>
      <c r="AE24" s="280">
        <v>78</v>
      </c>
      <c r="AF24" s="280">
        <v>76</v>
      </c>
      <c r="AG24" s="280">
        <v>74</v>
      </c>
      <c r="AH24" s="280">
        <v>74</v>
      </c>
    </row>
    <row r="25" spans="1:34" s="1" customFormat="1" ht="13" x14ac:dyDescent="0.25">
      <c r="A25" s="280" t="s">
        <v>567</v>
      </c>
      <c r="B25" s="286">
        <v>442</v>
      </c>
      <c r="C25" s="286">
        <v>727.875</v>
      </c>
      <c r="D25" s="286">
        <v>1013.7500000000001</v>
      </c>
      <c r="E25" s="286">
        <v>4</v>
      </c>
      <c r="F25" s="281">
        <v>2</v>
      </c>
      <c r="G25" s="282">
        <v>80.489678562500004</v>
      </c>
      <c r="H25" s="282">
        <v>79.18332256041667</v>
      </c>
      <c r="I25" s="282">
        <v>80.157530266666654</v>
      </c>
      <c r="J25" s="282">
        <v>82.182531306666675</v>
      </c>
      <c r="K25" s="282">
        <v>80.259852691944445</v>
      </c>
      <c r="L25" s="282">
        <v>80.591563504861099</v>
      </c>
      <c r="M25" s="282">
        <v>82.170790857777774</v>
      </c>
      <c r="N25" s="282">
        <v>83.629414198611116</v>
      </c>
      <c r="O25" s="282">
        <v>84.282309933333323</v>
      </c>
      <c r="P25" s="282">
        <v>83.611671713333337</v>
      </c>
      <c r="Q25" s="282">
        <v>82.617314474791669</v>
      </c>
      <c r="R25" s="283">
        <v>81.215505445833315</v>
      </c>
      <c r="S25" s="284">
        <v>899.90180695423589</v>
      </c>
      <c r="T25" s="284">
        <v>484.54559118833328</v>
      </c>
      <c r="U25" s="296">
        <f t="shared" si="0"/>
        <v>-17.88719304576432</v>
      </c>
      <c r="V25" s="296">
        <f t="shared" si="1"/>
        <v>-15.248408811666707</v>
      </c>
      <c r="W25" s="287">
        <v>87</v>
      </c>
      <c r="X25" s="280">
        <v>85</v>
      </c>
      <c r="Y25" s="280">
        <v>85</v>
      </c>
      <c r="Z25" s="280">
        <v>84</v>
      </c>
      <c r="AA25" s="280">
        <v>82</v>
      </c>
      <c r="AB25" s="280">
        <v>82</v>
      </c>
      <c r="AC25" s="280">
        <v>83</v>
      </c>
      <c r="AD25" s="280">
        <v>85</v>
      </c>
      <c r="AE25" s="280">
        <v>85</v>
      </c>
      <c r="AF25" s="280">
        <v>84</v>
      </c>
      <c r="AG25" s="280">
        <v>83</v>
      </c>
      <c r="AH25" s="280">
        <v>84</v>
      </c>
    </row>
    <row r="26" spans="1:34" s="1" customFormat="1" ht="13" x14ac:dyDescent="0.25">
      <c r="A26" s="280" t="s">
        <v>568</v>
      </c>
      <c r="B26" s="286">
        <v>442</v>
      </c>
      <c r="C26" s="286">
        <v>727.875</v>
      </c>
      <c r="D26" s="286">
        <v>1013.7500000000001</v>
      </c>
      <c r="E26" s="286">
        <v>4</v>
      </c>
      <c r="F26" s="281">
        <v>3</v>
      </c>
      <c r="G26" s="282">
        <v>80.489678562500004</v>
      </c>
      <c r="H26" s="282">
        <v>79.18332256041667</v>
      </c>
      <c r="I26" s="282">
        <v>80.602530266666648</v>
      </c>
      <c r="J26" s="282">
        <v>83.072531306666676</v>
      </c>
      <c r="K26" s="282">
        <v>81.594852691944439</v>
      </c>
      <c r="L26" s="282">
        <v>82.438938504861099</v>
      </c>
      <c r="M26" s="282">
        <v>84.530540857777765</v>
      </c>
      <c r="N26" s="282">
        <v>86.501539198611113</v>
      </c>
      <c r="O26" s="282">
        <v>87.713091183333333</v>
      </c>
      <c r="P26" s="282">
        <v>87.601109213333331</v>
      </c>
      <c r="Q26" s="282">
        <v>87.165408224791662</v>
      </c>
      <c r="R26" s="283">
        <v>86.322255445833321</v>
      </c>
      <c r="S26" s="284">
        <v>926.72611945423603</v>
      </c>
      <c r="T26" s="284">
        <v>491.42271618833331</v>
      </c>
      <c r="U26" s="296">
        <f t="shared" si="0"/>
        <v>8.9371194542358126</v>
      </c>
      <c r="V26" s="296">
        <f t="shared" si="1"/>
        <v>-8.3712838116666717</v>
      </c>
      <c r="W26" s="287">
        <v>87</v>
      </c>
      <c r="X26" s="280">
        <v>85</v>
      </c>
      <c r="Y26" s="280">
        <v>86</v>
      </c>
      <c r="Z26" s="280">
        <v>86</v>
      </c>
      <c r="AA26" s="280">
        <v>85</v>
      </c>
      <c r="AB26" s="280">
        <v>86</v>
      </c>
      <c r="AC26" s="280">
        <v>88</v>
      </c>
      <c r="AD26" s="280">
        <v>91</v>
      </c>
      <c r="AE26" s="280">
        <v>92</v>
      </c>
      <c r="AF26" s="280">
        <v>92</v>
      </c>
      <c r="AG26" s="280">
        <v>92</v>
      </c>
      <c r="AH26" s="280">
        <v>94</v>
      </c>
    </row>
    <row r="27" spans="1:34" s="1" customFormat="1" ht="13" x14ac:dyDescent="0.25">
      <c r="A27" s="280" t="s">
        <v>569</v>
      </c>
      <c r="B27" s="286">
        <v>442</v>
      </c>
      <c r="C27" s="286">
        <v>727.875</v>
      </c>
      <c r="D27" s="286">
        <v>1013.7500000000001</v>
      </c>
      <c r="E27" s="286">
        <v>4</v>
      </c>
      <c r="F27" s="281">
        <v>4</v>
      </c>
      <c r="G27" s="282">
        <v>80.489678562500004</v>
      </c>
      <c r="H27" s="282">
        <v>79.18332256041667</v>
      </c>
      <c r="I27" s="282">
        <v>81.047530266666655</v>
      </c>
      <c r="J27" s="282">
        <v>83.962531306666676</v>
      </c>
      <c r="K27" s="282">
        <v>82.929852691944447</v>
      </c>
      <c r="L27" s="282">
        <v>84.286313504861099</v>
      </c>
      <c r="M27" s="282">
        <v>86.890290857777771</v>
      </c>
      <c r="N27" s="282">
        <v>89.37366419861111</v>
      </c>
      <c r="O27" s="282">
        <v>91.143872433333328</v>
      </c>
      <c r="P27" s="282">
        <v>91.590546713333339</v>
      </c>
      <c r="Q27" s="282">
        <v>91.713501974791669</v>
      </c>
      <c r="R27" s="283">
        <v>91.429005445833312</v>
      </c>
      <c r="S27" s="284">
        <v>953.55043195423605</v>
      </c>
      <c r="T27" s="284">
        <v>498.29984118833329</v>
      </c>
      <c r="U27" s="296">
        <f t="shared" si="0"/>
        <v>35.761431954235832</v>
      </c>
      <c r="V27" s="296">
        <f t="shared" si="1"/>
        <v>-1.4941588116666935</v>
      </c>
      <c r="W27" s="287">
        <v>87</v>
      </c>
      <c r="X27" s="280">
        <v>85</v>
      </c>
      <c r="Y27" s="280">
        <v>87</v>
      </c>
      <c r="Z27" s="280">
        <v>88</v>
      </c>
      <c r="AA27" s="280">
        <v>88</v>
      </c>
      <c r="AB27" s="280">
        <v>90</v>
      </c>
      <c r="AC27" s="280">
        <v>93</v>
      </c>
      <c r="AD27" s="280">
        <v>97</v>
      </c>
      <c r="AE27" s="280">
        <v>99</v>
      </c>
      <c r="AF27" s="280">
        <v>100</v>
      </c>
      <c r="AG27" s="280">
        <v>101</v>
      </c>
      <c r="AH27" s="280">
        <v>104</v>
      </c>
    </row>
    <row r="28" spans="1:34" s="1" customFormat="1" ht="13" x14ac:dyDescent="0.25">
      <c r="A28" s="280" t="s">
        <v>570</v>
      </c>
      <c r="B28" s="286">
        <v>442</v>
      </c>
      <c r="C28" s="286">
        <v>727.875</v>
      </c>
      <c r="D28" s="286">
        <v>1013.7500000000001</v>
      </c>
      <c r="E28" s="286">
        <v>4</v>
      </c>
      <c r="F28" s="281">
        <v>5</v>
      </c>
      <c r="G28" s="282">
        <v>80.489678562500004</v>
      </c>
      <c r="H28" s="282">
        <v>79.18332256041667</v>
      </c>
      <c r="I28" s="282">
        <v>81.492530266666662</v>
      </c>
      <c r="J28" s="282">
        <v>84.852531306666677</v>
      </c>
      <c r="K28" s="282">
        <v>84.264852691944455</v>
      </c>
      <c r="L28" s="282">
        <v>86.133688504861098</v>
      </c>
      <c r="M28" s="282">
        <v>89.250040857777776</v>
      </c>
      <c r="N28" s="282">
        <v>92.245789198611121</v>
      </c>
      <c r="O28" s="282">
        <v>94.574653683333324</v>
      </c>
      <c r="P28" s="282">
        <v>95.579984213333333</v>
      </c>
      <c r="Q28" s="282">
        <v>96.261595724791661</v>
      </c>
      <c r="R28" s="283">
        <v>96.535755445833317</v>
      </c>
      <c r="S28" s="284">
        <v>980.37474445423595</v>
      </c>
      <c r="T28" s="284">
        <v>505.17696618833332</v>
      </c>
      <c r="U28" s="296">
        <f t="shared" si="0"/>
        <v>62.585744454235737</v>
      </c>
      <c r="V28" s="296">
        <f t="shared" si="1"/>
        <v>5.3829661883333415</v>
      </c>
      <c r="W28" s="287">
        <v>87</v>
      </c>
      <c r="X28" s="280">
        <v>85</v>
      </c>
      <c r="Y28" s="280">
        <v>88</v>
      </c>
      <c r="Z28" s="280">
        <v>90</v>
      </c>
      <c r="AA28" s="280">
        <v>91</v>
      </c>
      <c r="AB28" s="280">
        <v>94</v>
      </c>
      <c r="AC28" s="280">
        <v>98</v>
      </c>
      <c r="AD28" s="280">
        <v>103</v>
      </c>
      <c r="AE28" s="280">
        <v>106</v>
      </c>
      <c r="AF28" s="280">
        <v>108</v>
      </c>
      <c r="AG28" s="280">
        <v>110</v>
      </c>
      <c r="AH28" s="280">
        <v>114</v>
      </c>
    </row>
    <row r="29" spans="1:34" s="1" customFormat="1" ht="13" x14ac:dyDescent="0.25">
      <c r="A29" s="290" t="s">
        <v>571</v>
      </c>
      <c r="B29" s="291">
        <v>442</v>
      </c>
      <c r="C29" s="291">
        <v>727.875</v>
      </c>
      <c r="D29" s="291">
        <v>1013.7500000000001</v>
      </c>
      <c r="E29" s="291">
        <v>5</v>
      </c>
      <c r="F29" s="292">
        <v>0</v>
      </c>
      <c r="G29" s="293">
        <v>80.489678562500004</v>
      </c>
      <c r="H29" s="293">
        <v>79.029718393750002</v>
      </c>
      <c r="I29" s="293">
        <v>78.999003245833336</v>
      </c>
      <c r="J29" s="293">
        <v>80.008582806666638</v>
      </c>
      <c r="K29" s="293">
        <v>77.13284919194443</v>
      </c>
      <c r="L29" s="293">
        <v>76.510508421527774</v>
      </c>
      <c r="M29" s="293">
        <v>77.0278273161111</v>
      </c>
      <c r="N29" s="293">
        <v>77.493789198611083</v>
      </c>
      <c r="O29" s="293">
        <v>77.051466183333318</v>
      </c>
      <c r="P29" s="293">
        <v>75.218275880000007</v>
      </c>
      <c r="Q29" s="293">
        <v>73.070835308124998</v>
      </c>
      <c r="R29" s="294">
        <v>70.521203362499989</v>
      </c>
      <c r="S29" s="289">
        <v>842.06405930840265</v>
      </c>
      <c r="T29" s="289">
        <v>468.70848937583332</v>
      </c>
      <c r="U29" s="297">
        <f t="shared" si="0"/>
        <v>-75.724940691597567</v>
      </c>
      <c r="V29" s="297">
        <f t="shared" si="1"/>
        <v>-31.085510624166659</v>
      </c>
      <c r="W29" s="295">
        <v>87</v>
      </c>
      <c r="X29" s="290">
        <v>85</v>
      </c>
      <c r="Y29" s="290">
        <v>83</v>
      </c>
      <c r="Z29" s="290">
        <v>80</v>
      </c>
      <c r="AA29" s="290">
        <v>76</v>
      </c>
      <c r="AB29" s="290">
        <v>74</v>
      </c>
      <c r="AC29" s="290">
        <v>73</v>
      </c>
      <c r="AD29" s="290">
        <v>73</v>
      </c>
      <c r="AE29" s="290">
        <v>71</v>
      </c>
      <c r="AF29" s="290">
        <v>68</v>
      </c>
      <c r="AG29" s="290">
        <v>65</v>
      </c>
      <c r="AH29" s="290">
        <v>64</v>
      </c>
    </row>
    <row r="30" spans="1:34" s="1" customFormat="1" ht="13" x14ac:dyDescent="0.25">
      <c r="A30" s="280" t="s">
        <v>572</v>
      </c>
      <c r="B30" s="286">
        <v>442</v>
      </c>
      <c r="C30" s="286">
        <v>727.875</v>
      </c>
      <c r="D30" s="286">
        <v>1013.7500000000001</v>
      </c>
      <c r="E30" s="286">
        <v>5</v>
      </c>
      <c r="F30" s="281">
        <v>1</v>
      </c>
      <c r="G30" s="282">
        <v>80.489678562500004</v>
      </c>
      <c r="H30" s="282">
        <v>79.029718393750002</v>
      </c>
      <c r="I30" s="282">
        <v>79.444003245833343</v>
      </c>
      <c r="J30" s="282">
        <v>80.898582806666639</v>
      </c>
      <c r="K30" s="282">
        <v>78.467849191944438</v>
      </c>
      <c r="L30" s="282">
        <v>78.357883421527774</v>
      </c>
      <c r="M30" s="282">
        <v>79.387577316111091</v>
      </c>
      <c r="N30" s="282">
        <v>80.36591419861108</v>
      </c>
      <c r="O30" s="282">
        <v>80.482247433333313</v>
      </c>
      <c r="P30" s="282">
        <v>79.207713379999987</v>
      </c>
      <c r="Q30" s="282">
        <v>77.618929058124991</v>
      </c>
      <c r="R30" s="283">
        <v>75.627953362499994</v>
      </c>
      <c r="S30" s="284">
        <v>868.88837180840267</v>
      </c>
      <c r="T30" s="284">
        <v>475.5856143758333</v>
      </c>
      <c r="U30" s="296">
        <f t="shared" si="0"/>
        <v>-48.900628191597548</v>
      </c>
      <c r="V30" s="296">
        <f t="shared" si="1"/>
        <v>-24.208385624166681</v>
      </c>
      <c r="W30" s="287">
        <v>87</v>
      </c>
      <c r="X30" s="280">
        <v>85</v>
      </c>
      <c r="Y30" s="280">
        <v>84</v>
      </c>
      <c r="Z30" s="280">
        <v>82</v>
      </c>
      <c r="AA30" s="280">
        <v>79</v>
      </c>
      <c r="AB30" s="280">
        <v>78</v>
      </c>
      <c r="AC30" s="280">
        <v>78</v>
      </c>
      <c r="AD30" s="280">
        <v>79</v>
      </c>
      <c r="AE30" s="280">
        <v>78</v>
      </c>
      <c r="AF30" s="280">
        <v>76</v>
      </c>
      <c r="AG30" s="280">
        <v>74</v>
      </c>
      <c r="AH30" s="280">
        <v>74</v>
      </c>
    </row>
    <row r="31" spans="1:34" s="1" customFormat="1" ht="13" x14ac:dyDescent="0.25">
      <c r="A31" s="280" t="s">
        <v>573</v>
      </c>
      <c r="B31" s="286">
        <v>442</v>
      </c>
      <c r="C31" s="286">
        <v>727.875</v>
      </c>
      <c r="D31" s="286">
        <v>1013.7500000000001</v>
      </c>
      <c r="E31" s="286">
        <v>5</v>
      </c>
      <c r="F31" s="281">
        <v>2</v>
      </c>
      <c r="G31" s="282">
        <v>80.489678562500004</v>
      </c>
      <c r="H31" s="282">
        <v>79.029718393750002</v>
      </c>
      <c r="I31" s="282">
        <v>79.889003245833337</v>
      </c>
      <c r="J31" s="282">
        <v>81.788582806666653</v>
      </c>
      <c r="K31" s="282">
        <v>79.802849191944432</v>
      </c>
      <c r="L31" s="282">
        <v>80.205258421527773</v>
      </c>
      <c r="M31" s="282">
        <v>81.747327316111097</v>
      </c>
      <c r="N31" s="282">
        <v>83.238039198611105</v>
      </c>
      <c r="O31" s="282">
        <v>83.913028683333323</v>
      </c>
      <c r="P31" s="282">
        <v>83.197150879999995</v>
      </c>
      <c r="Q31" s="282">
        <v>82.167022808125012</v>
      </c>
      <c r="R31" s="283">
        <v>80.734703362499985</v>
      </c>
      <c r="S31" s="284">
        <v>895.71268430840269</v>
      </c>
      <c r="T31" s="284">
        <v>482.46273937583328</v>
      </c>
      <c r="U31" s="296">
        <f t="shared" si="0"/>
        <v>-22.076315691597529</v>
      </c>
      <c r="V31" s="296">
        <f t="shared" si="1"/>
        <v>-17.331260624166703</v>
      </c>
      <c r="W31" s="287">
        <v>87</v>
      </c>
      <c r="X31" s="280">
        <v>85</v>
      </c>
      <c r="Y31" s="280">
        <v>85</v>
      </c>
      <c r="Z31" s="280">
        <v>84</v>
      </c>
      <c r="AA31" s="280">
        <v>82</v>
      </c>
      <c r="AB31" s="280">
        <v>82</v>
      </c>
      <c r="AC31" s="280">
        <v>83</v>
      </c>
      <c r="AD31" s="280">
        <v>85</v>
      </c>
      <c r="AE31" s="280">
        <v>85</v>
      </c>
      <c r="AF31" s="280">
        <v>84</v>
      </c>
      <c r="AG31" s="280">
        <v>83</v>
      </c>
      <c r="AH31" s="280">
        <v>84</v>
      </c>
    </row>
    <row r="32" spans="1:34" s="1" customFormat="1" ht="13" x14ac:dyDescent="0.25">
      <c r="A32" s="280" t="s">
        <v>574</v>
      </c>
      <c r="B32" s="286">
        <v>442</v>
      </c>
      <c r="C32" s="286">
        <v>727.875</v>
      </c>
      <c r="D32" s="286">
        <v>1013.7500000000001</v>
      </c>
      <c r="E32" s="286">
        <v>5</v>
      </c>
      <c r="F32" s="281">
        <v>3</v>
      </c>
      <c r="G32" s="282">
        <v>80.489678562500004</v>
      </c>
      <c r="H32" s="282">
        <v>79.029718393750002</v>
      </c>
      <c r="I32" s="282">
        <v>80.33400324583333</v>
      </c>
      <c r="J32" s="282">
        <v>82.678582806666654</v>
      </c>
      <c r="K32" s="282">
        <v>81.13784919194444</v>
      </c>
      <c r="L32" s="282">
        <v>82.052633421527773</v>
      </c>
      <c r="M32" s="282">
        <v>84.107077316111102</v>
      </c>
      <c r="N32" s="282">
        <v>86.110164198611102</v>
      </c>
      <c r="O32" s="282">
        <v>87.343809933333333</v>
      </c>
      <c r="P32" s="282">
        <v>87.186588379999989</v>
      </c>
      <c r="Q32" s="282">
        <v>86.715116558125004</v>
      </c>
      <c r="R32" s="283">
        <v>85.841453362500005</v>
      </c>
      <c r="S32" s="284">
        <v>922.53699680840282</v>
      </c>
      <c r="T32" s="284">
        <v>489.33986437583332</v>
      </c>
      <c r="U32" s="296">
        <f t="shared" si="0"/>
        <v>4.7479968084026041</v>
      </c>
      <c r="V32" s="296">
        <f t="shared" si="1"/>
        <v>-10.454135624166668</v>
      </c>
      <c r="W32" s="287">
        <v>87</v>
      </c>
      <c r="X32" s="280">
        <v>85</v>
      </c>
      <c r="Y32" s="280">
        <v>86</v>
      </c>
      <c r="Z32" s="280">
        <v>86</v>
      </c>
      <c r="AA32" s="280">
        <v>85</v>
      </c>
      <c r="AB32" s="280">
        <v>86</v>
      </c>
      <c r="AC32" s="280">
        <v>88</v>
      </c>
      <c r="AD32" s="280">
        <v>91</v>
      </c>
      <c r="AE32" s="280">
        <v>92</v>
      </c>
      <c r="AF32" s="280">
        <v>92</v>
      </c>
      <c r="AG32" s="280">
        <v>92</v>
      </c>
      <c r="AH32" s="280">
        <v>94</v>
      </c>
    </row>
    <row r="33" spans="1:34" s="1" customFormat="1" ht="13" x14ac:dyDescent="0.25">
      <c r="A33" s="280" t="s">
        <v>575</v>
      </c>
      <c r="B33" s="286">
        <v>442</v>
      </c>
      <c r="C33" s="286">
        <v>727.875</v>
      </c>
      <c r="D33" s="286">
        <v>1013.7500000000001</v>
      </c>
      <c r="E33" s="286">
        <v>5</v>
      </c>
      <c r="F33" s="281">
        <v>4</v>
      </c>
      <c r="G33" s="282">
        <v>80.489678562500004</v>
      </c>
      <c r="H33" s="282">
        <v>79.029718393750002</v>
      </c>
      <c r="I33" s="282">
        <v>80.779003245833323</v>
      </c>
      <c r="J33" s="282">
        <v>83.568582806666669</v>
      </c>
      <c r="K33" s="282">
        <v>82.472849191944434</v>
      </c>
      <c r="L33" s="282">
        <v>83.900008421527772</v>
      </c>
      <c r="M33" s="282">
        <v>86.466827316111093</v>
      </c>
      <c r="N33" s="282">
        <v>88.982289198611099</v>
      </c>
      <c r="O33" s="282">
        <v>90.774591183333328</v>
      </c>
      <c r="P33" s="282">
        <v>91.176025879999983</v>
      </c>
      <c r="Q33" s="282">
        <v>91.263210308125011</v>
      </c>
      <c r="R33" s="283">
        <v>90.948203362499996</v>
      </c>
      <c r="S33" s="284">
        <v>949.36130930840272</v>
      </c>
      <c r="T33" s="284">
        <v>496.21698937583329</v>
      </c>
      <c r="U33" s="296">
        <f t="shared" si="0"/>
        <v>31.572309308402509</v>
      </c>
      <c r="V33" s="296">
        <f t="shared" si="1"/>
        <v>-3.5770106241666895</v>
      </c>
      <c r="W33" s="287">
        <v>87</v>
      </c>
      <c r="X33" s="280">
        <v>85</v>
      </c>
      <c r="Y33" s="280">
        <v>87</v>
      </c>
      <c r="Z33" s="280">
        <v>88</v>
      </c>
      <c r="AA33" s="280">
        <v>88</v>
      </c>
      <c r="AB33" s="280">
        <v>90</v>
      </c>
      <c r="AC33" s="280">
        <v>93</v>
      </c>
      <c r="AD33" s="280">
        <v>97</v>
      </c>
      <c r="AE33" s="280">
        <v>99</v>
      </c>
      <c r="AF33" s="280">
        <v>100</v>
      </c>
      <c r="AG33" s="280">
        <v>101</v>
      </c>
      <c r="AH33" s="280">
        <v>104</v>
      </c>
    </row>
    <row r="34" spans="1:34" s="1" customFormat="1" ht="13" x14ac:dyDescent="0.25">
      <c r="A34" s="280" t="s">
        <v>576</v>
      </c>
      <c r="B34" s="286">
        <v>442</v>
      </c>
      <c r="C34" s="286">
        <v>727.875</v>
      </c>
      <c r="D34" s="286">
        <v>1013.7500000000001</v>
      </c>
      <c r="E34" s="286">
        <v>5</v>
      </c>
      <c r="F34" s="281">
        <v>5</v>
      </c>
      <c r="G34" s="282">
        <v>80.489678562500004</v>
      </c>
      <c r="H34" s="282">
        <v>79.029718393750002</v>
      </c>
      <c r="I34" s="282">
        <v>81.22400324583333</v>
      </c>
      <c r="J34" s="282">
        <v>84.458582806666669</v>
      </c>
      <c r="K34" s="282">
        <v>83.807849191944456</v>
      </c>
      <c r="L34" s="282">
        <v>85.747383421527772</v>
      </c>
      <c r="M34" s="282">
        <v>88.826577316111113</v>
      </c>
      <c r="N34" s="282">
        <v>91.854414198611096</v>
      </c>
      <c r="O34" s="282">
        <v>94.205372433333324</v>
      </c>
      <c r="P34" s="282">
        <v>95.165463379999991</v>
      </c>
      <c r="Q34" s="282">
        <v>95.811304058125003</v>
      </c>
      <c r="R34" s="283">
        <v>96.054953362500001</v>
      </c>
      <c r="S34" s="284">
        <v>976.18562180840274</v>
      </c>
      <c r="T34" s="284">
        <v>503.09411437583333</v>
      </c>
      <c r="U34" s="296">
        <f t="shared" si="0"/>
        <v>58.396621808402529</v>
      </c>
      <c r="V34" s="296">
        <f t="shared" si="1"/>
        <v>3.3001143758333455</v>
      </c>
      <c r="W34" s="287">
        <v>87</v>
      </c>
      <c r="X34" s="280">
        <v>85</v>
      </c>
      <c r="Y34" s="280">
        <v>88</v>
      </c>
      <c r="Z34" s="280">
        <v>90</v>
      </c>
      <c r="AA34" s="280">
        <v>91</v>
      </c>
      <c r="AB34" s="280">
        <v>94</v>
      </c>
      <c r="AC34" s="280">
        <v>98</v>
      </c>
      <c r="AD34" s="280">
        <v>103</v>
      </c>
      <c r="AE34" s="280">
        <v>106</v>
      </c>
      <c r="AF34" s="280">
        <v>108</v>
      </c>
      <c r="AG34" s="280">
        <v>110</v>
      </c>
      <c r="AH34" s="280">
        <v>114</v>
      </c>
    </row>
    <row r="35" spans="1:34" s="1" customFormat="1" ht="13" x14ac:dyDescent="0.25">
      <c r="A35" s="280" t="s">
        <v>577</v>
      </c>
      <c r="B35" s="286">
        <v>442</v>
      </c>
      <c r="C35" s="286">
        <v>727.875</v>
      </c>
      <c r="D35" s="286">
        <v>1013.7500000000001</v>
      </c>
      <c r="E35" s="286">
        <v>1</v>
      </c>
      <c r="F35" s="281">
        <v>0</v>
      </c>
      <c r="G35" s="282">
        <v>80.489678562500004</v>
      </c>
      <c r="H35" s="282">
        <v>81.236849218749995</v>
      </c>
      <c r="I35" s="282">
        <v>81.488966662500005</v>
      </c>
      <c r="J35" s="282">
        <v>82.752498223333333</v>
      </c>
      <c r="K35" s="282">
        <v>79.827481441944428</v>
      </c>
      <c r="L35" s="282">
        <v>78.507046171527762</v>
      </c>
      <c r="M35" s="282">
        <v>78.942723149444433</v>
      </c>
      <c r="N35" s="282">
        <v>79.277664198611106</v>
      </c>
      <c r="O35" s="282">
        <v>79.128924516666643</v>
      </c>
      <c r="P35" s="282">
        <v>77.282484213333333</v>
      </c>
      <c r="Q35" s="282">
        <v>75.135501974791651</v>
      </c>
      <c r="R35" s="283">
        <v>72.691745029166654</v>
      </c>
      <c r="S35" s="284">
        <v>866.2718848000693</v>
      </c>
      <c r="T35" s="284">
        <v>482.75556486749991</v>
      </c>
      <c r="U35" s="296">
        <f t="shared" si="0"/>
        <v>-51.517115199930913</v>
      </c>
      <c r="V35" s="296">
        <f t="shared" si="1"/>
        <v>-17.038435132500069</v>
      </c>
      <c r="W35" s="287">
        <v>87</v>
      </c>
      <c r="X35" s="280">
        <v>85</v>
      </c>
      <c r="Y35" s="280">
        <v>83</v>
      </c>
      <c r="Z35" s="280">
        <v>80</v>
      </c>
      <c r="AA35" s="280">
        <v>76</v>
      </c>
      <c r="AB35" s="280">
        <v>74</v>
      </c>
      <c r="AC35" s="280">
        <v>73</v>
      </c>
      <c r="AD35" s="280">
        <v>73</v>
      </c>
      <c r="AE35" s="280">
        <v>71</v>
      </c>
      <c r="AF35" s="280">
        <v>68</v>
      </c>
      <c r="AG35" s="280">
        <v>65</v>
      </c>
      <c r="AH35" s="280">
        <v>64</v>
      </c>
    </row>
    <row r="36" spans="1:34" s="1" customFormat="1" ht="13" x14ac:dyDescent="0.25">
      <c r="A36" s="280" t="s">
        <v>578</v>
      </c>
      <c r="B36" s="286">
        <v>442</v>
      </c>
      <c r="C36" s="286">
        <v>727.875</v>
      </c>
      <c r="D36" s="286">
        <v>1013.7500000000001</v>
      </c>
      <c r="E36" s="286">
        <v>1</v>
      </c>
      <c r="F36" s="281">
        <v>1</v>
      </c>
      <c r="G36" s="282">
        <v>80.489678562500004</v>
      </c>
      <c r="H36" s="282">
        <v>81.236849218749995</v>
      </c>
      <c r="I36" s="282">
        <v>81.933966662500012</v>
      </c>
      <c r="J36" s="282">
        <v>83.642498223333334</v>
      </c>
      <c r="K36" s="282">
        <v>81.162481441944436</v>
      </c>
      <c r="L36" s="282">
        <v>80.354421171527761</v>
      </c>
      <c r="M36" s="282">
        <v>81.302473149444438</v>
      </c>
      <c r="N36" s="282">
        <v>82.149789198611103</v>
      </c>
      <c r="O36" s="282">
        <v>82.560330766666652</v>
      </c>
      <c r="P36" s="282">
        <v>81.273171713333326</v>
      </c>
      <c r="Q36" s="282">
        <v>79.685470724791656</v>
      </c>
      <c r="R36" s="283">
        <v>77.800995029166657</v>
      </c>
      <c r="S36" s="284">
        <v>893.10244730006946</v>
      </c>
      <c r="T36" s="284">
        <v>489.63268986750001</v>
      </c>
      <c r="U36" s="296">
        <f t="shared" si="0"/>
        <v>-24.686552699930758</v>
      </c>
      <c r="V36" s="296">
        <f t="shared" si="1"/>
        <v>-10.161310132499977</v>
      </c>
      <c r="W36" s="287">
        <v>87</v>
      </c>
      <c r="X36" s="280">
        <v>85</v>
      </c>
      <c r="Y36" s="280">
        <v>84</v>
      </c>
      <c r="Z36" s="280">
        <v>82</v>
      </c>
      <c r="AA36" s="280">
        <v>79</v>
      </c>
      <c r="AB36" s="280">
        <v>78</v>
      </c>
      <c r="AC36" s="280">
        <v>78</v>
      </c>
      <c r="AD36" s="280">
        <v>79</v>
      </c>
      <c r="AE36" s="280">
        <v>78</v>
      </c>
      <c r="AF36" s="280">
        <v>76</v>
      </c>
      <c r="AG36" s="280">
        <v>74</v>
      </c>
      <c r="AH36" s="280">
        <v>74</v>
      </c>
    </row>
    <row r="37" spans="1:34" s="1" customFormat="1" ht="13" x14ac:dyDescent="0.25">
      <c r="A37" s="280" t="s">
        <v>579</v>
      </c>
      <c r="B37" s="286">
        <v>442</v>
      </c>
      <c r="C37" s="286">
        <v>727.875</v>
      </c>
      <c r="D37" s="286">
        <v>1013.7500000000001</v>
      </c>
      <c r="E37" s="286">
        <v>1</v>
      </c>
      <c r="F37" s="281">
        <v>2</v>
      </c>
      <c r="G37" s="282">
        <v>80.489678562500004</v>
      </c>
      <c r="H37" s="282">
        <v>81.236849218749995</v>
      </c>
      <c r="I37" s="282">
        <v>82.378966662499991</v>
      </c>
      <c r="J37" s="282">
        <v>84.532498223333334</v>
      </c>
      <c r="K37" s="282">
        <v>82.49748144194443</v>
      </c>
      <c r="L37" s="282">
        <v>82.201796171527761</v>
      </c>
      <c r="M37" s="282">
        <v>83.662223149444443</v>
      </c>
      <c r="N37" s="282">
        <v>85.021914198611114</v>
      </c>
      <c r="O37" s="282">
        <v>85.991737016666661</v>
      </c>
      <c r="P37" s="282">
        <v>85.263859213333333</v>
      </c>
      <c r="Q37" s="282">
        <v>84.235439474791661</v>
      </c>
      <c r="R37" s="283">
        <v>82.91024502916666</v>
      </c>
      <c r="S37" s="284">
        <v>919.93300980006939</v>
      </c>
      <c r="T37" s="284">
        <v>496.50981486749998</v>
      </c>
      <c r="U37" s="296">
        <f t="shared" si="0"/>
        <v>2.1440098000691705</v>
      </c>
      <c r="V37" s="296">
        <f t="shared" si="1"/>
        <v>-3.2841851324999993</v>
      </c>
      <c r="W37" s="287">
        <v>87</v>
      </c>
      <c r="X37" s="280">
        <v>85</v>
      </c>
      <c r="Y37" s="280">
        <v>85</v>
      </c>
      <c r="Z37" s="280">
        <v>84</v>
      </c>
      <c r="AA37" s="280">
        <v>82</v>
      </c>
      <c r="AB37" s="280">
        <v>82</v>
      </c>
      <c r="AC37" s="280">
        <v>83</v>
      </c>
      <c r="AD37" s="280">
        <v>85</v>
      </c>
      <c r="AE37" s="280">
        <v>85</v>
      </c>
      <c r="AF37" s="280">
        <v>84</v>
      </c>
      <c r="AG37" s="280">
        <v>83</v>
      </c>
      <c r="AH37" s="280">
        <v>84</v>
      </c>
    </row>
    <row r="38" spans="1:34" s="1" customFormat="1" ht="13" x14ac:dyDescent="0.25">
      <c r="A38" s="280" t="s">
        <v>580</v>
      </c>
      <c r="B38" s="286">
        <v>442</v>
      </c>
      <c r="C38" s="286">
        <v>727.875</v>
      </c>
      <c r="D38" s="286">
        <v>1013.7500000000001</v>
      </c>
      <c r="E38" s="286">
        <v>1</v>
      </c>
      <c r="F38" s="281">
        <v>3</v>
      </c>
      <c r="G38" s="282">
        <v>80.489678562500004</v>
      </c>
      <c r="H38" s="282">
        <v>81.236849218749995</v>
      </c>
      <c r="I38" s="282">
        <v>82.823966662499998</v>
      </c>
      <c r="J38" s="282">
        <v>85.422498223333335</v>
      </c>
      <c r="K38" s="282">
        <v>83.832481441944452</v>
      </c>
      <c r="L38" s="282">
        <v>84.049171171527775</v>
      </c>
      <c r="M38" s="282">
        <v>86.021973149444435</v>
      </c>
      <c r="N38" s="282">
        <v>87.894039198611097</v>
      </c>
      <c r="O38" s="282">
        <v>89.423143266666656</v>
      </c>
      <c r="P38" s="282">
        <v>89.254546713333326</v>
      </c>
      <c r="Q38" s="282">
        <v>88.785408224791666</v>
      </c>
      <c r="R38" s="283">
        <v>88.019495029166663</v>
      </c>
      <c r="S38" s="284">
        <v>946.76357230006943</v>
      </c>
      <c r="T38" s="284">
        <v>503.3869398674999</v>
      </c>
      <c r="U38" s="296">
        <f t="shared" si="0"/>
        <v>28.974572300069212</v>
      </c>
      <c r="V38" s="296">
        <f t="shared" si="1"/>
        <v>3.592939867499922</v>
      </c>
      <c r="W38" s="287">
        <v>87</v>
      </c>
      <c r="X38" s="280">
        <v>85</v>
      </c>
      <c r="Y38" s="280">
        <v>86</v>
      </c>
      <c r="Z38" s="280">
        <v>86</v>
      </c>
      <c r="AA38" s="280">
        <v>85</v>
      </c>
      <c r="AB38" s="280">
        <v>86</v>
      </c>
      <c r="AC38" s="280">
        <v>88</v>
      </c>
      <c r="AD38" s="280">
        <v>91</v>
      </c>
      <c r="AE38" s="280">
        <v>92</v>
      </c>
      <c r="AF38" s="280">
        <v>92</v>
      </c>
      <c r="AG38" s="280">
        <v>92</v>
      </c>
      <c r="AH38" s="280">
        <v>94</v>
      </c>
    </row>
    <row r="39" spans="1:34" s="1" customFormat="1" ht="13" x14ac:dyDescent="0.25">
      <c r="A39" s="280" t="s">
        <v>581</v>
      </c>
      <c r="B39" s="286">
        <v>442</v>
      </c>
      <c r="C39" s="286">
        <v>727.875</v>
      </c>
      <c r="D39" s="286">
        <v>1013.7500000000001</v>
      </c>
      <c r="E39" s="286">
        <v>1</v>
      </c>
      <c r="F39" s="281">
        <v>4</v>
      </c>
      <c r="G39" s="282">
        <v>80.489678562500004</v>
      </c>
      <c r="H39" s="282">
        <v>81.236849218749995</v>
      </c>
      <c r="I39" s="282">
        <v>83.268966662499992</v>
      </c>
      <c r="J39" s="282">
        <v>86.312498223333321</v>
      </c>
      <c r="K39" s="282">
        <v>85.167481441944446</v>
      </c>
      <c r="L39" s="282">
        <v>85.896546171527774</v>
      </c>
      <c r="M39" s="282">
        <v>88.38172314944444</v>
      </c>
      <c r="N39" s="282">
        <v>90.766164198611094</v>
      </c>
      <c r="O39" s="282">
        <v>92.854549516666651</v>
      </c>
      <c r="P39" s="282">
        <v>93.245234213333333</v>
      </c>
      <c r="Q39" s="282">
        <v>93.335376974791657</v>
      </c>
      <c r="R39" s="283">
        <v>93.128745029166666</v>
      </c>
      <c r="S39" s="284">
        <v>973.59413480006936</v>
      </c>
      <c r="T39" s="284">
        <v>510.26406486749994</v>
      </c>
      <c r="U39" s="296">
        <f t="shared" si="0"/>
        <v>55.805134800069141</v>
      </c>
      <c r="V39" s="296">
        <f t="shared" si="1"/>
        <v>10.470064867499957</v>
      </c>
      <c r="W39" s="287">
        <v>87</v>
      </c>
      <c r="X39" s="280">
        <v>85</v>
      </c>
      <c r="Y39" s="280">
        <v>87</v>
      </c>
      <c r="Z39" s="280">
        <v>88</v>
      </c>
      <c r="AA39" s="280">
        <v>88</v>
      </c>
      <c r="AB39" s="280">
        <v>90</v>
      </c>
      <c r="AC39" s="280">
        <v>93</v>
      </c>
      <c r="AD39" s="280">
        <v>97</v>
      </c>
      <c r="AE39" s="280">
        <v>99</v>
      </c>
      <c r="AF39" s="280">
        <v>100</v>
      </c>
      <c r="AG39" s="280">
        <v>101</v>
      </c>
      <c r="AH39" s="280">
        <v>104</v>
      </c>
    </row>
    <row r="40" spans="1:34" s="1" customFormat="1" ht="13" x14ac:dyDescent="0.25">
      <c r="A40" s="280" t="s">
        <v>582</v>
      </c>
      <c r="B40" s="286">
        <v>442</v>
      </c>
      <c r="C40" s="286">
        <v>727.875</v>
      </c>
      <c r="D40" s="286">
        <v>1013.7500000000001</v>
      </c>
      <c r="E40" s="286">
        <v>1</v>
      </c>
      <c r="F40" s="281">
        <v>5</v>
      </c>
      <c r="G40" s="282">
        <v>80.489678562500004</v>
      </c>
      <c r="H40" s="282">
        <v>81.236849218749995</v>
      </c>
      <c r="I40" s="282">
        <v>83.713966662499999</v>
      </c>
      <c r="J40" s="282">
        <v>87.202498223333322</v>
      </c>
      <c r="K40" s="282">
        <v>86.50248144194444</v>
      </c>
      <c r="L40" s="282">
        <v>87.743921171527774</v>
      </c>
      <c r="M40" s="282">
        <v>90.741473149444445</v>
      </c>
      <c r="N40" s="282">
        <v>93.638289198611105</v>
      </c>
      <c r="O40" s="282">
        <v>96.28595576666666</v>
      </c>
      <c r="P40" s="282">
        <v>97.235921713333326</v>
      </c>
      <c r="Q40" s="282">
        <v>97.885345724791662</v>
      </c>
      <c r="R40" s="283">
        <v>98.237995029166655</v>
      </c>
      <c r="S40" s="284">
        <v>1000.4246973000695</v>
      </c>
      <c r="T40" s="284">
        <v>517.14118986749997</v>
      </c>
      <c r="U40" s="296">
        <f t="shared" si="0"/>
        <v>82.635697300069296</v>
      </c>
      <c r="V40" s="296">
        <f t="shared" si="1"/>
        <v>17.347189867499992</v>
      </c>
      <c r="W40" s="287">
        <v>87</v>
      </c>
      <c r="X40" s="280">
        <v>85</v>
      </c>
      <c r="Y40" s="280">
        <v>88</v>
      </c>
      <c r="Z40" s="280">
        <v>90</v>
      </c>
      <c r="AA40" s="280">
        <v>91</v>
      </c>
      <c r="AB40" s="280">
        <v>94</v>
      </c>
      <c r="AC40" s="280">
        <v>98</v>
      </c>
      <c r="AD40" s="280">
        <v>103</v>
      </c>
      <c r="AE40" s="280">
        <v>106</v>
      </c>
      <c r="AF40" s="280">
        <v>108</v>
      </c>
      <c r="AG40" s="280">
        <v>110</v>
      </c>
      <c r="AH40" s="280">
        <v>114</v>
      </c>
    </row>
    <row r="41" spans="1:34" s="1" customFormat="1" ht="13" x14ac:dyDescent="0.25">
      <c r="A41" s="280" t="s">
        <v>583</v>
      </c>
      <c r="B41" s="286">
        <v>442</v>
      </c>
      <c r="C41" s="286">
        <v>727.875</v>
      </c>
      <c r="D41" s="286">
        <v>1013.7500000000001</v>
      </c>
      <c r="E41" s="286">
        <v>2</v>
      </c>
      <c r="F41" s="281">
        <v>0</v>
      </c>
      <c r="G41" s="282">
        <v>80.489678562500004</v>
      </c>
      <c r="H41" s="282">
        <v>80.050125218749997</v>
      </c>
      <c r="I41" s="282">
        <v>80.59106741250001</v>
      </c>
      <c r="J41" s="282">
        <v>81.647938473333312</v>
      </c>
      <c r="K41" s="282">
        <v>78.956727941944436</v>
      </c>
      <c r="L41" s="282">
        <v>78.129546171527764</v>
      </c>
      <c r="M41" s="282">
        <v>78.527618982777767</v>
      </c>
      <c r="N41" s="282">
        <v>78.873914198611104</v>
      </c>
      <c r="O41" s="282">
        <v>78.565799516666644</v>
      </c>
      <c r="P41" s="282">
        <v>76.878734213333331</v>
      </c>
      <c r="Q41" s="282">
        <v>74.69987697479165</v>
      </c>
      <c r="R41" s="283">
        <v>72.171120029166659</v>
      </c>
      <c r="S41" s="284">
        <v>859.09246913340269</v>
      </c>
      <c r="T41" s="284">
        <v>477.90302420083327</v>
      </c>
      <c r="U41" s="296">
        <f t="shared" si="0"/>
        <v>-58.696530866597527</v>
      </c>
      <c r="V41" s="296">
        <f t="shared" si="1"/>
        <v>-21.890975799166711</v>
      </c>
      <c r="W41" s="287">
        <v>87</v>
      </c>
      <c r="X41" s="280">
        <v>85</v>
      </c>
      <c r="Y41" s="280">
        <v>83</v>
      </c>
      <c r="Z41" s="280">
        <v>80</v>
      </c>
      <c r="AA41" s="280">
        <v>76</v>
      </c>
      <c r="AB41" s="280">
        <v>74</v>
      </c>
      <c r="AC41" s="280">
        <v>73</v>
      </c>
      <c r="AD41" s="280">
        <v>73</v>
      </c>
      <c r="AE41" s="280">
        <v>71</v>
      </c>
      <c r="AF41" s="280">
        <v>68</v>
      </c>
      <c r="AG41" s="280">
        <v>65</v>
      </c>
      <c r="AH41" s="280">
        <v>64</v>
      </c>
    </row>
    <row r="42" spans="1:34" s="1" customFormat="1" ht="13" x14ac:dyDescent="0.25">
      <c r="A42" s="280" t="s">
        <v>584</v>
      </c>
      <c r="B42" s="286">
        <v>442</v>
      </c>
      <c r="C42" s="286">
        <v>727.875</v>
      </c>
      <c r="D42" s="286">
        <v>1013.7500000000001</v>
      </c>
      <c r="E42" s="286">
        <v>2</v>
      </c>
      <c r="F42" s="281">
        <v>1</v>
      </c>
      <c r="G42" s="282">
        <v>80.489678562500004</v>
      </c>
      <c r="H42" s="282">
        <v>80.050125218749997</v>
      </c>
      <c r="I42" s="282">
        <v>81.036067412500003</v>
      </c>
      <c r="J42" s="282">
        <v>82.537938473333327</v>
      </c>
      <c r="K42" s="282">
        <v>80.291727941944444</v>
      </c>
      <c r="L42" s="282">
        <v>79.976921171527763</v>
      </c>
      <c r="M42" s="282">
        <v>80.887368982777772</v>
      </c>
      <c r="N42" s="282">
        <v>81.746039198611101</v>
      </c>
      <c r="O42" s="282">
        <v>81.997205766666639</v>
      </c>
      <c r="P42" s="282">
        <v>80.869421713333338</v>
      </c>
      <c r="Q42" s="282">
        <v>79.249845724791655</v>
      </c>
      <c r="R42" s="283">
        <v>77.280370029166662</v>
      </c>
      <c r="S42" s="284">
        <v>885.92303163340273</v>
      </c>
      <c r="T42" s="284">
        <v>484.78014920083331</v>
      </c>
      <c r="U42" s="296">
        <f t="shared" si="0"/>
        <v>-31.865968366597485</v>
      </c>
      <c r="V42" s="296">
        <f t="shared" si="1"/>
        <v>-15.013850799166676</v>
      </c>
      <c r="W42" s="287">
        <v>87</v>
      </c>
      <c r="X42" s="280">
        <v>85</v>
      </c>
      <c r="Y42" s="280">
        <v>84</v>
      </c>
      <c r="Z42" s="280">
        <v>82</v>
      </c>
      <c r="AA42" s="280">
        <v>79</v>
      </c>
      <c r="AB42" s="280">
        <v>78</v>
      </c>
      <c r="AC42" s="280">
        <v>78</v>
      </c>
      <c r="AD42" s="280">
        <v>79</v>
      </c>
      <c r="AE42" s="280">
        <v>78</v>
      </c>
      <c r="AF42" s="280">
        <v>76</v>
      </c>
      <c r="AG42" s="280">
        <v>74</v>
      </c>
      <c r="AH42" s="280">
        <v>74</v>
      </c>
    </row>
    <row r="43" spans="1:34" s="1" customFormat="1" ht="13" x14ac:dyDescent="0.25">
      <c r="A43" s="280" t="s">
        <v>585</v>
      </c>
      <c r="B43" s="286">
        <v>442</v>
      </c>
      <c r="C43" s="286">
        <v>727.875</v>
      </c>
      <c r="D43" s="286">
        <v>1013.7500000000001</v>
      </c>
      <c r="E43" s="286">
        <v>2</v>
      </c>
      <c r="F43" s="281">
        <v>2</v>
      </c>
      <c r="G43" s="282">
        <v>80.489678562500004</v>
      </c>
      <c r="H43" s="282">
        <v>80.050125218749997</v>
      </c>
      <c r="I43" s="282">
        <v>81.481067412500011</v>
      </c>
      <c r="J43" s="282">
        <v>83.427938473333327</v>
      </c>
      <c r="K43" s="282">
        <v>81.626727941944438</v>
      </c>
      <c r="L43" s="282">
        <v>81.824296171527763</v>
      </c>
      <c r="M43" s="282">
        <v>83.247118982777778</v>
      </c>
      <c r="N43" s="282">
        <v>84.618164198611112</v>
      </c>
      <c r="O43" s="282">
        <v>85.428612016666662</v>
      </c>
      <c r="P43" s="282">
        <v>84.860109213333331</v>
      </c>
      <c r="Q43" s="282">
        <v>83.79981447479166</v>
      </c>
      <c r="R43" s="283">
        <v>82.389620029166664</v>
      </c>
      <c r="S43" s="284">
        <v>912.75359413340266</v>
      </c>
      <c r="T43" s="284">
        <v>491.65727420083329</v>
      </c>
      <c r="U43" s="296">
        <f t="shared" si="0"/>
        <v>-5.0354058665975572</v>
      </c>
      <c r="V43" s="296">
        <f t="shared" si="1"/>
        <v>-8.1367257991666975</v>
      </c>
      <c r="W43" s="287">
        <v>87</v>
      </c>
      <c r="X43" s="280">
        <v>85</v>
      </c>
      <c r="Y43" s="280">
        <v>85</v>
      </c>
      <c r="Z43" s="280">
        <v>84</v>
      </c>
      <c r="AA43" s="280">
        <v>82</v>
      </c>
      <c r="AB43" s="280">
        <v>82</v>
      </c>
      <c r="AC43" s="280">
        <v>83</v>
      </c>
      <c r="AD43" s="280">
        <v>85</v>
      </c>
      <c r="AE43" s="280">
        <v>85</v>
      </c>
      <c r="AF43" s="280">
        <v>84</v>
      </c>
      <c r="AG43" s="280">
        <v>83</v>
      </c>
      <c r="AH43" s="280">
        <v>84</v>
      </c>
    </row>
    <row r="44" spans="1:34" s="1" customFormat="1" ht="13" x14ac:dyDescent="0.25">
      <c r="A44" s="280" t="s">
        <v>586</v>
      </c>
      <c r="B44" s="286">
        <v>442</v>
      </c>
      <c r="C44" s="286">
        <v>727.875</v>
      </c>
      <c r="D44" s="286">
        <v>1013.7500000000001</v>
      </c>
      <c r="E44" s="286">
        <v>2</v>
      </c>
      <c r="F44" s="281">
        <v>3</v>
      </c>
      <c r="G44" s="282">
        <v>80.489678562500004</v>
      </c>
      <c r="H44" s="282">
        <v>80.050125218749997</v>
      </c>
      <c r="I44" s="282">
        <v>81.926067412500004</v>
      </c>
      <c r="J44" s="282">
        <v>84.317938473333328</v>
      </c>
      <c r="K44" s="282">
        <v>82.961727941944446</v>
      </c>
      <c r="L44" s="282">
        <v>83.671671171527763</v>
      </c>
      <c r="M44" s="282">
        <v>85.606868982777783</v>
      </c>
      <c r="N44" s="282">
        <v>87.490289198611109</v>
      </c>
      <c r="O44" s="282">
        <v>88.860018266666657</v>
      </c>
      <c r="P44" s="282">
        <v>88.850796713333338</v>
      </c>
      <c r="Q44" s="282">
        <v>88.349783224791665</v>
      </c>
      <c r="R44" s="283">
        <v>87.498870029166653</v>
      </c>
      <c r="S44" s="284">
        <v>939.5841566334027</v>
      </c>
      <c r="T44" s="284">
        <v>498.53439920083332</v>
      </c>
      <c r="U44" s="296">
        <f t="shared" si="0"/>
        <v>21.795156633402485</v>
      </c>
      <c r="V44" s="296">
        <f t="shared" si="1"/>
        <v>-1.2596007991666625</v>
      </c>
      <c r="W44" s="287">
        <v>87</v>
      </c>
      <c r="X44" s="280">
        <v>85</v>
      </c>
      <c r="Y44" s="280">
        <v>86</v>
      </c>
      <c r="Z44" s="280">
        <v>86</v>
      </c>
      <c r="AA44" s="280">
        <v>85</v>
      </c>
      <c r="AB44" s="280">
        <v>86</v>
      </c>
      <c r="AC44" s="280">
        <v>88</v>
      </c>
      <c r="AD44" s="280">
        <v>91</v>
      </c>
      <c r="AE44" s="280">
        <v>92</v>
      </c>
      <c r="AF44" s="280">
        <v>92</v>
      </c>
      <c r="AG44" s="280">
        <v>92</v>
      </c>
      <c r="AH44" s="280">
        <v>94</v>
      </c>
    </row>
    <row r="45" spans="1:34" s="1" customFormat="1" ht="13" x14ac:dyDescent="0.25">
      <c r="A45" s="280" t="s">
        <v>587</v>
      </c>
      <c r="B45" s="286">
        <v>442</v>
      </c>
      <c r="C45" s="286">
        <v>727.875</v>
      </c>
      <c r="D45" s="286">
        <v>1013.7500000000001</v>
      </c>
      <c r="E45" s="286">
        <v>2</v>
      </c>
      <c r="F45" s="281">
        <v>4</v>
      </c>
      <c r="G45" s="282">
        <v>80.489678562500004</v>
      </c>
      <c r="H45" s="282">
        <v>80.050125218749997</v>
      </c>
      <c r="I45" s="282">
        <v>82.371067412500011</v>
      </c>
      <c r="J45" s="282">
        <v>85.207938473333328</v>
      </c>
      <c r="K45" s="282">
        <v>84.296727941944454</v>
      </c>
      <c r="L45" s="282">
        <v>85.519046171527762</v>
      </c>
      <c r="M45" s="282">
        <v>87.966618982777788</v>
      </c>
      <c r="N45" s="282">
        <v>90.362414198611106</v>
      </c>
      <c r="O45" s="282">
        <v>92.291424516666652</v>
      </c>
      <c r="P45" s="282">
        <v>92.841484213333331</v>
      </c>
      <c r="Q45" s="282">
        <v>92.89975197479167</v>
      </c>
      <c r="R45" s="283">
        <v>92.608120029166656</v>
      </c>
      <c r="S45" s="284">
        <v>966.41471913340285</v>
      </c>
      <c r="T45" s="284">
        <v>505.4115242008333</v>
      </c>
      <c r="U45" s="296">
        <f t="shared" si="0"/>
        <v>48.62571913340264</v>
      </c>
      <c r="V45" s="296">
        <f t="shared" si="1"/>
        <v>5.6175242008333157</v>
      </c>
      <c r="W45" s="287">
        <v>87</v>
      </c>
      <c r="X45" s="280">
        <v>85</v>
      </c>
      <c r="Y45" s="280">
        <v>87</v>
      </c>
      <c r="Z45" s="280">
        <v>88</v>
      </c>
      <c r="AA45" s="280">
        <v>88</v>
      </c>
      <c r="AB45" s="280">
        <v>90</v>
      </c>
      <c r="AC45" s="280">
        <v>93</v>
      </c>
      <c r="AD45" s="280">
        <v>97</v>
      </c>
      <c r="AE45" s="280">
        <v>99</v>
      </c>
      <c r="AF45" s="280">
        <v>100</v>
      </c>
      <c r="AG45" s="280">
        <v>101</v>
      </c>
      <c r="AH45" s="280">
        <v>104</v>
      </c>
    </row>
    <row r="46" spans="1:34" s="1" customFormat="1" ht="13" x14ac:dyDescent="0.25">
      <c r="A46" s="280" t="s">
        <v>588</v>
      </c>
      <c r="B46" s="286">
        <v>442</v>
      </c>
      <c r="C46" s="286">
        <v>727.875</v>
      </c>
      <c r="D46" s="286">
        <v>1013.7500000000001</v>
      </c>
      <c r="E46" s="286">
        <v>2</v>
      </c>
      <c r="F46" s="281">
        <v>5</v>
      </c>
      <c r="G46" s="282">
        <v>80.489678562500004</v>
      </c>
      <c r="H46" s="282">
        <v>80.050125218749997</v>
      </c>
      <c r="I46" s="282">
        <v>82.816067412500004</v>
      </c>
      <c r="J46" s="282">
        <v>86.097938473333329</v>
      </c>
      <c r="K46" s="282">
        <v>85.631727941944447</v>
      </c>
      <c r="L46" s="282">
        <v>87.366421171527762</v>
      </c>
      <c r="M46" s="282">
        <v>90.32636898277778</v>
      </c>
      <c r="N46" s="282">
        <v>93.234539198611103</v>
      </c>
      <c r="O46" s="282">
        <v>95.722830766666661</v>
      </c>
      <c r="P46" s="282">
        <v>96.832171713333338</v>
      </c>
      <c r="Q46" s="282">
        <v>97.449720724791661</v>
      </c>
      <c r="R46" s="283">
        <v>97.717370029166659</v>
      </c>
      <c r="S46" s="284">
        <v>993.24528163340267</v>
      </c>
      <c r="T46" s="284">
        <v>512.28864920083333</v>
      </c>
      <c r="U46" s="296">
        <f t="shared" si="0"/>
        <v>75.456281633402455</v>
      </c>
      <c r="V46" s="296">
        <f t="shared" si="1"/>
        <v>12.494649200833351</v>
      </c>
      <c r="W46" s="287">
        <v>87</v>
      </c>
      <c r="X46" s="280">
        <v>85</v>
      </c>
      <c r="Y46" s="280">
        <v>88</v>
      </c>
      <c r="Z46" s="280">
        <v>90</v>
      </c>
      <c r="AA46" s="280">
        <v>91</v>
      </c>
      <c r="AB46" s="280">
        <v>94</v>
      </c>
      <c r="AC46" s="280">
        <v>98</v>
      </c>
      <c r="AD46" s="280">
        <v>103</v>
      </c>
      <c r="AE46" s="280">
        <v>106</v>
      </c>
      <c r="AF46" s="280">
        <v>108</v>
      </c>
      <c r="AG46" s="280">
        <v>110</v>
      </c>
      <c r="AH46" s="280">
        <v>114</v>
      </c>
    </row>
    <row r="47" spans="1:34" s="1" customFormat="1" ht="13" x14ac:dyDescent="0.25">
      <c r="A47" s="280" t="s">
        <v>589</v>
      </c>
      <c r="B47" s="286">
        <v>442</v>
      </c>
      <c r="C47" s="286">
        <v>727.875</v>
      </c>
      <c r="D47" s="286">
        <v>1013.7500000000001</v>
      </c>
      <c r="E47" s="286">
        <v>3</v>
      </c>
      <c r="F47" s="281">
        <v>0</v>
      </c>
      <c r="G47" s="282">
        <v>80.489678562500004</v>
      </c>
      <c r="H47" s="282">
        <v>79.611519635416656</v>
      </c>
      <c r="I47" s="282">
        <v>79.908063995833345</v>
      </c>
      <c r="J47" s="282">
        <v>81.138737139999989</v>
      </c>
      <c r="K47" s="282">
        <v>78.273186275277766</v>
      </c>
      <c r="L47" s="282">
        <v>77.647879504861095</v>
      </c>
      <c r="M47" s="282">
        <v>78.136264816111094</v>
      </c>
      <c r="N47" s="282">
        <v>78.498497531944423</v>
      </c>
      <c r="O47" s="282">
        <v>78.108924516666647</v>
      </c>
      <c r="P47" s="282">
        <v>76.368734213333326</v>
      </c>
      <c r="Q47" s="282">
        <v>74.285501974791643</v>
      </c>
      <c r="R47" s="283">
        <v>71.707161695833321</v>
      </c>
      <c r="S47" s="284">
        <v>853.68447130006916</v>
      </c>
      <c r="T47" s="284">
        <v>474.71565136749985</v>
      </c>
      <c r="U47" s="296">
        <f t="shared" si="0"/>
        <v>-64.104528699931052</v>
      </c>
      <c r="V47" s="296">
        <f t="shared" si="1"/>
        <v>-25.078348632500138</v>
      </c>
      <c r="W47" s="287">
        <v>87</v>
      </c>
      <c r="X47" s="280">
        <v>85</v>
      </c>
      <c r="Y47" s="280">
        <v>83</v>
      </c>
      <c r="Z47" s="280">
        <v>80</v>
      </c>
      <c r="AA47" s="280">
        <v>76</v>
      </c>
      <c r="AB47" s="280">
        <v>74</v>
      </c>
      <c r="AC47" s="280">
        <v>73</v>
      </c>
      <c r="AD47" s="280">
        <v>73</v>
      </c>
      <c r="AE47" s="280">
        <v>71</v>
      </c>
      <c r="AF47" s="280">
        <v>68</v>
      </c>
      <c r="AG47" s="280">
        <v>65</v>
      </c>
      <c r="AH47" s="280">
        <v>64</v>
      </c>
    </row>
    <row r="48" spans="1:34" s="1" customFormat="1" ht="13" x14ac:dyDescent="0.25">
      <c r="A48" s="280" t="s">
        <v>590</v>
      </c>
      <c r="B48" s="286">
        <v>442</v>
      </c>
      <c r="C48" s="286">
        <v>727.875</v>
      </c>
      <c r="D48" s="286">
        <v>1013.7500000000001</v>
      </c>
      <c r="E48" s="286">
        <v>3</v>
      </c>
      <c r="F48" s="281">
        <v>1</v>
      </c>
      <c r="G48" s="282">
        <v>80.489678562500004</v>
      </c>
      <c r="H48" s="282">
        <v>79.611519635416656</v>
      </c>
      <c r="I48" s="282">
        <v>80.353063995833338</v>
      </c>
      <c r="J48" s="282">
        <v>82.028737140000004</v>
      </c>
      <c r="K48" s="282">
        <v>79.608186275277774</v>
      </c>
      <c r="L48" s="282">
        <v>79.495254504861094</v>
      </c>
      <c r="M48" s="282">
        <v>80.496014816111099</v>
      </c>
      <c r="N48" s="282">
        <v>81.370622531944434</v>
      </c>
      <c r="O48" s="282">
        <v>81.540330766666642</v>
      </c>
      <c r="P48" s="282">
        <v>80.359421713333333</v>
      </c>
      <c r="Q48" s="282">
        <v>78.835470724791648</v>
      </c>
      <c r="R48" s="283">
        <v>76.81641169583331</v>
      </c>
      <c r="S48" s="284">
        <v>880.51503380006932</v>
      </c>
      <c r="T48" s="284">
        <v>481.59277636749999</v>
      </c>
      <c r="U48" s="296">
        <f t="shared" si="0"/>
        <v>-37.273966199930896</v>
      </c>
      <c r="V48" s="296">
        <f t="shared" si="1"/>
        <v>-18.201223632499989</v>
      </c>
      <c r="W48" s="287">
        <v>87</v>
      </c>
      <c r="X48" s="280">
        <v>85</v>
      </c>
      <c r="Y48" s="280">
        <v>84</v>
      </c>
      <c r="Z48" s="280">
        <v>82</v>
      </c>
      <c r="AA48" s="280">
        <v>79</v>
      </c>
      <c r="AB48" s="280">
        <v>78</v>
      </c>
      <c r="AC48" s="280">
        <v>78</v>
      </c>
      <c r="AD48" s="280">
        <v>79</v>
      </c>
      <c r="AE48" s="280">
        <v>78</v>
      </c>
      <c r="AF48" s="280">
        <v>76</v>
      </c>
      <c r="AG48" s="280">
        <v>74</v>
      </c>
      <c r="AH48" s="280">
        <v>74</v>
      </c>
    </row>
    <row r="49" spans="1:34" s="1" customFormat="1" ht="13" x14ac:dyDescent="0.25">
      <c r="A49" s="280" t="s">
        <v>591</v>
      </c>
      <c r="B49" s="286">
        <v>442</v>
      </c>
      <c r="C49" s="286">
        <v>727.875</v>
      </c>
      <c r="D49" s="286">
        <v>1013.7500000000001</v>
      </c>
      <c r="E49" s="286">
        <v>3</v>
      </c>
      <c r="F49" s="281">
        <v>2</v>
      </c>
      <c r="G49" s="282">
        <v>80.489678562500004</v>
      </c>
      <c r="H49" s="282">
        <v>79.611519635416656</v>
      </c>
      <c r="I49" s="282">
        <v>80.798063995833331</v>
      </c>
      <c r="J49" s="282">
        <v>82.91873713999999</v>
      </c>
      <c r="K49" s="282">
        <v>80.943186275277768</v>
      </c>
      <c r="L49" s="282">
        <v>81.342629504861094</v>
      </c>
      <c r="M49" s="282">
        <v>82.85576481611109</v>
      </c>
      <c r="N49" s="282">
        <v>84.242747531944445</v>
      </c>
      <c r="O49" s="282">
        <v>84.971737016666651</v>
      </c>
      <c r="P49" s="282">
        <v>84.350109213333326</v>
      </c>
      <c r="Q49" s="282">
        <v>83.385439474791667</v>
      </c>
      <c r="R49" s="283">
        <v>81.925661695833313</v>
      </c>
      <c r="S49" s="284">
        <v>907.34559630006936</v>
      </c>
      <c r="T49" s="284">
        <v>488.46990136749992</v>
      </c>
      <c r="U49" s="296">
        <f t="shared" si="0"/>
        <v>-10.443403699930855</v>
      </c>
      <c r="V49" s="296">
        <f t="shared" si="1"/>
        <v>-11.324098632500068</v>
      </c>
      <c r="W49" s="287">
        <v>87</v>
      </c>
      <c r="X49" s="280">
        <v>85</v>
      </c>
      <c r="Y49" s="280">
        <v>85</v>
      </c>
      <c r="Z49" s="280">
        <v>84</v>
      </c>
      <c r="AA49" s="280">
        <v>82</v>
      </c>
      <c r="AB49" s="280">
        <v>82</v>
      </c>
      <c r="AC49" s="280">
        <v>83</v>
      </c>
      <c r="AD49" s="280">
        <v>85</v>
      </c>
      <c r="AE49" s="280">
        <v>85</v>
      </c>
      <c r="AF49" s="280">
        <v>84</v>
      </c>
      <c r="AG49" s="280">
        <v>83</v>
      </c>
      <c r="AH49" s="280">
        <v>84</v>
      </c>
    </row>
    <row r="50" spans="1:34" s="1" customFormat="1" ht="13" x14ac:dyDescent="0.25">
      <c r="A50" s="280" t="s">
        <v>592</v>
      </c>
      <c r="B50" s="286">
        <v>442</v>
      </c>
      <c r="C50" s="286">
        <v>727.875</v>
      </c>
      <c r="D50" s="286">
        <v>1013.7500000000001</v>
      </c>
      <c r="E50" s="286">
        <v>3</v>
      </c>
      <c r="F50" s="281">
        <v>3</v>
      </c>
      <c r="G50" s="282">
        <v>80.489678562500004</v>
      </c>
      <c r="H50" s="282">
        <v>79.611519635416656</v>
      </c>
      <c r="I50" s="282">
        <v>81.243063995833339</v>
      </c>
      <c r="J50" s="282">
        <v>83.808737139999991</v>
      </c>
      <c r="K50" s="282">
        <v>82.278186275277761</v>
      </c>
      <c r="L50" s="282">
        <v>83.190004504861093</v>
      </c>
      <c r="M50" s="282">
        <v>85.21551481611111</v>
      </c>
      <c r="N50" s="282">
        <v>87.114872531944442</v>
      </c>
      <c r="O50" s="282">
        <v>88.40314326666666</v>
      </c>
      <c r="P50" s="282">
        <v>88.340796713333333</v>
      </c>
      <c r="Q50" s="282">
        <v>87.935408224791658</v>
      </c>
      <c r="R50" s="283">
        <v>87.034911695833316</v>
      </c>
      <c r="S50" s="284">
        <v>934.1761588000694</v>
      </c>
      <c r="T50" s="284">
        <v>495.34702636749995</v>
      </c>
      <c r="U50" s="296">
        <f t="shared" si="0"/>
        <v>16.387158800069187</v>
      </c>
      <c r="V50" s="296">
        <f t="shared" si="1"/>
        <v>-4.4469736325000326</v>
      </c>
      <c r="W50" s="287">
        <v>87</v>
      </c>
      <c r="X50" s="280">
        <v>85</v>
      </c>
      <c r="Y50" s="280">
        <v>86</v>
      </c>
      <c r="Z50" s="280">
        <v>86</v>
      </c>
      <c r="AA50" s="280">
        <v>85</v>
      </c>
      <c r="AB50" s="280">
        <v>86</v>
      </c>
      <c r="AC50" s="280">
        <v>88</v>
      </c>
      <c r="AD50" s="280">
        <v>91</v>
      </c>
      <c r="AE50" s="280">
        <v>92</v>
      </c>
      <c r="AF50" s="280">
        <v>92</v>
      </c>
      <c r="AG50" s="280">
        <v>92</v>
      </c>
      <c r="AH50" s="280">
        <v>94</v>
      </c>
    </row>
    <row r="51" spans="1:34" s="1" customFormat="1" ht="13" x14ac:dyDescent="0.25">
      <c r="A51" s="280" t="s">
        <v>593</v>
      </c>
      <c r="B51" s="286">
        <v>442</v>
      </c>
      <c r="C51" s="286">
        <v>727.875</v>
      </c>
      <c r="D51" s="286">
        <v>1013.7500000000001</v>
      </c>
      <c r="E51" s="286">
        <v>3</v>
      </c>
      <c r="F51" s="281">
        <v>4</v>
      </c>
      <c r="G51" s="282">
        <v>80.489678562500004</v>
      </c>
      <c r="H51" s="282">
        <v>79.611519635416656</v>
      </c>
      <c r="I51" s="282">
        <v>81.688063995833346</v>
      </c>
      <c r="J51" s="282">
        <v>84.698737139999992</v>
      </c>
      <c r="K51" s="282">
        <v>83.613186275277783</v>
      </c>
      <c r="L51" s="282">
        <v>85.037379504861093</v>
      </c>
      <c r="M51" s="282">
        <v>87.575264816111115</v>
      </c>
      <c r="N51" s="282">
        <v>89.986997531944439</v>
      </c>
      <c r="O51" s="282">
        <v>91.834549516666655</v>
      </c>
      <c r="P51" s="282">
        <v>92.331484213333326</v>
      </c>
      <c r="Q51" s="282">
        <v>92.485376974791663</v>
      </c>
      <c r="R51" s="283">
        <v>92.144161695833319</v>
      </c>
      <c r="S51" s="284">
        <v>961.00672130006933</v>
      </c>
      <c r="T51" s="284">
        <v>502.22415136749999</v>
      </c>
      <c r="U51" s="296">
        <f t="shared" si="0"/>
        <v>43.217721300069115</v>
      </c>
      <c r="V51" s="296">
        <f t="shared" si="1"/>
        <v>2.4301513675000024</v>
      </c>
      <c r="W51" s="287">
        <v>87</v>
      </c>
      <c r="X51" s="280">
        <v>85</v>
      </c>
      <c r="Y51" s="280">
        <v>87</v>
      </c>
      <c r="Z51" s="280">
        <v>88</v>
      </c>
      <c r="AA51" s="280">
        <v>88</v>
      </c>
      <c r="AB51" s="280">
        <v>90</v>
      </c>
      <c r="AC51" s="280">
        <v>93</v>
      </c>
      <c r="AD51" s="280">
        <v>97</v>
      </c>
      <c r="AE51" s="280">
        <v>99</v>
      </c>
      <c r="AF51" s="280">
        <v>100</v>
      </c>
      <c r="AG51" s="280">
        <v>101</v>
      </c>
      <c r="AH51" s="280">
        <v>104</v>
      </c>
    </row>
    <row r="52" spans="1:34" s="1" customFormat="1" ht="13" x14ac:dyDescent="0.25">
      <c r="A52" s="280" t="s">
        <v>594</v>
      </c>
      <c r="B52" s="286">
        <v>442</v>
      </c>
      <c r="C52" s="286">
        <v>727.875</v>
      </c>
      <c r="D52" s="286">
        <v>1013.7500000000001</v>
      </c>
      <c r="E52" s="286">
        <v>3</v>
      </c>
      <c r="F52" s="281">
        <v>5</v>
      </c>
      <c r="G52" s="282">
        <v>80.489678562500004</v>
      </c>
      <c r="H52" s="282">
        <v>79.611519635416656</v>
      </c>
      <c r="I52" s="282">
        <v>82.133063995833353</v>
      </c>
      <c r="J52" s="282">
        <v>85.588737139999992</v>
      </c>
      <c r="K52" s="282">
        <v>84.948186275277777</v>
      </c>
      <c r="L52" s="282">
        <v>86.884754504861093</v>
      </c>
      <c r="M52" s="282">
        <v>89.935014816111121</v>
      </c>
      <c r="N52" s="282">
        <v>92.859122531944436</v>
      </c>
      <c r="O52" s="282">
        <v>95.26595576666665</v>
      </c>
      <c r="P52" s="282">
        <v>96.322171713333333</v>
      </c>
      <c r="Q52" s="282">
        <v>97.035345724791668</v>
      </c>
      <c r="R52" s="283">
        <v>97.253411695833321</v>
      </c>
      <c r="S52" s="284">
        <v>987.83728380006937</v>
      </c>
      <c r="T52" s="284">
        <v>509.10127636749996</v>
      </c>
      <c r="U52" s="296">
        <f t="shared" si="0"/>
        <v>70.048283800069157</v>
      </c>
      <c r="V52" s="296">
        <f t="shared" si="1"/>
        <v>9.3072763674999806</v>
      </c>
      <c r="W52" s="287">
        <v>87</v>
      </c>
      <c r="X52" s="280">
        <v>85</v>
      </c>
      <c r="Y52" s="280">
        <v>88</v>
      </c>
      <c r="Z52" s="280">
        <v>90</v>
      </c>
      <c r="AA52" s="280">
        <v>91</v>
      </c>
      <c r="AB52" s="280">
        <v>94</v>
      </c>
      <c r="AC52" s="280">
        <v>98</v>
      </c>
      <c r="AD52" s="280">
        <v>103</v>
      </c>
      <c r="AE52" s="280">
        <v>106</v>
      </c>
      <c r="AF52" s="280">
        <v>108</v>
      </c>
      <c r="AG52" s="280">
        <v>110</v>
      </c>
      <c r="AH52" s="280">
        <v>114</v>
      </c>
    </row>
    <row r="53" spans="1:34" s="1" customFormat="1" ht="13" x14ac:dyDescent="0.25">
      <c r="A53" s="280" t="s">
        <v>595</v>
      </c>
      <c r="B53" s="286">
        <v>442</v>
      </c>
      <c r="C53" s="286">
        <v>727.875</v>
      </c>
      <c r="D53" s="286">
        <v>1013.7500000000001</v>
      </c>
      <c r="E53" s="286">
        <v>4</v>
      </c>
      <c r="F53" s="281">
        <v>0</v>
      </c>
      <c r="G53" s="282">
        <v>80.489678562500004</v>
      </c>
      <c r="H53" s="282">
        <v>79.365093393750001</v>
      </c>
      <c r="I53" s="282">
        <v>79.471293287500004</v>
      </c>
      <c r="J53" s="282">
        <v>80.629666723333315</v>
      </c>
      <c r="K53" s="282">
        <v>77.822775941944428</v>
      </c>
      <c r="L53" s="282">
        <v>77.139209338194433</v>
      </c>
      <c r="M53" s="282">
        <v>77.706837732777771</v>
      </c>
      <c r="N53" s="282">
        <v>78.151414198611093</v>
      </c>
      <c r="O53" s="282">
        <v>77.699862016666643</v>
      </c>
      <c r="P53" s="282">
        <v>75.911859213333329</v>
      </c>
      <c r="Q53" s="282">
        <v>73.796751974791647</v>
      </c>
      <c r="R53" s="283">
        <v>71.273307529166658</v>
      </c>
      <c r="S53" s="284">
        <v>848.96807135006929</v>
      </c>
      <c r="T53" s="284">
        <v>472.13487641749998</v>
      </c>
      <c r="U53" s="296">
        <f t="shared" si="0"/>
        <v>-68.82092864993092</v>
      </c>
      <c r="V53" s="296">
        <f t="shared" si="1"/>
        <v>-27.659123582500001</v>
      </c>
      <c r="W53" s="287">
        <v>87</v>
      </c>
      <c r="X53" s="280">
        <v>85</v>
      </c>
      <c r="Y53" s="280">
        <v>83</v>
      </c>
      <c r="Z53" s="280">
        <v>80</v>
      </c>
      <c r="AA53" s="280">
        <v>76</v>
      </c>
      <c r="AB53" s="280">
        <v>74</v>
      </c>
      <c r="AC53" s="280">
        <v>73</v>
      </c>
      <c r="AD53" s="280">
        <v>73</v>
      </c>
      <c r="AE53" s="280">
        <v>71</v>
      </c>
      <c r="AF53" s="280">
        <v>68</v>
      </c>
      <c r="AG53" s="280">
        <v>65</v>
      </c>
      <c r="AH53" s="280">
        <v>64</v>
      </c>
    </row>
    <row r="54" spans="1:34" s="1" customFormat="1" ht="13" x14ac:dyDescent="0.25">
      <c r="A54" s="280" t="s">
        <v>596</v>
      </c>
      <c r="B54" s="286">
        <v>442</v>
      </c>
      <c r="C54" s="286">
        <v>727.875</v>
      </c>
      <c r="D54" s="286">
        <v>1013.7500000000001</v>
      </c>
      <c r="E54" s="286">
        <v>4</v>
      </c>
      <c r="F54" s="281">
        <v>1</v>
      </c>
      <c r="G54" s="282">
        <v>80.489678562500004</v>
      </c>
      <c r="H54" s="282">
        <v>79.365093393750001</v>
      </c>
      <c r="I54" s="282">
        <v>79.916293287500011</v>
      </c>
      <c r="J54" s="282">
        <v>81.51966672333333</v>
      </c>
      <c r="K54" s="282">
        <v>79.157775941944436</v>
      </c>
      <c r="L54" s="282">
        <v>78.986584338194433</v>
      </c>
      <c r="M54" s="282">
        <v>80.066587732777762</v>
      </c>
      <c r="N54" s="282">
        <v>81.023539198611104</v>
      </c>
      <c r="O54" s="282">
        <v>81.131268266666638</v>
      </c>
      <c r="P54" s="282">
        <v>79.902546713333336</v>
      </c>
      <c r="Q54" s="282">
        <v>78.346720724791652</v>
      </c>
      <c r="R54" s="283">
        <v>76.382557529166661</v>
      </c>
      <c r="S54" s="284">
        <v>875.79863385006945</v>
      </c>
      <c r="T54" s="284">
        <v>479.01200141749996</v>
      </c>
      <c r="U54" s="296">
        <f t="shared" si="0"/>
        <v>-41.990366149930765</v>
      </c>
      <c r="V54" s="296">
        <f t="shared" si="1"/>
        <v>-20.781998582500023</v>
      </c>
      <c r="W54" s="287">
        <v>87</v>
      </c>
      <c r="X54" s="280">
        <v>85</v>
      </c>
      <c r="Y54" s="280">
        <v>84</v>
      </c>
      <c r="Z54" s="280">
        <v>82</v>
      </c>
      <c r="AA54" s="280">
        <v>79</v>
      </c>
      <c r="AB54" s="280">
        <v>78</v>
      </c>
      <c r="AC54" s="280">
        <v>78</v>
      </c>
      <c r="AD54" s="280">
        <v>79</v>
      </c>
      <c r="AE54" s="280">
        <v>78</v>
      </c>
      <c r="AF54" s="280">
        <v>76</v>
      </c>
      <c r="AG54" s="280">
        <v>74</v>
      </c>
      <c r="AH54" s="280">
        <v>74</v>
      </c>
    </row>
    <row r="55" spans="1:34" s="1" customFormat="1" ht="13" x14ac:dyDescent="0.25">
      <c r="A55" s="280" t="s">
        <v>597</v>
      </c>
      <c r="B55" s="286">
        <v>442</v>
      </c>
      <c r="C55" s="286">
        <v>727.875</v>
      </c>
      <c r="D55" s="286">
        <v>1013.7500000000001</v>
      </c>
      <c r="E55" s="286">
        <v>4</v>
      </c>
      <c r="F55" s="281">
        <v>2</v>
      </c>
      <c r="G55" s="282">
        <v>80.489678562500004</v>
      </c>
      <c r="H55" s="282">
        <v>79.365093393750001</v>
      </c>
      <c r="I55" s="282">
        <v>80.36129328749999</v>
      </c>
      <c r="J55" s="282">
        <v>82.409666723333331</v>
      </c>
      <c r="K55" s="282">
        <v>80.49277594194443</v>
      </c>
      <c r="L55" s="282">
        <v>80.833959338194433</v>
      </c>
      <c r="M55" s="282">
        <v>82.426337732777768</v>
      </c>
      <c r="N55" s="282">
        <v>83.895664198611115</v>
      </c>
      <c r="O55" s="282">
        <v>84.562674516666661</v>
      </c>
      <c r="P55" s="282">
        <v>83.893234213333329</v>
      </c>
      <c r="Q55" s="282">
        <v>82.896689474791671</v>
      </c>
      <c r="R55" s="283">
        <v>81.491807529166664</v>
      </c>
      <c r="S55" s="284">
        <v>902.62919635006938</v>
      </c>
      <c r="T55" s="284">
        <v>485.88912641749999</v>
      </c>
      <c r="U55" s="296">
        <f t="shared" si="0"/>
        <v>-15.159803649930836</v>
      </c>
      <c r="V55" s="296">
        <f t="shared" si="1"/>
        <v>-13.904873582499988</v>
      </c>
      <c r="W55" s="287">
        <v>87</v>
      </c>
      <c r="X55" s="280">
        <v>85</v>
      </c>
      <c r="Y55" s="280">
        <v>85</v>
      </c>
      <c r="Z55" s="280">
        <v>84</v>
      </c>
      <c r="AA55" s="280">
        <v>82</v>
      </c>
      <c r="AB55" s="280">
        <v>82</v>
      </c>
      <c r="AC55" s="280">
        <v>83</v>
      </c>
      <c r="AD55" s="280">
        <v>85</v>
      </c>
      <c r="AE55" s="280">
        <v>85</v>
      </c>
      <c r="AF55" s="280">
        <v>84</v>
      </c>
      <c r="AG55" s="280">
        <v>83</v>
      </c>
      <c r="AH55" s="280">
        <v>84</v>
      </c>
    </row>
    <row r="56" spans="1:34" s="1" customFormat="1" ht="13" x14ac:dyDescent="0.25">
      <c r="A56" s="280" t="s">
        <v>598</v>
      </c>
      <c r="B56" s="286">
        <v>442</v>
      </c>
      <c r="C56" s="286">
        <v>727.875</v>
      </c>
      <c r="D56" s="286">
        <v>1013.7500000000001</v>
      </c>
      <c r="E56" s="286">
        <v>4</v>
      </c>
      <c r="F56" s="281">
        <v>3</v>
      </c>
      <c r="G56" s="282">
        <v>80.489678562500004</v>
      </c>
      <c r="H56" s="282">
        <v>79.365093393750001</v>
      </c>
      <c r="I56" s="282">
        <v>80.806293287499997</v>
      </c>
      <c r="J56" s="282">
        <v>83.299666723333331</v>
      </c>
      <c r="K56" s="282">
        <v>81.827775941944438</v>
      </c>
      <c r="L56" s="282">
        <v>82.681334338194432</v>
      </c>
      <c r="M56" s="282">
        <v>84.786087732777787</v>
      </c>
      <c r="N56" s="282">
        <v>86.767789198611112</v>
      </c>
      <c r="O56" s="282">
        <v>87.994080766666656</v>
      </c>
      <c r="P56" s="282">
        <v>87.883921713333336</v>
      </c>
      <c r="Q56" s="282">
        <v>87.446658224791662</v>
      </c>
      <c r="R56" s="283">
        <v>86.601057529166653</v>
      </c>
      <c r="S56" s="284">
        <v>929.45975885006942</v>
      </c>
      <c r="T56" s="284">
        <v>492.76625141750003</v>
      </c>
      <c r="U56" s="296">
        <f t="shared" si="0"/>
        <v>11.670758850069205</v>
      </c>
      <c r="V56" s="296">
        <f t="shared" si="1"/>
        <v>-7.027748582499953</v>
      </c>
      <c r="W56" s="287">
        <v>87</v>
      </c>
      <c r="X56" s="280">
        <v>85</v>
      </c>
      <c r="Y56" s="280">
        <v>86</v>
      </c>
      <c r="Z56" s="280">
        <v>86</v>
      </c>
      <c r="AA56" s="280">
        <v>85</v>
      </c>
      <c r="AB56" s="280">
        <v>86</v>
      </c>
      <c r="AC56" s="280">
        <v>88</v>
      </c>
      <c r="AD56" s="280">
        <v>91</v>
      </c>
      <c r="AE56" s="280">
        <v>92</v>
      </c>
      <c r="AF56" s="280">
        <v>92</v>
      </c>
      <c r="AG56" s="280">
        <v>92</v>
      </c>
      <c r="AH56" s="280">
        <v>94</v>
      </c>
    </row>
    <row r="57" spans="1:34" s="1" customFormat="1" ht="13" x14ac:dyDescent="0.25">
      <c r="A57" s="280" t="s">
        <v>599</v>
      </c>
      <c r="B57" s="286">
        <v>442</v>
      </c>
      <c r="C57" s="286">
        <v>727.875</v>
      </c>
      <c r="D57" s="286">
        <v>1013.7500000000001</v>
      </c>
      <c r="E57" s="286">
        <v>4</v>
      </c>
      <c r="F57" s="281">
        <v>4</v>
      </c>
      <c r="G57" s="282">
        <v>80.489678562500004</v>
      </c>
      <c r="H57" s="282">
        <v>79.365093393750001</v>
      </c>
      <c r="I57" s="282">
        <v>81.25129328749999</v>
      </c>
      <c r="J57" s="282">
        <v>84.189666723333332</v>
      </c>
      <c r="K57" s="282">
        <v>83.162775941944446</v>
      </c>
      <c r="L57" s="282">
        <v>84.528709338194432</v>
      </c>
      <c r="M57" s="282">
        <v>87.145837732777778</v>
      </c>
      <c r="N57" s="282">
        <v>89.639914198611095</v>
      </c>
      <c r="O57" s="282">
        <v>91.425487016666651</v>
      </c>
      <c r="P57" s="282">
        <v>91.874609213333329</v>
      </c>
      <c r="Q57" s="282">
        <v>91.996626974791667</v>
      </c>
      <c r="R57" s="283">
        <v>91.710307529166656</v>
      </c>
      <c r="S57" s="284">
        <v>956.29032135006946</v>
      </c>
      <c r="T57" s="284">
        <v>499.64337641750001</v>
      </c>
      <c r="U57" s="296">
        <f t="shared" si="0"/>
        <v>38.501321350069247</v>
      </c>
      <c r="V57" s="296">
        <f t="shared" si="1"/>
        <v>-0.15062358249997487</v>
      </c>
      <c r="W57" s="287">
        <v>87</v>
      </c>
      <c r="X57" s="280">
        <v>85</v>
      </c>
      <c r="Y57" s="280">
        <v>87</v>
      </c>
      <c r="Z57" s="280">
        <v>88</v>
      </c>
      <c r="AA57" s="280">
        <v>88</v>
      </c>
      <c r="AB57" s="280">
        <v>90</v>
      </c>
      <c r="AC57" s="280">
        <v>93</v>
      </c>
      <c r="AD57" s="280">
        <v>97</v>
      </c>
      <c r="AE57" s="280">
        <v>99</v>
      </c>
      <c r="AF57" s="280">
        <v>100</v>
      </c>
      <c r="AG57" s="280">
        <v>101</v>
      </c>
      <c r="AH57" s="280">
        <v>104</v>
      </c>
    </row>
    <row r="58" spans="1:34" s="1" customFormat="1" ht="13" x14ac:dyDescent="0.25">
      <c r="A58" s="280" t="s">
        <v>600</v>
      </c>
      <c r="B58" s="286">
        <v>442</v>
      </c>
      <c r="C58" s="286">
        <v>727.875</v>
      </c>
      <c r="D58" s="286">
        <v>1013.7500000000001</v>
      </c>
      <c r="E58" s="286">
        <v>4</v>
      </c>
      <c r="F58" s="281">
        <v>5</v>
      </c>
      <c r="G58" s="282">
        <v>80.489678562500004</v>
      </c>
      <c r="H58" s="282">
        <v>79.365093393750001</v>
      </c>
      <c r="I58" s="282">
        <v>81.696293287500012</v>
      </c>
      <c r="J58" s="282">
        <v>85.079666723333332</v>
      </c>
      <c r="K58" s="282">
        <v>84.497775941944454</v>
      </c>
      <c r="L58" s="282">
        <v>86.376084338194431</v>
      </c>
      <c r="M58" s="282">
        <v>89.505587732777784</v>
      </c>
      <c r="N58" s="282">
        <v>92.512039198611106</v>
      </c>
      <c r="O58" s="282">
        <v>94.85689326666666</v>
      </c>
      <c r="P58" s="282">
        <v>95.865296713333336</v>
      </c>
      <c r="Q58" s="282">
        <v>96.546595724791658</v>
      </c>
      <c r="R58" s="283">
        <v>96.819557529166659</v>
      </c>
      <c r="S58" s="284">
        <v>983.12088385006962</v>
      </c>
      <c r="T58" s="284">
        <v>506.52050141750004</v>
      </c>
      <c r="U58" s="296">
        <f t="shared" si="0"/>
        <v>65.331883850069403</v>
      </c>
      <c r="V58" s="296">
        <f t="shared" si="1"/>
        <v>6.7265014175000601</v>
      </c>
      <c r="W58" s="287">
        <v>87</v>
      </c>
      <c r="X58" s="280">
        <v>85</v>
      </c>
      <c r="Y58" s="280">
        <v>88</v>
      </c>
      <c r="Z58" s="280">
        <v>90</v>
      </c>
      <c r="AA58" s="280">
        <v>91</v>
      </c>
      <c r="AB58" s="280">
        <v>94</v>
      </c>
      <c r="AC58" s="280">
        <v>98</v>
      </c>
      <c r="AD58" s="280">
        <v>103</v>
      </c>
      <c r="AE58" s="280">
        <v>106</v>
      </c>
      <c r="AF58" s="280">
        <v>108</v>
      </c>
      <c r="AG58" s="280">
        <v>110</v>
      </c>
      <c r="AH58" s="280">
        <v>114</v>
      </c>
    </row>
    <row r="59" spans="1:34" s="1" customFormat="1" ht="13" x14ac:dyDescent="0.25">
      <c r="A59" s="280" t="s">
        <v>601</v>
      </c>
      <c r="B59" s="286">
        <v>442</v>
      </c>
      <c r="C59" s="286">
        <v>727.875</v>
      </c>
      <c r="D59" s="286">
        <v>1013.7500000000001</v>
      </c>
      <c r="E59" s="286">
        <v>5</v>
      </c>
      <c r="F59" s="281">
        <v>0</v>
      </c>
      <c r="G59" s="282">
        <v>80.489678562500004</v>
      </c>
      <c r="H59" s="282">
        <v>79.209968393750003</v>
      </c>
      <c r="I59" s="282">
        <v>79.1981386625</v>
      </c>
      <c r="J59" s="282">
        <v>80.224999473333298</v>
      </c>
      <c r="K59" s="282">
        <v>77.350224191944434</v>
      </c>
      <c r="L59" s="282">
        <v>76.74392508819443</v>
      </c>
      <c r="M59" s="282">
        <v>77.279181482777773</v>
      </c>
      <c r="N59" s="282">
        <v>77.756164198611103</v>
      </c>
      <c r="O59" s="282">
        <v>77.326924516666637</v>
      </c>
      <c r="P59" s="282">
        <v>75.493234213333338</v>
      </c>
      <c r="Q59" s="282">
        <v>73.342001974791643</v>
      </c>
      <c r="R59" s="283">
        <v>70.787745029166658</v>
      </c>
      <c r="S59" s="284">
        <v>844.71250722506943</v>
      </c>
      <c r="T59" s="284">
        <v>470.00643729249998</v>
      </c>
      <c r="U59" s="296">
        <f t="shared" si="0"/>
        <v>-73.076492774930784</v>
      </c>
      <c r="V59" s="296">
        <f t="shared" si="1"/>
        <v>-29.787562707500001</v>
      </c>
      <c r="W59" s="287">
        <v>87</v>
      </c>
      <c r="X59" s="280">
        <v>85</v>
      </c>
      <c r="Y59" s="280">
        <v>83</v>
      </c>
      <c r="Z59" s="280">
        <v>80</v>
      </c>
      <c r="AA59" s="280">
        <v>76</v>
      </c>
      <c r="AB59" s="280">
        <v>74</v>
      </c>
      <c r="AC59" s="280">
        <v>73</v>
      </c>
      <c r="AD59" s="280">
        <v>73</v>
      </c>
      <c r="AE59" s="280">
        <v>71</v>
      </c>
      <c r="AF59" s="280">
        <v>68</v>
      </c>
      <c r="AG59" s="280">
        <v>65</v>
      </c>
      <c r="AH59" s="280">
        <v>64</v>
      </c>
    </row>
    <row r="60" spans="1:34" s="1" customFormat="1" ht="13" x14ac:dyDescent="0.25">
      <c r="A60" s="280" t="s">
        <v>602</v>
      </c>
      <c r="B60" s="286">
        <v>442</v>
      </c>
      <c r="C60" s="286">
        <v>727.875</v>
      </c>
      <c r="D60" s="286">
        <v>1013.7500000000001</v>
      </c>
      <c r="E60" s="286">
        <v>5</v>
      </c>
      <c r="F60" s="281">
        <v>1</v>
      </c>
      <c r="G60" s="282">
        <v>80.489678562500004</v>
      </c>
      <c r="H60" s="282">
        <v>79.209968393750003</v>
      </c>
      <c r="I60" s="282">
        <v>79.643138662499993</v>
      </c>
      <c r="J60" s="282">
        <v>81.114999473333313</v>
      </c>
      <c r="K60" s="282">
        <v>78.685224191944442</v>
      </c>
      <c r="L60" s="282">
        <v>78.59130008819443</v>
      </c>
      <c r="M60" s="282">
        <v>79.638931482777764</v>
      </c>
      <c r="N60" s="282">
        <v>80.6282891986111</v>
      </c>
      <c r="O60" s="282">
        <v>80.758330766666646</v>
      </c>
      <c r="P60" s="282">
        <v>79.483921713333331</v>
      </c>
      <c r="Q60" s="282">
        <v>77.891970724791648</v>
      </c>
      <c r="R60" s="283">
        <v>75.896995029166661</v>
      </c>
      <c r="S60" s="284">
        <v>871.54306972506936</v>
      </c>
      <c r="T60" s="284">
        <v>476.88356229249996</v>
      </c>
      <c r="U60" s="296">
        <f t="shared" si="0"/>
        <v>-46.245930274930856</v>
      </c>
      <c r="V60" s="296">
        <f t="shared" si="1"/>
        <v>-22.910437707500023</v>
      </c>
      <c r="W60" s="287">
        <v>87</v>
      </c>
      <c r="X60" s="280">
        <v>85</v>
      </c>
      <c r="Y60" s="280">
        <v>84</v>
      </c>
      <c r="Z60" s="280">
        <v>82</v>
      </c>
      <c r="AA60" s="280">
        <v>79</v>
      </c>
      <c r="AB60" s="280">
        <v>78</v>
      </c>
      <c r="AC60" s="280">
        <v>78</v>
      </c>
      <c r="AD60" s="280">
        <v>79</v>
      </c>
      <c r="AE60" s="280">
        <v>78</v>
      </c>
      <c r="AF60" s="280">
        <v>76</v>
      </c>
      <c r="AG60" s="280">
        <v>74</v>
      </c>
      <c r="AH60" s="280">
        <v>74</v>
      </c>
    </row>
    <row r="61" spans="1:34" s="1" customFormat="1" ht="13" x14ac:dyDescent="0.25">
      <c r="A61" s="280" t="s">
        <v>603</v>
      </c>
      <c r="B61" s="286">
        <v>442</v>
      </c>
      <c r="C61" s="286">
        <v>727.875</v>
      </c>
      <c r="D61" s="286">
        <v>1013.7500000000001</v>
      </c>
      <c r="E61" s="286">
        <v>5</v>
      </c>
      <c r="F61" s="281">
        <v>2</v>
      </c>
      <c r="G61" s="282">
        <v>80.489678562500004</v>
      </c>
      <c r="H61" s="282">
        <v>79.209968393750003</v>
      </c>
      <c r="I61" s="282">
        <v>80.0881386625</v>
      </c>
      <c r="J61" s="282">
        <v>82.004999473333328</v>
      </c>
      <c r="K61" s="282">
        <v>80.020224191944436</v>
      </c>
      <c r="L61" s="282">
        <v>80.438675088194429</v>
      </c>
      <c r="M61" s="282">
        <v>81.998681482777769</v>
      </c>
      <c r="N61" s="282">
        <v>83.500414198611111</v>
      </c>
      <c r="O61" s="282">
        <v>84.189737016666655</v>
      </c>
      <c r="P61" s="282">
        <v>83.474609213333338</v>
      </c>
      <c r="Q61" s="282">
        <v>82.441939474791667</v>
      </c>
      <c r="R61" s="283">
        <v>81.006245029166649</v>
      </c>
      <c r="S61" s="284">
        <v>898.37363222506929</v>
      </c>
      <c r="T61" s="284">
        <v>483.76068729249999</v>
      </c>
      <c r="U61" s="296">
        <f t="shared" si="0"/>
        <v>-19.415367774930928</v>
      </c>
      <c r="V61" s="296">
        <f t="shared" si="1"/>
        <v>-16.033312707499988</v>
      </c>
      <c r="W61" s="287">
        <v>87</v>
      </c>
      <c r="X61" s="280">
        <v>85</v>
      </c>
      <c r="Y61" s="280">
        <v>85</v>
      </c>
      <c r="Z61" s="280">
        <v>84</v>
      </c>
      <c r="AA61" s="280">
        <v>82</v>
      </c>
      <c r="AB61" s="280">
        <v>82</v>
      </c>
      <c r="AC61" s="280">
        <v>83</v>
      </c>
      <c r="AD61" s="280">
        <v>85</v>
      </c>
      <c r="AE61" s="280">
        <v>85</v>
      </c>
      <c r="AF61" s="280">
        <v>84</v>
      </c>
      <c r="AG61" s="280">
        <v>83</v>
      </c>
      <c r="AH61" s="280">
        <v>84</v>
      </c>
    </row>
    <row r="62" spans="1:34" s="1" customFormat="1" ht="13" x14ac:dyDescent="0.25">
      <c r="A62" s="280" t="s">
        <v>604</v>
      </c>
      <c r="B62" s="286">
        <v>442</v>
      </c>
      <c r="C62" s="286">
        <v>727.875</v>
      </c>
      <c r="D62" s="286">
        <v>1013.7500000000001</v>
      </c>
      <c r="E62" s="286">
        <v>5</v>
      </c>
      <c r="F62" s="281">
        <v>3</v>
      </c>
      <c r="G62" s="282">
        <v>80.489678562500004</v>
      </c>
      <c r="H62" s="282">
        <v>79.209968393750003</v>
      </c>
      <c r="I62" s="282">
        <v>80.533138662499994</v>
      </c>
      <c r="J62" s="282">
        <v>82.894999473333328</v>
      </c>
      <c r="K62" s="282">
        <v>81.35522419194443</v>
      </c>
      <c r="L62" s="282">
        <v>82.286050088194429</v>
      </c>
      <c r="M62" s="282">
        <v>84.358431482777789</v>
      </c>
      <c r="N62" s="282">
        <v>86.372539198611108</v>
      </c>
      <c r="O62" s="282">
        <v>87.621143266666664</v>
      </c>
      <c r="P62" s="282">
        <v>87.465296713333331</v>
      </c>
      <c r="Q62" s="282">
        <v>86.991908224791658</v>
      </c>
      <c r="R62" s="283">
        <v>86.115495029166652</v>
      </c>
      <c r="S62" s="284">
        <v>925.20419472506956</v>
      </c>
      <c r="T62" s="284">
        <v>490.63781229249997</v>
      </c>
      <c r="U62" s="296">
        <f t="shared" si="0"/>
        <v>7.4151947250693411</v>
      </c>
      <c r="V62" s="296">
        <f t="shared" si="1"/>
        <v>-9.1561877075000098</v>
      </c>
      <c r="W62" s="287">
        <v>87</v>
      </c>
      <c r="X62" s="280">
        <v>85</v>
      </c>
      <c r="Y62" s="280">
        <v>86</v>
      </c>
      <c r="Z62" s="280">
        <v>86</v>
      </c>
      <c r="AA62" s="280">
        <v>85</v>
      </c>
      <c r="AB62" s="280">
        <v>86</v>
      </c>
      <c r="AC62" s="280">
        <v>88</v>
      </c>
      <c r="AD62" s="280">
        <v>91</v>
      </c>
      <c r="AE62" s="280">
        <v>92</v>
      </c>
      <c r="AF62" s="280">
        <v>92</v>
      </c>
      <c r="AG62" s="280">
        <v>92</v>
      </c>
      <c r="AH62" s="280">
        <v>94</v>
      </c>
    </row>
    <row r="63" spans="1:34" s="1" customFormat="1" ht="13" x14ac:dyDescent="0.25">
      <c r="A63" s="280" t="s">
        <v>605</v>
      </c>
      <c r="B63" s="286">
        <v>442</v>
      </c>
      <c r="C63" s="286">
        <v>727.875</v>
      </c>
      <c r="D63" s="286">
        <v>1013.7500000000001</v>
      </c>
      <c r="E63" s="286">
        <v>5</v>
      </c>
      <c r="F63" s="281">
        <v>4</v>
      </c>
      <c r="G63" s="282">
        <v>80.489678562500004</v>
      </c>
      <c r="H63" s="282">
        <v>79.209968393750003</v>
      </c>
      <c r="I63" s="282">
        <v>80.978138662500001</v>
      </c>
      <c r="J63" s="282">
        <v>83.784999473333329</v>
      </c>
      <c r="K63" s="282">
        <v>82.690224191944438</v>
      </c>
      <c r="L63" s="282">
        <v>84.133425088194443</v>
      </c>
      <c r="M63" s="282">
        <v>86.71818148277778</v>
      </c>
      <c r="N63" s="282">
        <v>89.244664198611105</v>
      </c>
      <c r="O63" s="282">
        <v>91.052549516666659</v>
      </c>
      <c r="P63" s="282">
        <v>91.455984213333338</v>
      </c>
      <c r="Q63" s="282">
        <v>91.541876974791663</v>
      </c>
      <c r="R63" s="283">
        <v>91.224745029166655</v>
      </c>
      <c r="S63" s="284">
        <v>952.03475722506937</v>
      </c>
      <c r="T63" s="284">
        <v>497.51493729249995</v>
      </c>
      <c r="U63" s="296">
        <f t="shared" si="0"/>
        <v>34.245757225069156</v>
      </c>
      <c r="V63" s="296">
        <f t="shared" si="1"/>
        <v>-2.2790627075000316</v>
      </c>
      <c r="W63" s="287">
        <v>87</v>
      </c>
      <c r="X63" s="280">
        <v>85</v>
      </c>
      <c r="Y63" s="280">
        <v>87</v>
      </c>
      <c r="Z63" s="280">
        <v>88</v>
      </c>
      <c r="AA63" s="280">
        <v>88</v>
      </c>
      <c r="AB63" s="280">
        <v>90</v>
      </c>
      <c r="AC63" s="280">
        <v>93</v>
      </c>
      <c r="AD63" s="280">
        <v>97</v>
      </c>
      <c r="AE63" s="280">
        <v>99</v>
      </c>
      <c r="AF63" s="280">
        <v>100</v>
      </c>
      <c r="AG63" s="280">
        <v>101</v>
      </c>
      <c r="AH63" s="280">
        <v>104</v>
      </c>
    </row>
    <row r="64" spans="1:34" s="1" customFormat="1" ht="13" x14ac:dyDescent="0.25">
      <c r="A64" s="280" t="s">
        <v>606</v>
      </c>
      <c r="B64" s="286">
        <v>442</v>
      </c>
      <c r="C64" s="286">
        <v>727.875</v>
      </c>
      <c r="D64" s="286">
        <v>1013.7500000000001</v>
      </c>
      <c r="E64" s="286">
        <v>5</v>
      </c>
      <c r="F64" s="281">
        <v>5</v>
      </c>
      <c r="G64" s="282">
        <v>80.489678562500004</v>
      </c>
      <c r="H64" s="282">
        <v>79.209968393750003</v>
      </c>
      <c r="I64" s="282">
        <v>81.423138662499994</v>
      </c>
      <c r="J64" s="282">
        <v>84.67499947333333</v>
      </c>
      <c r="K64" s="282">
        <v>84.025224191944446</v>
      </c>
      <c r="L64" s="282">
        <v>85.980800088194442</v>
      </c>
      <c r="M64" s="282">
        <v>89.077931482777785</v>
      </c>
      <c r="N64" s="282">
        <v>92.116789198611102</v>
      </c>
      <c r="O64" s="282">
        <v>94.483955766666654</v>
      </c>
      <c r="P64" s="282">
        <v>95.44667171333333</v>
      </c>
      <c r="Q64" s="282">
        <v>96.091845724791668</v>
      </c>
      <c r="R64" s="283">
        <v>96.333995029166658</v>
      </c>
      <c r="S64" s="284">
        <v>978.86531972506941</v>
      </c>
      <c r="T64" s="284">
        <v>504.39206229249999</v>
      </c>
      <c r="U64" s="296">
        <f t="shared" si="0"/>
        <v>61.076319725069197</v>
      </c>
      <c r="V64" s="296">
        <f t="shared" si="1"/>
        <v>4.5980622925000034</v>
      </c>
      <c r="W64" s="287">
        <v>87</v>
      </c>
      <c r="X64" s="280">
        <v>85</v>
      </c>
      <c r="Y64" s="280">
        <v>88</v>
      </c>
      <c r="Z64" s="280">
        <v>90</v>
      </c>
      <c r="AA64" s="280">
        <v>91</v>
      </c>
      <c r="AB64" s="280">
        <v>94</v>
      </c>
      <c r="AC64" s="280">
        <v>98</v>
      </c>
      <c r="AD64" s="280">
        <v>103</v>
      </c>
      <c r="AE64" s="280">
        <v>106</v>
      </c>
      <c r="AF64" s="280">
        <v>108</v>
      </c>
      <c r="AG64" s="280">
        <v>110</v>
      </c>
      <c r="AH64" s="280">
        <v>114</v>
      </c>
    </row>
    <row r="65" spans="1:34" s="1" customFormat="1" ht="13" x14ac:dyDescent="0.25">
      <c r="A65" s="280" t="s">
        <v>607</v>
      </c>
      <c r="B65" s="286">
        <v>442</v>
      </c>
      <c r="C65" s="286">
        <v>727.875</v>
      </c>
      <c r="D65" s="286">
        <v>1013.7500000000001</v>
      </c>
      <c r="E65" s="286">
        <v>1</v>
      </c>
      <c r="F65" s="281">
        <v>0</v>
      </c>
      <c r="G65" s="282">
        <v>80.489678562500004</v>
      </c>
      <c r="H65" s="282">
        <v>81.450182552083334</v>
      </c>
      <c r="I65" s="282">
        <v>81.739227079166668</v>
      </c>
      <c r="J65" s="282">
        <v>83.019373223333332</v>
      </c>
      <c r="K65" s="282">
        <v>80.083523108611104</v>
      </c>
      <c r="L65" s="282">
        <v>78.762671171527771</v>
      </c>
      <c r="M65" s="282">
        <v>79.2081398161111</v>
      </c>
      <c r="N65" s="282">
        <v>79.554955865277762</v>
      </c>
      <c r="O65" s="282">
        <v>79.422049516666661</v>
      </c>
      <c r="P65" s="282">
        <v>77.574984213333337</v>
      </c>
      <c r="Q65" s="282">
        <v>75.424251974791645</v>
      </c>
      <c r="R65" s="283">
        <v>72.976953362499984</v>
      </c>
      <c r="S65" s="284">
        <v>869.21631188340268</v>
      </c>
      <c r="T65" s="284">
        <v>484.26311695083325</v>
      </c>
      <c r="U65" s="296">
        <f t="shared" si="0"/>
        <v>-48.572688116597533</v>
      </c>
      <c r="V65" s="296">
        <f t="shared" si="1"/>
        <v>-15.530883049166732</v>
      </c>
      <c r="W65" s="287">
        <v>87</v>
      </c>
      <c r="X65" s="280">
        <v>85</v>
      </c>
      <c r="Y65" s="280">
        <v>83</v>
      </c>
      <c r="Z65" s="280">
        <v>80</v>
      </c>
      <c r="AA65" s="280">
        <v>76</v>
      </c>
      <c r="AB65" s="280">
        <v>74</v>
      </c>
      <c r="AC65" s="280">
        <v>73</v>
      </c>
      <c r="AD65" s="280">
        <v>73</v>
      </c>
      <c r="AE65" s="280">
        <v>71</v>
      </c>
      <c r="AF65" s="280">
        <v>68</v>
      </c>
      <c r="AG65" s="280">
        <v>65</v>
      </c>
      <c r="AH65" s="280">
        <v>64</v>
      </c>
    </row>
    <row r="66" spans="1:34" s="1" customFormat="1" ht="13" x14ac:dyDescent="0.25">
      <c r="A66" s="280" t="s">
        <v>608</v>
      </c>
      <c r="B66" s="286">
        <v>442</v>
      </c>
      <c r="C66" s="286">
        <v>727.875</v>
      </c>
      <c r="D66" s="286">
        <v>1013.7500000000001</v>
      </c>
      <c r="E66" s="286">
        <v>1</v>
      </c>
      <c r="F66" s="281">
        <v>1</v>
      </c>
      <c r="G66" s="282">
        <v>80.489678562500004</v>
      </c>
      <c r="H66" s="282">
        <v>81.450182552083334</v>
      </c>
      <c r="I66" s="282">
        <v>82.184227079166661</v>
      </c>
      <c r="J66" s="282">
        <v>83.909373223333347</v>
      </c>
      <c r="K66" s="282">
        <v>81.418523108611097</v>
      </c>
      <c r="L66" s="282">
        <v>80.61004617152777</v>
      </c>
      <c r="M66" s="282">
        <v>81.567889816111091</v>
      </c>
      <c r="N66" s="282">
        <v>82.427080865277759</v>
      </c>
      <c r="O66" s="282">
        <v>82.854080766666669</v>
      </c>
      <c r="P66" s="282">
        <v>81.566921713333329</v>
      </c>
      <c r="Q66" s="282">
        <v>79.976095724791648</v>
      </c>
      <c r="R66" s="283">
        <v>78.088703362499984</v>
      </c>
      <c r="S66" s="284">
        <v>896.05312438340275</v>
      </c>
      <c r="T66" s="284">
        <v>491.14024195083323</v>
      </c>
      <c r="U66" s="296">
        <f t="shared" si="0"/>
        <v>-21.735875616597468</v>
      </c>
      <c r="V66" s="296">
        <f t="shared" si="1"/>
        <v>-8.6537580491667541</v>
      </c>
      <c r="W66" s="287">
        <v>87</v>
      </c>
      <c r="X66" s="280">
        <v>85</v>
      </c>
      <c r="Y66" s="280">
        <v>84</v>
      </c>
      <c r="Z66" s="280">
        <v>82</v>
      </c>
      <c r="AA66" s="280">
        <v>79</v>
      </c>
      <c r="AB66" s="280">
        <v>78</v>
      </c>
      <c r="AC66" s="280">
        <v>78</v>
      </c>
      <c r="AD66" s="280">
        <v>79</v>
      </c>
      <c r="AE66" s="280">
        <v>78</v>
      </c>
      <c r="AF66" s="280">
        <v>76</v>
      </c>
      <c r="AG66" s="280">
        <v>74</v>
      </c>
      <c r="AH66" s="280">
        <v>74</v>
      </c>
    </row>
    <row r="67" spans="1:34" s="1" customFormat="1" ht="13" x14ac:dyDescent="0.25">
      <c r="A67" s="280" t="s">
        <v>609</v>
      </c>
      <c r="B67" s="286">
        <v>442</v>
      </c>
      <c r="C67" s="286">
        <v>727.875</v>
      </c>
      <c r="D67" s="286">
        <v>1013.7500000000001</v>
      </c>
      <c r="E67" s="286">
        <v>1</v>
      </c>
      <c r="F67" s="281">
        <v>2</v>
      </c>
      <c r="G67" s="282">
        <v>80.489678562500004</v>
      </c>
      <c r="H67" s="282">
        <v>81.450182552083334</v>
      </c>
      <c r="I67" s="282">
        <v>82.629227079166668</v>
      </c>
      <c r="J67" s="282">
        <v>84.799373223333347</v>
      </c>
      <c r="K67" s="282">
        <v>82.753523108611105</v>
      </c>
      <c r="L67" s="282">
        <v>82.45742117152777</v>
      </c>
      <c r="M67" s="282">
        <v>83.927639816111096</v>
      </c>
      <c r="N67" s="282">
        <v>85.29920586527777</v>
      </c>
      <c r="O67" s="282">
        <v>86.286112016666678</v>
      </c>
      <c r="P67" s="282">
        <v>85.558859213333335</v>
      </c>
      <c r="Q67" s="282">
        <v>84.527939474791665</v>
      </c>
      <c r="R67" s="283">
        <v>83.200453362499999</v>
      </c>
      <c r="S67" s="284">
        <v>922.8899368834027</v>
      </c>
      <c r="T67" s="284">
        <v>498.01736695083326</v>
      </c>
      <c r="U67" s="296">
        <f t="shared" si="0"/>
        <v>5.1009368834024826</v>
      </c>
      <c r="V67" s="296">
        <f t="shared" si="1"/>
        <v>-1.776633049166719</v>
      </c>
      <c r="W67" s="287">
        <v>87</v>
      </c>
      <c r="X67" s="280">
        <v>85</v>
      </c>
      <c r="Y67" s="280">
        <v>85</v>
      </c>
      <c r="Z67" s="280">
        <v>84</v>
      </c>
      <c r="AA67" s="280">
        <v>82</v>
      </c>
      <c r="AB67" s="280">
        <v>82</v>
      </c>
      <c r="AC67" s="280">
        <v>83</v>
      </c>
      <c r="AD67" s="280">
        <v>85</v>
      </c>
      <c r="AE67" s="280">
        <v>85</v>
      </c>
      <c r="AF67" s="280">
        <v>84</v>
      </c>
      <c r="AG67" s="280">
        <v>83</v>
      </c>
      <c r="AH67" s="280">
        <v>84</v>
      </c>
    </row>
    <row r="68" spans="1:34" s="1" customFormat="1" ht="13" x14ac:dyDescent="0.25">
      <c r="A68" s="280" t="s">
        <v>610</v>
      </c>
      <c r="B68" s="286">
        <v>442</v>
      </c>
      <c r="C68" s="286">
        <v>727.875</v>
      </c>
      <c r="D68" s="286">
        <v>1013.7500000000001</v>
      </c>
      <c r="E68" s="286">
        <v>1</v>
      </c>
      <c r="F68" s="281">
        <v>3</v>
      </c>
      <c r="G68" s="282">
        <v>80.489678562500004</v>
      </c>
      <c r="H68" s="282">
        <v>81.450182552083334</v>
      </c>
      <c r="I68" s="282">
        <v>83.074227079166661</v>
      </c>
      <c r="J68" s="282">
        <v>85.689373223333348</v>
      </c>
      <c r="K68" s="282">
        <v>84.088523108611113</v>
      </c>
      <c r="L68" s="282">
        <v>84.304796171527769</v>
      </c>
      <c r="M68" s="282">
        <v>86.287389816111101</v>
      </c>
      <c r="N68" s="282">
        <v>88.171330865277767</v>
      </c>
      <c r="O68" s="282">
        <v>89.718143266666672</v>
      </c>
      <c r="P68" s="282">
        <v>89.550796713333327</v>
      </c>
      <c r="Q68" s="282">
        <v>89.079783224791669</v>
      </c>
      <c r="R68" s="283">
        <v>88.3122033625</v>
      </c>
      <c r="S68" s="284">
        <v>949.72674938340265</v>
      </c>
      <c r="T68" s="284">
        <v>504.8944919508333</v>
      </c>
      <c r="U68" s="296">
        <f t="shared" si="0"/>
        <v>31.937749383402434</v>
      </c>
      <c r="V68" s="296">
        <f t="shared" si="1"/>
        <v>5.100491950833316</v>
      </c>
      <c r="W68" s="287">
        <v>87</v>
      </c>
      <c r="X68" s="280">
        <v>85</v>
      </c>
      <c r="Y68" s="280">
        <v>86</v>
      </c>
      <c r="Z68" s="280">
        <v>86</v>
      </c>
      <c r="AA68" s="280">
        <v>85</v>
      </c>
      <c r="AB68" s="280">
        <v>86</v>
      </c>
      <c r="AC68" s="280">
        <v>88</v>
      </c>
      <c r="AD68" s="280">
        <v>91</v>
      </c>
      <c r="AE68" s="280">
        <v>92</v>
      </c>
      <c r="AF68" s="280">
        <v>92</v>
      </c>
      <c r="AG68" s="280">
        <v>92</v>
      </c>
      <c r="AH68" s="280">
        <v>94</v>
      </c>
    </row>
    <row r="69" spans="1:34" s="1" customFormat="1" ht="13" x14ac:dyDescent="0.25">
      <c r="A69" s="280" t="s">
        <v>611</v>
      </c>
      <c r="B69" s="286">
        <v>442</v>
      </c>
      <c r="C69" s="286">
        <v>727.875</v>
      </c>
      <c r="D69" s="286">
        <v>1013.7500000000001</v>
      </c>
      <c r="E69" s="286">
        <v>1</v>
      </c>
      <c r="F69" s="281">
        <v>4</v>
      </c>
      <c r="G69" s="282">
        <v>80.489678562500004</v>
      </c>
      <c r="H69" s="282">
        <v>81.450182552083334</v>
      </c>
      <c r="I69" s="282">
        <v>83.519227079166669</v>
      </c>
      <c r="J69" s="282">
        <v>86.579373223333349</v>
      </c>
      <c r="K69" s="282">
        <v>85.423523108611121</v>
      </c>
      <c r="L69" s="282">
        <v>86.152171171527769</v>
      </c>
      <c r="M69" s="282">
        <v>88.647139816111107</v>
      </c>
      <c r="N69" s="282">
        <v>91.043455865277764</v>
      </c>
      <c r="O69" s="282">
        <v>93.150174516666667</v>
      </c>
      <c r="P69" s="282">
        <v>93.542734213333333</v>
      </c>
      <c r="Q69" s="282">
        <v>93.631626974791658</v>
      </c>
      <c r="R69" s="283">
        <v>93.423953362500001</v>
      </c>
      <c r="S69" s="284">
        <v>976.56356188340271</v>
      </c>
      <c r="T69" s="284">
        <v>511.77161695083333</v>
      </c>
      <c r="U69" s="296">
        <f t="shared" ref="U69:U132" si="2">S69-S$3</f>
        <v>58.774561883402498</v>
      </c>
      <c r="V69" s="296">
        <f t="shared" ref="V69:V132" si="3">T69-T$3</f>
        <v>11.977616950833351</v>
      </c>
      <c r="W69" s="287">
        <v>87</v>
      </c>
      <c r="X69" s="280">
        <v>85</v>
      </c>
      <c r="Y69" s="280">
        <v>87</v>
      </c>
      <c r="Z69" s="280">
        <v>88</v>
      </c>
      <c r="AA69" s="280">
        <v>88</v>
      </c>
      <c r="AB69" s="280">
        <v>90</v>
      </c>
      <c r="AC69" s="280">
        <v>93</v>
      </c>
      <c r="AD69" s="280">
        <v>97</v>
      </c>
      <c r="AE69" s="280">
        <v>99</v>
      </c>
      <c r="AF69" s="280">
        <v>100</v>
      </c>
      <c r="AG69" s="280">
        <v>101</v>
      </c>
      <c r="AH69" s="280">
        <v>104</v>
      </c>
    </row>
    <row r="70" spans="1:34" s="1" customFormat="1" ht="13" x14ac:dyDescent="0.25">
      <c r="A70" s="280" t="s">
        <v>612</v>
      </c>
      <c r="B70" s="286">
        <v>442</v>
      </c>
      <c r="C70" s="286">
        <v>727.875</v>
      </c>
      <c r="D70" s="286">
        <v>1013.7500000000001</v>
      </c>
      <c r="E70" s="286">
        <v>1</v>
      </c>
      <c r="F70" s="281">
        <v>5</v>
      </c>
      <c r="G70" s="282">
        <v>80.489678562500004</v>
      </c>
      <c r="H70" s="282">
        <v>81.450182552083334</v>
      </c>
      <c r="I70" s="282">
        <v>83.964227079166662</v>
      </c>
      <c r="J70" s="282">
        <v>87.469373223333349</v>
      </c>
      <c r="K70" s="282">
        <v>86.758523108611115</v>
      </c>
      <c r="L70" s="282">
        <v>87.999546171527768</v>
      </c>
      <c r="M70" s="282">
        <v>91.006889816111112</v>
      </c>
      <c r="N70" s="282">
        <v>93.915580865277775</v>
      </c>
      <c r="O70" s="282">
        <v>96.582205766666675</v>
      </c>
      <c r="P70" s="282">
        <v>97.534671713333339</v>
      </c>
      <c r="Q70" s="282">
        <v>98.183470724791661</v>
      </c>
      <c r="R70" s="283">
        <v>98.535703362500001</v>
      </c>
      <c r="S70" s="284">
        <v>1003.4003743834028</v>
      </c>
      <c r="T70" s="284">
        <v>518.64874195083337</v>
      </c>
      <c r="U70" s="296">
        <f t="shared" si="2"/>
        <v>85.611374383402563</v>
      </c>
      <c r="V70" s="296">
        <f t="shared" si="3"/>
        <v>18.854741950833386</v>
      </c>
      <c r="W70" s="287">
        <v>87</v>
      </c>
      <c r="X70" s="280">
        <v>85</v>
      </c>
      <c r="Y70" s="280">
        <v>88</v>
      </c>
      <c r="Z70" s="280">
        <v>90</v>
      </c>
      <c r="AA70" s="280">
        <v>91</v>
      </c>
      <c r="AB70" s="280">
        <v>94</v>
      </c>
      <c r="AC70" s="280">
        <v>98</v>
      </c>
      <c r="AD70" s="280">
        <v>103</v>
      </c>
      <c r="AE70" s="280">
        <v>106</v>
      </c>
      <c r="AF70" s="280">
        <v>108</v>
      </c>
      <c r="AG70" s="280">
        <v>110</v>
      </c>
      <c r="AH70" s="280">
        <v>114</v>
      </c>
    </row>
    <row r="71" spans="1:34" s="1" customFormat="1" ht="13" x14ac:dyDescent="0.25">
      <c r="A71" s="280" t="s">
        <v>613</v>
      </c>
      <c r="B71" s="286">
        <v>442</v>
      </c>
      <c r="C71" s="286">
        <v>727.875</v>
      </c>
      <c r="D71" s="286">
        <v>1013.7500000000001</v>
      </c>
      <c r="E71" s="286">
        <v>2</v>
      </c>
      <c r="F71" s="281">
        <v>0</v>
      </c>
      <c r="G71" s="282">
        <v>80.489678562500004</v>
      </c>
      <c r="H71" s="282">
        <v>80.248875218749987</v>
      </c>
      <c r="I71" s="282">
        <v>80.819949787499979</v>
      </c>
      <c r="J71" s="282">
        <v>81.905021806666653</v>
      </c>
      <c r="K71" s="282">
        <v>79.208498775277775</v>
      </c>
      <c r="L71" s="282">
        <v>78.383921171527774</v>
      </c>
      <c r="M71" s="282">
        <v>78.791212732777765</v>
      </c>
      <c r="N71" s="282">
        <v>79.14724753194443</v>
      </c>
      <c r="O71" s="282">
        <v>78.853403683333326</v>
      </c>
      <c r="P71" s="282">
        <v>77.167275879999991</v>
      </c>
      <c r="Q71" s="282">
        <v>74.984356141458321</v>
      </c>
      <c r="R71" s="283">
        <v>72.451224195833319</v>
      </c>
      <c r="S71" s="284">
        <v>861.96098692506939</v>
      </c>
      <c r="T71" s="284">
        <v>479.35747949249992</v>
      </c>
      <c r="U71" s="296">
        <f t="shared" si="2"/>
        <v>-55.828013074930823</v>
      </c>
      <c r="V71" s="296">
        <f t="shared" si="3"/>
        <v>-20.436520507500063</v>
      </c>
      <c r="W71" s="287">
        <v>87</v>
      </c>
      <c r="X71" s="280">
        <v>85</v>
      </c>
      <c r="Y71" s="280">
        <v>83</v>
      </c>
      <c r="Z71" s="280">
        <v>80</v>
      </c>
      <c r="AA71" s="280">
        <v>76</v>
      </c>
      <c r="AB71" s="280">
        <v>74</v>
      </c>
      <c r="AC71" s="280">
        <v>73</v>
      </c>
      <c r="AD71" s="280">
        <v>73</v>
      </c>
      <c r="AE71" s="280">
        <v>71</v>
      </c>
      <c r="AF71" s="280">
        <v>68</v>
      </c>
      <c r="AG71" s="280">
        <v>65</v>
      </c>
      <c r="AH71" s="280">
        <v>64</v>
      </c>
    </row>
    <row r="72" spans="1:34" s="1" customFormat="1" ht="13" x14ac:dyDescent="0.25">
      <c r="A72" s="280" t="s">
        <v>614</v>
      </c>
      <c r="B72" s="286">
        <v>442</v>
      </c>
      <c r="C72" s="286">
        <v>727.875</v>
      </c>
      <c r="D72" s="286">
        <v>1013.7500000000001</v>
      </c>
      <c r="E72" s="286">
        <v>2</v>
      </c>
      <c r="F72" s="281">
        <v>1</v>
      </c>
      <c r="G72" s="282">
        <v>80.489678562500004</v>
      </c>
      <c r="H72" s="282">
        <v>80.248875218749987</v>
      </c>
      <c r="I72" s="282">
        <v>81.264949787499972</v>
      </c>
      <c r="J72" s="282">
        <v>82.795021806666654</v>
      </c>
      <c r="K72" s="282">
        <v>80.543498775277769</v>
      </c>
      <c r="L72" s="282">
        <v>80.231296171527774</v>
      </c>
      <c r="M72" s="282">
        <v>81.150962732777771</v>
      </c>
      <c r="N72" s="282">
        <v>82.019372531944427</v>
      </c>
      <c r="O72" s="282">
        <v>82.285434933333335</v>
      </c>
      <c r="P72" s="282">
        <v>81.159213379999983</v>
      </c>
      <c r="Q72" s="282">
        <v>79.536199891458324</v>
      </c>
      <c r="R72" s="283">
        <v>77.56297419583332</v>
      </c>
      <c r="S72" s="284">
        <v>888.79779942506934</v>
      </c>
      <c r="T72" s="284">
        <v>486.23460449249995</v>
      </c>
      <c r="U72" s="296">
        <f t="shared" si="2"/>
        <v>-28.991200574930872</v>
      </c>
      <c r="V72" s="296">
        <f t="shared" si="3"/>
        <v>-13.559395507500028</v>
      </c>
      <c r="W72" s="287">
        <v>87</v>
      </c>
      <c r="X72" s="280">
        <v>85</v>
      </c>
      <c r="Y72" s="280">
        <v>84</v>
      </c>
      <c r="Z72" s="280">
        <v>82</v>
      </c>
      <c r="AA72" s="280">
        <v>79</v>
      </c>
      <c r="AB72" s="280">
        <v>78</v>
      </c>
      <c r="AC72" s="280">
        <v>78</v>
      </c>
      <c r="AD72" s="280">
        <v>79</v>
      </c>
      <c r="AE72" s="280">
        <v>78</v>
      </c>
      <c r="AF72" s="280">
        <v>76</v>
      </c>
      <c r="AG72" s="280">
        <v>74</v>
      </c>
      <c r="AH72" s="280">
        <v>74</v>
      </c>
    </row>
    <row r="73" spans="1:34" s="1" customFormat="1" ht="13" x14ac:dyDescent="0.25">
      <c r="A73" s="280" t="s">
        <v>615</v>
      </c>
      <c r="B73" s="286">
        <v>442</v>
      </c>
      <c r="C73" s="286">
        <v>727.875</v>
      </c>
      <c r="D73" s="286">
        <v>1013.7500000000001</v>
      </c>
      <c r="E73" s="286">
        <v>2</v>
      </c>
      <c r="F73" s="281">
        <v>2</v>
      </c>
      <c r="G73" s="282">
        <v>80.489678562500004</v>
      </c>
      <c r="H73" s="282">
        <v>80.248875218749987</v>
      </c>
      <c r="I73" s="282">
        <v>81.709949787499994</v>
      </c>
      <c r="J73" s="282">
        <v>83.685021806666668</v>
      </c>
      <c r="K73" s="282">
        <v>81.878498775277762</v>
      </c>
      <c r="L73" s="282">
        <v>82.078671171527773</v>
      </c>
      <c r="M73" s="282">
        <v>83.510712732777762</v>
      </c>
      <c r="N73" s="282">
        <v>84.891497531944438</v>
      </c>
      <c r="O73" s="282">
        <v>85.717466183333343</v>
      </c>
      <c r="P73" s="282">
        <v>85.151150879999989</v>
      </c>
      <c r="Q73" s="282">
        <v>84.088043641458341</v>
      </c>
      <c r="R73" s="283">
        <v>82.674724195833321</v>
      </c>
      <c r="S73" s="284">
        <v>915.63461192506952</v>
      </c>
      <c r="T73" s="284">
        <v>493.11172949249999</v>
      </c>
      <c r="U73" s="296">
        <f t="shared" si="2"/>
        <v>-2.1543880749306936</v>
      </c>
      <c r="V73" s="296">
        <f t="shared" si="3"/>
        <v>-6.6822705074999931</v>
      </c>
      <c r="W73" s="287">
        <v>87</v>
      </c>
      <c r="X73" s="280">
        <v>85</v>
      </c>
      <c r="Y73" s="280">
        <v>85</v>
      </c>
      <c r="Z73" s="280">
        <v>84</v>
      </c>
      <c r="AA73" s="280">
        <v>82</v>
      </c>
      <c r="AB73" s="280">
        <v>82</v>
      </c>
      <c r="AC73" s="280">
        <v>83</v>
      </c>
      <c r="AD73" s="280">
        <v>85</v>
      </c>
      <c r="AE73" s="280">
        <v>85</v>
      </c>
      <c r="AF73" s="280">
        <v>84</v>
      </c>
      <c r="AG73" s="280">
        <v>83</v>
      </c>
      <c r="AH73" s="280">
        <v>84</v>
      </c>
    </row>
    <row r="74" spans="1:34" s="1" customFormat="1" ht="13" x14ac:dyDescent="0.25">
      <c r="A74" s="280" t="s">
        <v>616</v>
      </c>
      <c r="B74" s="286">
        <v>442</v>
      </c>
      <c r="C74" s="286">
        <v>727.875</v>
      </c>
      <c r="D74" s="286">
        <v>1013.7500000000001</v>
      </c>
      <c r="E74" s="286">
        <v>2</v>
      </c>
      <c r="F74" s="281">
        <v>3</v>
      </c>
      <c r="G74" s="282">
        <v>80.489678562500004</v>
      </c>
      <c r="H74" s="282">
        <v>80.248875218749987</v>
      </c>
      <c r="I74" s="282">
        <v>82.154949787499987</v>
      </c>
      <c r="J74" s="282">
        <v>84.575021806666669</v>
      </c>
      <c r="K74" s="282">
        <v>83.213498775277785</v>
      </c>
      <c r="L74" s="282">
        <v>83.926046171527773</v>
      </c>
      <c r="M74" s="282">
        <v>85.870462732777767</v>
      </c>
      <c r="N74" s="282">
        <v>87.763622531944449</v>
      </c>
      <c r="O74" s="282">
        <v>89.149497433333337</v>
      </c>
      <c r="P74" s="282">
        <v>89.143088379999995</v>
      </c>
      <c r="Q74" s="282">
        <v>88.639887391458316</v>
      </c>
      <c r="R74" s="283">
        <v>87.786474195833321</v>
      </c>
      <c r="S74" s="284">
        <v>942.47142442506924</v>
      </c>
      <c r="T74" s="284">
        <v>499.98885449249997</v>
      </c>
      <c r="U74" s="296">
        <f t="shared" si="2"/>
        <v>24.68242442506903</v>
      </c>
      <c r="V74" s="296">
        <f t="shared" si="3"/>
        <v>0.1948544924999851</v>
      </c>
      <c r="W74" s="287">
        <v>87</v>
      </c>
      <c r="X74" s="280">
        <v>85</v>
      </c>
      <c r="Y74" s="280">
        <v>86</v>
      </c>
      <c r="Z74" s="280">
        <v>86</v>
      </c>
      <c r="AA74" s="280">
        <v>85</v>
      </c>
      <c r="AB74" s="280">
        <v>86</v>
      </c>
      <c r="AC74" s="280">
        <v>88</v>
      </c>
      <c r="AD74" s="280">
        <v>91</v>
      </c>
      <c r="AE74" s="280">
        <v>92</v>
      </c>
      <c r="AF74" s="280">
        <v>92</v>
      </c>
      <c r="AG74" s="280">
        <v>92</v>
      </c>
      <c r="AH74" s="280">
        <v>94</v>
      </c>
    </row>
    <row r="75" spans="1:34" s="1" customFormat="1" ht="13" x14ac:dyDescent="0.25">
      <c r="A75" s="280" t="s">
        <v>617</v>
      </c>
      <c r="B75" s="286">
        <v>442</v>
      </c>
      <c r="C75" s="286">
        <v>727.875</v>
      </c>
      <c r="D75" s="286">
        <v>1013.7500000000001</v>
      </c>
      <c r="E75" s="286">
        <v>2</v>
      </c>
      <c r="F75" s="281">
        <v>4</v>
      </c>
      <c r="G75" s="282">
        <v>80.489678562500004</v>
      </c>
      <c r="H75" s="282">
        <v>80.248875218749987</v>
      </c>
      <c r="I75" s="282">
        <v>82.599949787499995</v>
      </c>
      <c r="J75" s="282">
        <v>85.46502180666667</v>
      </c>
      <c r="K75" s="282">
        <v>84.548498775277778</v>
      </c>
      <c r="L75" s="282">
        <v>85.773421171527772</v>
      </c>
      <c r="M75" s="282">
        <v>88.230212732777787</v>
      </c>
      <c r="N75" s="282">
        <v>90.635747531944446</v>
      </c>
      <c r="O75" s="282">
        <v>92.581528683333346</v>
      </c>
      <c r="P75" s="282">
        <v>93.135025879999986</v>
      </c>
      <c r="Q75" s="282">
        <v>93.19173114145832</v>
      </c>
      <c r="R75" s="283">
        <v>92.898224195833322</v>
      </c>
      <c r="S75" s="284">
        <v>969.30823692506942</v>
      </c>
      <c r="T75" s="284">
        <v>506.8659794925</v>
      </c>
      <c r="U75" s="296">
        <f t="shared" si="2"/>
        <v>51.519236925069208</v>
      </c>
      <c r="V75" s="296">
        <f t="shared" si="3"/>
        <v>7.0719794925000201</v>
      </c>
      <c r="W75" s="287">
        <v>87</v>
      </c>
      <c r="X75" s="280">
        <v>85</v>
      </c>
      <c r="Y75" s="280">
        <v>87</v>
      </c>
      <c r="Z75" s="280">
        <v>88</v>
      </c>
      <c r="AA75" s="280">
        <v>88</v>
      </c>
      <c r="AB75" s="280">
        <v>90</v>
      </c>
      <c r="AC75" s="280">
        <v>93</v>
      </c>
      <c r="AD75" s="280">
        <v>97</v>
      </c>
      <c r="AE75" s="280">
        <v>99</v>
      </c>
      <c r="AF75" s="280">
        <v>100</v>
      </c>
      <c r="AG75" s="280">
        <v>101</v>
      </c>
      <c r="AH75" s="280">
        <v>104</v>
      </c>
    </row>
    <row r="76" spans="1:34" s="1" customFormat="1" ht="13" x14ac:dyDescent="0.25">
      <c r="A76" s="280" t="s">
        <v>618</v>
      </c>
      <c r="B76" s="286">
        <v>442</v>
      </c>
      <c r="C76" s="286">
        <v>727.875</v>
      </c>
      <c r="D76" s="286">
        <v>1013.7500000000001</v>
      </c>
      <c r="E76" s="286">
        <v>2</v>
      </c>
      <c r="F76" s="281">
        <v>5</v>
      </c>
      <c r="G76" s="282">
        <v>80.489678562500004</v>
      </c>
      <c r="H76" s="282">
        <v>80.248875218749987</v>
      </c>
      <c r="I76" s="282">
        <v>83.044949787499988</v>
      </c>
      <c r="J76" s="282">
        <v>86.35502180666667</v>
      </c>
      <c r="K76" s="282">
        <v>85.883498775277786</v>
      </c>
      <c r="L76" s="282">
        <v>87.620796171527772</v>
      </c>
      <c r="M76" s="282">
        <v>90.589962732777778</v>
      </c>
      <c r="N76" s="282">
        <v>93.507872531944443</v>
      </c>
      <c r="O76" s="282">
        <v>96.01355993333334</v>
      </c>
      <c r="P76" s="282">
        <v>97.126963379999992</v>
      </c>
      <c r="Q76" s="282">
        <v>97.743574891458323</v>
      </c>
      <c r="R76" s="283">
        <v>98.009974195833323</v>
      </c>
      <c r="S76" s="284">
        <v>996.14504942506949</v>
      </c>
      <c r="T76" s="284">
        <v>513.74310449249992</v>
      </c>
      <c r="U76" s="296">
        <f t="shared" si="2"/>
        <v>78.356049425069273</v>
      </c>
      <c r="V76" s="296">
        <f t="shared" si="3"/>
        <v>13.949104492499941</v>
      </c>
      <c r="W76" s="287">
        <v>87</v>
      </c>
      <c r="X76" s="280">
        <v>85</v>
      </c>
      <c r="Y76" s="280">
        <v>88</v>
      </c>
      <c r="Z76" s="280">
        <v>90</v>
      </c>
      <c r="AA76" s="280">
        <v>91</v>
      </c>
      <c r="AB76" s="280">
        <v>94</v>
      </c>
      <c r="AC76" s="280">
        <v>98</v>
      </c>
      <c r="AD76" s="280">
        <v>103</v>
      </c>
      <c r="AE76" s="280">
        <v>106</v>
      </c>
      <c r="AF76" s="280">
        <v>108</v>
      </c>
      <c r="AG76" s="280">
        <v>110</v>
      </c>
      <c r="AH76" s="280">
        <v>114</v>
      </c>
    </row>
    <row r="77" spans="1:34" s="1" customFormat="1" ht="13" x14ac:dyDescent="0.25">
      <c r="A77" s="280" t="s">
        <v>619</v>
      </c>
      <c r="B77" s="286">
        <v>442</v>
      </c>
      <c r="C77" s="286">
        <v>727.875</v>
      </c>
      <c r="D77" s="286">
        <v>1013.7500000000001</v>
      </c>
      <c r="E77" s="286">
        <v>3</v>
      </c>
      <c r="F77" s="281">
        <v>0</v>
      </c>
      <c r="G77" s="282">
        <v>80.489678562500004</v>
      </c>
      <c r="H77" s="282">
        <v>79.799991857638872</v>
      </c>
      <c r="I77" s="282">
        <v>80.11953969027779</v>
      </c>
      <c r="J77" s="282">
        <v>81.379917695555548</v>
      </c>
      <c r="K77" s="282">
        <v>78.518255719722205</v>
      </c>
      <c r="L77" s="282">
        <v>77.897532282638878</v>
      </c>
      <c r="M77" s="282">
        <v>78.396021760555556</v>
      </c>
      <c r="N77" s="282">
        <v>78.768150309722202</v>
      </c>
      <c r="O77" s="282">
        <v>78.392049516666646</v>
      </c>
      <c r="P77" s="282">
        <v>76.652275880000005</v>
      </c>
      <c r="Q77" s="282">
        <v>74.565918641458325</v>
      </c>
      <c r="R77" s="283">
        <v>71.982717251388877</v>
      </c>
      <c r="S77" s="284">
        <v>856.47237060562486</v>
      </c>
      <c r="T77" s="284">
        <v>476.11125900638888</v>
      </c>
      <c r="U77" s="296">
        <f t="shared" si="2"/>
        <v>-61.316629394375354</v>
      </c>
      <c r="V77" s="296">
        <f t="shared" si="3"/>
        <v>-23.682740993611105</v>
      </c>
      <c r="W77" s="287">
        <v>87</v>
      </c>
      <c r="X77" s="280">
        <v>85</v>
      </c>
      <c r="Y77" s="280">
        <v>83</v>
      </c>
      <c r="Z77" s="280">
        <v>80</v>
      </c>
      <c r="AA77" s="280">
        <v>76</v>
      </c>
      <c r="AB77" s="280">
        <v>74</v>
      </c>
      <c r="AC77" s="280">
        <v>73</v>
      </c>
      <c r="AD77" s="280">
        <v>73</v>
      </c>
      <c r="AE77" s="280">
        <v>71</v>
      </c>
      <c r="AF77" s="280">
        <v>68</v>
      </c>
      <c r="AG77" s="280">
        <v>65</v>
      </c>
      <c r="AH77" s="280">
        <v>64</v>
      </c>
    </row>
    <row r="78" spans="1:34" s="1" customFormat="1" ht="13" x14ac:dyDescent="0.25">
      <c r="A78" s="280" t="s">
        <v>620</v>
      </c>
      <c r="B78" s="286">
        <v>442</v>
      </c>
      <c r="C78" s="286">
        <v>727.875</v>
      </c>
      <c r="D78" s="286">
        <v>1013.7500000000001</v>
      </c>
      <c r="E78" s="286">
        <v>3</v>
      </c>
      <c r="F78" s="281">
        <v>1</v>
      </c>
      <c r="G78" s="282">
        <v>80.489678562500004</v>
      </c>
      <c r="H78" s="282">
        <v>79.799991857638872</v>
      </c>
      <c r="I78" s="282">
        <v>80.564539690277783</v>
      </c>
      <c r="J78" s="282">
        <v>82.269917695555563</v>
      </c>
      <c r="K78" s="282">
        <v>79.853255719722213</v>
      </c>
      <c r="L78" s="282">
        <v>79.744907282638877</v>
      </c>
      <c r="M78" s="282">
        <v>80.755771760555547</v>
      </c>
      <c r="N78" s="282">
        <v>81.640275309722213</v>
      </c>
      <c r="O78" s="282">
        <v>81.82408076666664</v>
      </c>
      <c r="P78" s="282">
        <v>80.644213379999997</v>
      </c>
      <c r="Q78" s="282">
        <v>79.117762391458328</v>
      </c>
      <c r="R78" s="283">
        <v>77.094467251388878</v>
      </c>
      <c r="S78" s="284">
        <v>883.30918310562492</v>
      </c>
      <c r="T78" s="284">
        <v>482.98838400638891</v>
      </c>
      <c r="U78" s="296">
        <f t="shared" si="2"/>
        <v>-34.47981689437529</v>
      </c>
      <c r="V78" s="296">
        <f t="shared" si="3"/>
        <v>-16.80561599361107</v>
      </c>
      <c r="W78" s="287">
        <v>87</v>
      </c>
      <c r="X78" s="280">
        <v>85</v>
      </c>
      <c r="Y78" s="280">
        <v>84</v>
      </c>
      <c r="Z78" s="280">
        <v>82</v>
      </c>
      <c r="AA78" s="280">
        <v>79</v>
      </c>
      <c r="AB78" s="280">
        <v>78</v>
      </c>
      <c r="AC78" s="280">
        <v>78</v>
      </c>
      <c r="AD78" s="280">
        <v>79</v>
      </c>
      <c r="AE78" s="280">
        <v>78</v>
      </c>
      <c r="AF78" s="280">
        <v>76</v>
      </c>
      <c r="AG78" s="280">
        <v>74</v>
      </c>
      <c r="AH78" s="280">
        <v>74</v>
      </c>
    </row>
    <row r="79" spans="1:34" s="1" customFormat="1" ht="13" x14ac:dyDescent="0.25">
      <c r="A79" s="280" t="s">
        <v>621</v>
      </c>
      <c r="B79" s="286">
        <v>442</v>
      </c>
      <c r="C79" s="286">
        <v>727.875</v>
      </c>
      <c r="D79" s="286">
        <v>1013.7500000000001</v>
      </c>
      <c r="E79" s="286">
        <v>3</v>
      </c>
      <c r="F79" s="281">
        <v>2</v>
      </c>
      <c r="G79" s="282">
        <v>80.489678562500004</v>
      </c>
      <c r="H79" s="282">
        <v>79.799991857638872</v>
      </c>
      <c r="I79" s="282">
        <v>81.009539690277791</v>
      </c>
      <c r="J79" s="282">
        <v>83.159917695555563</v>
      </c>
      <c r="K79" s="282">
        <v>81.188255719722207</v>
      </c>
      <c r="L79" s="282">
        <v>81.592282282638877</v>
      </c>
      <c r="M79" s="282">
        <v>83.115521760555566</v>
      </c>
      <c r="N79" s="282">
        <v>84.512400309722224</v>
      </c>
      <c r="O79" s="282">
        <v>85.256112016666663</v>
      </c>
      <c r="P79" s="282">
        <v>84.636150880000017</v>
      </c>
      <c r="Q79" s="282">
        <v>83.669606141458331</v>
      </c>
      <c r="R79" s="283">
        <v>82.206217251388878</v>
      </c>
      <c r="S79" s="284">
        <v>910.14599560562499</v>
      </c>
      <c r="T79" s="284">
        <v>489.86550900638883</v>
      </c>
      <c r="U79" s="296">
        <f t="shared" si="2"/>
        <v>-7.6430043943752253</v>
      </c>
      <c r="V79" s="296">
        <f t="shared" si="3"/>
        <v>-9.928490993611149</v>
      </c>
      <c r="W79" s="287">
        <v>87</v>
      </c>
      <c r="X79" s="280">
        <v>85</v>
      </c>
      <c r="Y79" s="280">
        <v>85</v>
      </c>
      <c r="Z79" s="280">
        <v>84</v>
      </c>
      <c r="AA79" s="280">
        <v>82</v>
      </c>
      <c r="AB79" s="280">
        <v>82</v>
      </c>
      <c r="AC79" s="280">
        <v>83</v>
      </c>
      <c r="AD79" s="280">
        <v>85</v>
      </c>
      <c r="AE79" s="280">
        <v>85</v>
      </c>
      <c r="AF79" s="280">
        <v>84</v>
      </c>
      <c r="AG79" s="280">
        <v>83</v>
      </c>
      <c r="AH79" s="280">
        <v>84</v>
      </c>
    </row>
    <row r="80" spans="1:34" s="1" customFormat="1" ht="13" x14ac:dyDescent="0.25">
      <c r="A80" s="280" t="s">
        <v>622</v>
      </c>
      <c r="B80" s="286">
        <v>442</v>
      </c>
      <c r="C80" s="286">
        <v>727.875</v>
      </c>
      <c r="D80" s="286">
        <v>1013.7500000000001</v>
      </c>
      <c r="E80" s="286">
        <v>3</v>
      </c>
      <c r="F80" s="281">
        <v>3</v>
      </c>
      <c r="G80" s="282">
        <v>80.489678562500004</v>
      </c>
      <c r="H80" s="282">
        <v>79.799991857638872</v>
      </c>
      <c r="I80" s="282">
        <v>81.454539690277784</v>
      </c>
      <c r="J80" s="282">
        <v>84.049917695555564</v>
      </c>
      <c r="K80" s="282">
        <v>82.523255719722201</v>
      </c>
      <c r="L80" s="282">
        <v>83.439657282638876</v>
      </c>
      <c r="M80" s="282">
        <v>85.475271760555557</v>
      </c>
      <c r="N80" s="282">
        <v>87.384525309722221</v>
      </c>
      <c r="O80" s="282">
        <v>88.688143266666671</v>
      </c>
      <c r="P80" s="282">
        <v>88.628088379999994</v>
      </c>
      <c r="Q80" s="282">
        <v>88.22144989145832</v>
      </c>
      <c r="R80" s="283">
        <v>87.317967251388865</v>
      </c>
      <c r="S80" s="284">
        <v>936.98280810562483</v>
      </c>
      <c r="T80" s="284">
        <v>496.74263400638881</v>
      </c>
      <c r="U80" s="296">
        <f t="shared" si="2"/>
        <v>19.193808105624612</v>
      </c>
      <c r="V80" s="296">
        <f t="shared" si="3"/>
        <v>-3.0513659936111708</v>
      </c>
      <c r="W80" s="287">
        <v>87</v>
      </c>
      <c r="X80" s="280">
        <v>85</v>
      </c>
      <c r="Y80" s="280">
        <v>86</v>
      </c>
      <c r="Z80" s="280">
        <v>86</v>
      </c>
      <c r="AA80" s="280">
        <v>85</v>
      </c>
      <c r="AB80" s="280">
        <v>86</v>
      </c>
      <c r="AC80" s="280">
        <v>88</v>
      </c>
      <c r="AD80" s="280">
        <v>91</v>
      </c>
      <c r="AE80" s="280">
        <v>92</v>
      </c>
      <c r="AF80" s="280">
        <v>92</v>
      </c>
      <c r="AG80" s="280">
        <v>92</v>
      </c>
      <c r="AH80" s="280">
        <v>94</v>
      </c>
    </row>
    <row r="81" spans="1:34" s="1" customFormat="1" ht="13" x14ac:dyDescent="0.25">
      <c r="A81" s="280" t="s">
        <v>623</v>
      </c>
      <c r="B81" s="286">
        <v>442</v>
      </c>
      <c r="C81" s="286">
        <v>727.875</v>
      </c>
      <c r="D81" s="286">
        <v>1013.7500000000001</v>
      </c>
      <c r="E81" s="286">
        <v>3</v>
      </c>
      <c r="F81" s="281">
        <v>4</v>
      </c>
      <c r="G81" s="282">
        <v>80.489678562500004</v>
      </c>
      <c r="H81" s="282">
        <v>79.799991857638872</v>
      </c>
      <c r="I81" s="282">
        <v>81.899539690277791</v>
      </c>
      <c r="J81" s="282">
        <v>84.939917695555565</v>
      </c>
      <c r="K81" s="282">
        <v>83.858255719722223</v>
      </c>
      <c r="L81" s="282">
        <v>85.287032282638862</v>
      </c>
      <c r="M81" s="282">
        <v>87.835021760555563</v>
      </c>
      <c r="N81" s="282">
        <v>90.256650309722218</v>
      </c>
      <c r="O81" s="282">
        <v>92.120174516666665</v>
      </c>
      <c r="P81" s="282">
        <v>92.620025879999986</v>
      </c>
      <c r="Q81" s="282">
        <v>92.773293641458324</v>
      </c>
      <c r="R81" s="283">
        <v>92.429717251388865</v>
      </c>
      <c r="S81" s="284">
        <v>963.81962060562489</v>
      </c>
      <c r="T81" s="284">
        <v>503.61975900638885</v>
      </c>
      <c r="U81" s="296">
        <f t="shared" si="2"/>
        <v>46.030620605624677</v>
      </c>
      <c r="V81" s="296">
        <f t="shared" si="3"/>
        <v>3.8257590063888642</v>
      </c>
      <c r="W81" s="287">
        <v>87</v>
      </c>
      <c r="X81" s="280">
        <v>85</v>
      </c>
      <c r="Y81" s="280">
        <v>87</v>
      </c>
      <c r="Z81" s="280">
        <v>88</v>
      </c>
      <c r="AA81" s="280">
        <v>88</v>
      </c>
      <c r="AB81" s="280">
        <v>90</v>
      </c>
      <c r="AC81" s="280">
        <v>93</v>
      </c>
      <c r="AD81" s="280">
        <v>97</v>
      </c>
      <c r="AE81" s="280">
        <v>99</v>
      </c>
      <c r="AF81" s="280">
        <v>100</v>
      </c>
      <c r="AG81" s="280">
        <v>101</v>
      </c>
      <c r="AH81" s="280">
        <v>104</v>
      </c>
    </row>
    <row r="82" spans="1:34" s="1" customFormat="1" ht="13" x14ac:dyDescent="0.25">
      <c r="A82" s="280" t="s">
        <v>624</v>
      </c>
      <c r="B82" s="286">
        <v>442</v>
      </c>
      <c r="C82" s="286">
        <v>727.875</v>
      </c>
      <c r="D82" s="286">
        <v>1013.7500000000001</v>
      </c>
      <c r="E82" s="286">
        <v>3</v>
      </c>
      <c r="F82" s="281">
        <v>5</v>
      </c>
      <c r="G82" s="282">
        <v>80.489678562500004</v>
      </c>
      <c r="H82" s="282">
        <v>79.799991857638872</v>
      </c>
      <c r="I82" s="282">
        <v>82.344539690277799</v>
      </c>
      <c r="J82" s="282">
        <v>85.829917695555565</v>
      </c>
      <c r="K82" s="282">
        <v>85.193255719722217</v>
      </c>
      <c r="L82" s="282">
        <v>87.134407282638861</v>
      </c>
      <c r="M82" s="282">
        <v>90.194771760555568</v>
      </c>
      <c r="N82" s="282">
        <v>93.128775309722229</v>
      </c>
      <c r="O82" s="282">
        <v>95.552205766666674</v>
      </c>
      <c r="P82" s="282">
        <v>96.611963379999992</v>
      </c>
      <c r="Q82" s="282">
        <v>97.325137391458327</v>
      </c>
      <c r="R82" s="283">
        <v>97.541467251388866</v>
      </c>
      <c r="S82" s="284">
        <v>990.65643310562496</v>
      </c>
      <c r="T82" s="284">
        <v>510.49688400638888</v>
      </c>
      <c r="U82" s="296">
        <f t="shared" si="2"/>
        <v>72.867433105624741</v>
      </c>
      <c r="V82" s="296">
        <f t="shared" si="3"/>
        <v>10.702884006388899</v>
      </c>
      <c r="W82" s="287">
        <v>87</v>
      </c>
      <c r="X82" s="280">
        <v>85</v>
      </c>
      <c r="Y82" s="280">
        <v>88</v>
      </c>
      <c r="Z82" s="280">
        <v>90</v>
      </c>
      <c r="AA82" s="280">
        <v>91</v>
      </c>
      <c r="AB82" s="280">
        <v>94</v>
      </c>
      <c r="AC82" s="280">
        <v>98</v>
      </c>
      <c r="AD82" s="280">
        <v>103</v>
      </c>
      <c r="AE82" s="280">
        <v>106</v>
      </c>
      <c r="AF82" s="280">
        <v>108</v>
      </c>
      <c r="AG82" s="280">
        <v>110</v>
      </c>
      <c r="AH82" s="280">
        <v>114</v>
      </c>
    </row>
    <row r="83" spans="1:34" s="1" customFormat="1" ht="13" x14ac:dyDescent="0.25">
      <c r="A83" s="280" t="s">
        <v>625</v>
      </c>
      <c r="B83" s="286">
        <v>442</v>
      </c>
      <c r="C83" s="286">
        <v>727.875</v>
      </c>
      <c r="D83" s="286">
        <v>1013.7500000000001</v>
      </c>
      <c r="E83" s="286">
        <v>4</v>
      </c>
      <c r="F83" s="281">
        <v>0</v>
      </c>
      <c r="G83" s="282">
        <v>80.489678562500004</v>
      </c>
      <c r="H83" s="282">
        <v>79.546864227083333</v>
      </c>
      <c r="I83" s="282">
        <v>79.675056308333339</v>
      </c>
      <c r="J83" s="282">
        <v>80.856802139999985</v>
      </c>
      <c r="K83" s="282">
        <v>78.053400941944432</v>
      </c>
      <c r="L83" s="282">
        <v>77.381605171527781</v>
      </c>
      <c r="M83" s="282">
        <v>77.962384607777764</v>
      </c>
      <c r="N83" s="282">
        <v>78.417664198611078</v>
      </c>
      <c r="O83" s="282">
        <v>77.978976599999982</v>
      </c>
      <c r="P83" s="282">
        <v>76.190921713333339</v>
      </c>
      <c r="Q83" s="282">
        <v>74.072376974791652</v>
      </c>
      <c r="R83" s="283">
        <v>71.544609612499983</v>
      </c>
      <c r="S83" s="284">
        <v>851.68066249590265</v>
      </c>
      <c r="T83" s="284">
        <v>473.47611339666668</v>
      </c>
      <c r="U83" s="296">
        <f t="shared" si="2"/>
        <v>-66.108337504097562</v>
      </c>
      <c r="V83" s="296">
        <f t="shared" si="3"/>
        <v>-26.317886603333307</v>
      </c>
      <c r="W83" s="287">
        <v>87</v>
      </c>
      <c r="X83" s="280">
        <v>85</v>
      </c>
      <c r="Y83" s="280">
        <v>83</v>
      </c>
      <c r="Z83" s="280">
        <v>80</v>
      </c>
      <c r="AA83" s="280">
        <v>76</v>
      </c>
      <c r="AB83" s="280">
        <v>74</v>
      </c>
      <c r="AC83" s="280">
        <v>73</v>
      </c>
      <c r="AD83" s="280">
        <v>73</v>
      </c>
      <c r="AE83" s="280">
        <v>71</v>
      </c>
      <c r="AF83" s="280">
        <v>68</v>
      </c>
      <c r="AG83" s="280">
        <v>65</v>
      </c>
      <c r="AH83" s="280">
        <v>64</v>
      </c>
    </row>
    <row r="84" spans="1:34" s="1" customFormat="1" ht="13" x14ac:dyDescent="0.25">
      <c r="A84" s="280" t="s">
        <v>626</v>
      </c>
      <c r="B84" s="286">
        <v>442</v>
      </c>
      <c r="C84" s="286">
        <v>727.875</v>
      </c>
      <c r="D84" s="286">
        <v>1013.7500000000001</v>
      </c>
      <c r="E84" s="286">
        <v>4</v>
      </c>
      <c r="F84" s="281">
        <v>1</v>
      </c>
      <c r="G84" s="282">
        <v>80.489678562500004</v>
      </c>
      <c r="H84" s="282">
        <v>79.546864227083333</v>
      </c>
      <c r="I84" s="282">
        <v>80.120056308333332</v>
      </c>
      <c r="J84" s="282">
        <v>81.74680214</v>
      </c>
      <c r="K84" s="282">
        <v>79.38840094194444</v>
      </c>
      <c r="L84" s="282">
        <v>79.22898017152778</v>
      </c>
      <c r="M84" s="282">
        <v>80.32213460777777</v>
      </c>
      <c r="N84" s="282">
        <v>81.289789198611089</v>
      </c>
      <c r="O84" s="282">
        <v>81.41100784999999</v>
      </c>
      <c r="P84" s="282">
        <v>80.18285921333333</v>
      </c>
      <c r="Q84" s="282">
        <v>78.624220724791655</v>
      </c>
      <c r="R84" s="283">
        <v>76.656359612499983</v>
      </c>
      <c r="S84" s="284">
        <v>878.5174749959026</v>
      </c>
      <c r="T84" s="284">
        <v>480.3532383966666</v>
      </c>
      <c r="U84" s="296">
        <f t="shared" si="2"/>
        <v>-39.271525004097612</v>
      </c>
      <c r="V84" s="296">
        <f t="shared" si="3"/>
        <v>-19.440761603333385</v>
      </c>
      <c r="W84" s="287">
        <v>87</v>
      </c>
      <c r="X84" s="280">
        <v>85</v>
      </c>
      <c r="Y84" s="280">
        <v>84</v>
      </c>
      <c r="Z84" s="280">
        <v>82</v>
      </c>
      <c r="AA84" s="280">
        <v>79</v>
      </c>
      <c r="AB84" s="280">
        <v>78</v>
      </c>
      <c r="AC84" s="280">
        <v>78</v>
      </c>
      <c r="AD84" s="280">
        <v>79</v>
      </c>
      <c r="AE84" s="280">
        <v>78</v>
      </c>
      <c r="AF84" s="280">
        <v>76</v>
      </c>
      <c r="AG84" s="280">
        <v>74</v>
      </c>
      <c r="AH84" s="280">
        <v>74</v>
      </c>
    </row>
    <row r="85" spans="1:34" s="1" customFormat="1" ht="13" x14ac:dyDescent="0.25">
      <c r="A85" s="280" t="s">
        <v>627</v>
      </c>
      <c r="B85" s="286">
        <v>442</v>
      </c>
      <c r="C85" s="286">
        <v>727.875</v>
      </c>
      <c r="D85" s="286">
        <v>1013.7500000000001</v>
      </c>
      <c r="E85" s="286">
        <v>4</v>
      </c>
      <c r="F85" s="281">
        <v>2</v>
      </c>
      <c r="G85" s="282">
        <v>80.489678562500004</v>
      </c>
      <c r="H85" s="282">
        <v>79.546864227083333</v>
      </c>
      <c r="I85" s="282">
        <v>80.56505630833334</v>
      </c>
      <c r="J85" s="282">
        <v>82.63680214</v>
      </c>
      <c r="K85" s="282">
        <v>80.723400941944433</v>
      </c>
      <c r="L85" s="282">
        <v>81.07635517152778</v>
      </c>
      <c r="M85" s="282">
        <v>82.681884607777775</v>
      </c>
      <c r="N85" s="282">
        <v>84.1619141986111</v>
      </c>
      <c r="O85" s="282">
        <v>84.843039099999999</v>
      </c>
      <c r="P85" s="282">
        <v>84.174796713333336</v>
      </c>
      <c r="Q85" s="282">
        <v>83.176064474791659</v>
      </c>
      <c r="R85" s="283">
        <v>81.768109612499984</v>
      </c>
      <c r="S85" s="284">
        <v>905.35428749590278</v>
      </c>
      <c r="T85" s="284">
        <v>487.23036339666663</v>
      </c>
      <c r="U85" s="296">
        <f t="shared" si="2"/>
        <v>-12.434712504097433</v>
      </c>
      <c r="V85" s="296">
        <f t="shared" si="3"/>
        <v>-12.56363660333335</v>
      </c>
      <c r="W85" s="287">
        <v>87</v>
      </c>
      <c r="X85" s="280">
        <v>85</v>
      </c>
      <c r="Y85" s="280">
        <v>85</v>
      </c>
      <c r="Z85" s="280">
        <v>84</v>
      </c>
      <c r="AA85" s="280">
        <v>82</v>
      </c>
      <c r="AB85" s="280">
        <v>82</v>
      </c>
      <c r="AC85" s="280">
        <v>83</v>
      </c>
      <c r="AD85" s="280">
        <v>85</v>
      </c>
      <c r="AE85" s="280">
        <v>85</v>
      </c>
      <c r="AF85" s="280">
        <v>84</v>
      </c>
      <c r="AG85" s="280">
        <v>83</v>
      </c>
      <c r="AH85" s="280">
        <v>84</v>
      </c>
    </row>
    <row r="86" spans="1:34" s="1" customFormat="1" ht="13" x14ac:dyDescent="0.25">
      <c r="A86" s="280" t="s">
        <v>628</v>
      </c>
      <c r="B86" s="286">
        <v>442</v>
      </c>
      <c r="C86" s="286">
        <v>727.875</v>
      </c>
      <c r="D86" s="286">
        <v>1013.7500000000001</v>
      </c>
      <c r="E86" s="286">
        <v>4</v>
      </c>
      <c r="F86" s="281">
        <v>3</v>
      </c>
      <c r="G86" s="282">
        <v>80.489678562500004</v>
      </c>
      <c r="H86" s="282">
        <v>79.546864227083333</v>
      </c>
      <c r="I86" s="282">
        <v>81.010056308333333</v>
      </c>
      <c r="J86" s="282">
        <v>83.526802140000001</v>
      </c>
      <c r="K86" s="282">
        <v>82.058400941944441</v>
      </c>
      <c r="L86" s="282">
        <v>82.923730171527779</v>
      </c>
      <c r="M86" s="282">
        <v>85.041634607777766</v>
      </c>
      <c r="N86" s="282">
        <v>87.034039198611097</v>
      </c>
      <c r="O86" s="282">
        <v>88.275070350000021</v>
      </c>
      <c r="P86" s="282">
        <v>88.166734213333328</v>
      </c>
      <c r="Q86" s="282">
        <v>87.727908224791662</v>
      </c>
      <c r="R86" s="283">
        <v>86.879859612499999</v>
      </c>
      <c r="S86" s="284">
        <v>932.19109999590285</v>
      </c>
      <c r="T86" s="284">
        <v>494.10748839666667</v>
      </c>
      <c r="U86" s="296">
        <f t="shared" si="2"/>
        <v>14.402099995902631</v>
      </c>
      <c r="V86" s="296">
        <f t="shared" si="3"/>
        <v>-5.6865116033333152</v>
      </c>
      <c r="W86" s="287">
        <v>87</v>
      </c>
      <c r="X86" s="280">
        <v>85</v>
      </c>
      <c r="Y86" s="280">
        <v>86</v>
      </c>
      <c r="Z86" s="280">
        <v>86</v>
      </c>
      <c r="AA86" s="280">
        <v>85</v>
      </c>
      <c r="AB86" s="280">
        <v>86</v>
      </c>
      <c r="AC86" s="280">
        <v>88</v>
      </c>
      <c r="AD86" s="280">
        <v>91</v>
      </c>
      <c r="AE86" s="280">
        <v>92</v>
      </c>
      <c r="AF86" s="280">
        <v>92</v>
      </c>
      <c r="AG86" s="280">
        <v>92</v>
      </c>
      <c r="AH86" s="280">
        <v>94</v>
      </c>
    </row>
    <row r="87" spans="1:34" s="1" customFormat="1" ht="13" x14ac:dyDescent="0.25">
      <c r="A87" s="280" t="s">
        <v>629</v>
      </c>
      <c r="B87" s="286">
        <v>442</v>
      </c>
      <c r="C87" s="286">
        <v>727.875</v>
      </c>
      <c r="D87" s="286">
        <v>1013.7500000000001</v>
      </c>
      <c r="E87" s="286">
        <v>4</v>
      </c>
      <c r="F87" s="281">
        <v>4</v>
      </c>
      <c r="G87" s="282">
        <v>80.489678562500004</v>
      </c>
      <c r="H87" s="282">
        <v>79.546864227083333</v>
      </c>
      <c r="I87" s="282">
        <v>81.45505630833334</v>
      </c>
      <c r="J87" s="282">
        <v>84.416802140000001</v>
      </c>
      <c r="K87" s="282">
        <v>83.393400941944449</v>
      </c>
      <c r="L87" s="282">
        <v>84.771105171527765</v>
      </c>
      <c r="M87" s="282">
        <v>87.401384607777771</v>
      </c>
      <c r="N87" s="282">
        <v>89.906164198611094</v>
      </c>
      <c r="O87" s="282">
        <v>91.707101600000016</v>
      </c>
      <c r="P87" s="282">
        <v>92.158671713333334</v>
      </c>
      <c r="Q87" s="282">
        <v>92.279751974791665</v>
      </c>
      <c r="R87" s="283">
        <v>91.9916096125</v>
      </c>
      <c r="S87" s="284">
        <v>959.0279124959028</v>
      </c>
      <c r="T87" s="284">
        <v>500.98461339666665</v>
      </c>
      <c r="U87" s="296">
        <f t="shared" si="2"/>
        <v>41.238912495902582</v>
      </c>
      <c r="V87" s="296">
        <f t="shared" si="3"/>
        <v>1.190613396666663</v>
      </c>
      <c r="W87" s="287">
        <v>87</v>
      </c>
      <c r="X87" s="280">
        <v>85</v>
      </c>
      <c r="Y87" s="280">
        <v>87</v>
      </c>
      <c r="Z87" s="280">
        <v>88</v>
      </c>
      <c r="AA87" s="280">
        <v>88</v>
      </c>
      <c r="AB87" s="280">
        <v>90</v>
      </c>
      <c r="AC87" s="280">
        <v>93</v>
      </c>
      <c r="AD87" s="280">
        <v>97</v>
      </c>
      <c r="AE87" s="280">
        <v>99</v>
      </c>
      <c r="AF87" s="280">
        <v>100</v>
      </c>
      <c r="AG87" s="280">
        <v>101</v>
      </c>
      <c r="AH87" s="280">
        <v>104</v>
      </c>
    </row>
    <row r="88" spans="1:34" s="1" customFormat="1" ht="13" x14ac:dyDescent="0.25">
      <c r="A88" s="280" t="s">
        <v>630</v>
      </c>
      <c r="B88" s="286">
        <v>442</v>
      </c>
      <c r="C88" s="286">
        <v>727.875</v>
      </c>
      <c r="D88" s="286">
        <v>1013.7500000000001</v>
      </c>
      <c r="E88" s="286">
        <v>4</v>
      </c>
      <c r="F88" s="281">
        <v>5</v>
      </c>
      <c r="G88" s="282">
        <v>80.489678562500004</v>
      </c>
      <c r="H88" s="282">
        <v>79.546864227083333</v>
      </c>
      <c r="I88" s="282">
        <v>81.900056308333333</v>
      </c>
      <c r="J88" s="282">
        <v>85.306802140000002</v>
      </c>
      <c r="K88" s="282">
        <v>84.728400941944443</v>
      </c>
      <c r="L88" s="282">
        <v>86.618480171527764</v>
      </c>
      <c r="M88" s="282">
        <v>89.761134607777777</v>
      </c>
      <c r="N88" s="282">
        <v>92.778289198611105</v>
      </c>
      <c r="O88" s="282">
        <v>95.13913285000001</v>
      </c>
      <c r="P88" s="282">
        <v>96.150609213333325</v>
      </c>
      <c r="Q88" s="282">
        <v>96.831595724791669</v>
      </c>
      <c r="R88" s="283">
        <v>97.1033596125</v>
      </c>
      <c r="S88" s="284">
        <v>985.86472499590275</v>
      </c>
      <c r="T88" s="284">
        <v>507.86173839666668</v>
      </c>
      <c r="U88" s="296">
        <f t="shared" si="2"/>
        <v>68.075724995902533</v>
      </c>
      <c r="V88" s="296">
        <f t="shared" si="3"/>
        <v>8.067738396666698</v>
      </c>
      <c r="W88" s="287">
        <v>87</v>
      </c>
      <c r="X88" s="280">
        <v>85</v>
      </c>
      <c r="Y88" s="280">
        <v>88</v>
      </c>
      <c r="Z88" s="280">
        <v>90</v>
      </c>
      <c r="AA88" s="280">
        <v>91</v>
      </c>
      <c r="AB88" s="280">
        <v>94</v>
      </c>
      <c r="AC88" s="280">
        <v>98</v>
      </c>
      <c r="AD88" s="280">
        <v>103</v>
      </c>
      <c r="AE88" s="280">
        <v>106</v>
      </c>
      <c r="AF88" s="280">
        <v>108</v>
      </c>
      <c r="AG88" s="280">
        <v>110</v>
      </c>
      <c r="AH88" s="280">
        <v>114</v>
      </c>
    </row>
    <row r="89" spans="1:34" s="1" customFormat="1" ht="13" x14ac:dyDescent="0.25">
      <c r="A89" s="280" t="s">
        <v>631</v>
      </c>
      <c r="B89" s="286">
        <v>442</v>
      </c>
      <c r="C89" s="286">
        <v>727.875</v>
      </c>
      <c r="D89" s="286">
        <v>1013.7500000000001</v>
      </c>
      <c r="E89" s="286">
        <v>5</v>
      </c>
      <c r="F89" s="281">
        <v>0</v>
      </c>
      <c r="G89" s="282">
        <v>80.489678562500004</v>
      </c>
      <c r="H89" s="282">
        <v>79.390218393750004</v>
      </c>
      <c r="I89" s="282">
        <v>79.396140829166654</v>
      </c>
      <c r="J89" s="282">
        <v>80.441416139999973</v>
      </c>
      <c r="K89" s="282">
        <v>77.567599191944439</v>
      </c>
      <c r="L89" s="282">
        <v>76.977341754861087</v>
      </c>
      <c r="M89" s="282">
        <v>77.530535649444445</v>
      </c>
      <c r="N89" s="282">
        <v>78.018539198611094</v>
      </c>
      <c r="O89" s="282">
        <v>77.602382849999984</v>
      </c>
      <c r="P89" s="282">
        <v>75.768192546666654</v>
      </c>
      <c r="Q89" s="282">
        <v>73.613168641458316</v>
      </c>
      <c r="R89" s="283">
        <v>71.054286695833312</v>
      </c>
      <c r="S89" s="284">
        <v>847.35982189173592</v>
      </c>
      <c r="T89" s="284">
        <v>471.30325195916657</v>
      </c>
      <c r="U89" s="296">
        <f t="shared" si="2"/>
        <v>-70.429178108264296</v>
      </c>
      <c r="V89" s="296">
        <f t="shared" si="3"/>
        <v>-28.49074804083341</v>
      </c>
      <c r="W89" s="287">
        <v>87</v>
      </c>
      <c r="X89" s="280">
        <v>85</v>
      </c>
      <c r="Y89" s="280">
        <v>83</v>
      </c>
      <c r="Z89" s="280">
        <v>80</v>
      </c>
      <c r="AA89" s="280">
        <v>76</v>
      </c>
      <c r="AB89" s="280">
        <v>74</v>
      </c>
      <c r="AC89" s="280">
        <v>73</v>
      </c>
      <c r="AD89" s="280">
        <v>73</v>
      </c>
      <c r="AE89" s="280">
        <v>71</v>
      </c>
      <c r="AF89" s="280">
        <v>68</v>
      </c>
      <c r="AG89" s="280">
        <v>65</v>
      </c>
      <c r="AH89" s="280">
        <v>64</v>
      </c>
    </row>
    <row r="90" spans="1:34" s="1" customFormat="1" ht="13" x14ac:dyDescent="0.25">
      <c r="A90" s="280" t="s">
        <v>632</v>
      </c>
      <c r="B90" s="286">
        <v>442</v>
      </c>
      <c r="C90" s="286">
        <v>727.875</v>
      </c>
      <c r="D90" s="286">
        <v>1013.7500000000001</v>
      </c>
      <c r="E90" s="286">
        <v>5</v>
      </c>
      <c r="F90" s="281">
        <v>1</v>
      </c>
      <c r="G90" s="282">
        <v>80.489678562500004</v>
      </c>
      <c r="H90" s="282">
        <v>79.390218393750004</v>
      </c>
      <c r="I90" s="282">
        <v>79.841140829166662</v>
      </c>
      <c r="J90" s="282">
        <v>81.331416139999988</v>
      </c>
      <c r="K90" s="282">
        <v>78.902599191944432</v>
      </c>
      <c r="L90" s="282">
        <v>78.824716754861086</v>
      </c>
      <c r="M90" s="282">
        <v>79.890285649444436</v>
      </c>
      <c r="N90" s="282">
        <v>80.890664198611105</v>
      </c>
      <c r="O90" s="282">
        <v>81.034414099999992</v>
      </c>
      <c r="P90" s="282">
        <v>79.760130046666646</v>
      </c>
      <c r="Q90" s="282">
        <v>78.165012391458319</v>
      </c>
      <c r="R90" s="283">
        <v>76.166036695833313</v>
      </c>
      <c r="S90" s="284">
        <v>874.19663439173598</v>
      </c>
      <c r="T90" s="284">
        <v>478.18037695916661</v>
      </c>
      <c r="U90" s="296">
        <f t="shared" si="2"/>
        <v>-43.592365608264231</v>
      </c>
      <c r="V90" s="296">
        <f t="shared" si="3"/>
        <v>-21.613623040833374</v>
      </c>
      <c r="W90" s="287">
        <v>87</v>
      </c>
      <c r="X90" s="280">
        <v>85</v>
      </c>
      <c r="Y90" s="280">
        <v>84</v>
      </c>
      <c r="Z90" s="280">
        <v>82</v>
      </c>
      <c r="AA90" s="280">
        <v>79</v>
      </c>
      <c r="AB90" s="280">
        <v>78</v>
      </c>
      <c r="AC90" s="280">
        <v>78</v>
      </c>
      <c r="AD90" s="280">
        <v>79</v>
      </c>
      <c r="AE90" s="280">
        <v>78</v>
      </c>
      <c r="AF90" s="280">
        <v>76</v>
      </c>
      <c r="AG90" s="280">
        <v>74</v>
      </c>
      <c r="AH90" s="280">
        <v>74</v>
      </c>
    </row>
    <row r="91" spans="1:34" s="1" customFormat="1" ht="13" x14ac:dyDescent="0.25">
      <c r="A91" s="280" t="s">
        <v>633</v>
      </c>
      <c r="B91" s="286">
        <v>442</v>
      </c>
      <c r="C91" s="286">
        <v>727.875</v>
      </c>
      <c r="D91" s="286">
        <v>1013.7500000000001</v>
      </c>
      <c r="E91" s="286">
        <v>5</v>
      </c>
      <c r="F91" s="281">
        <v>2</v>
      </c>
      <c r="G91" s="282">
        <v>80.489678562500004</v>
      </c>
      <c r="H91" s="282">
        <v>79.390218393750004</v>
      </c>
      <c r="I91" s="282">
        <v>80.286140829166655</v>
      </c>
      <c r="J91" s="282">
        <v>82.221416139999988</v>
      </c>
      <c r="K91" s="282">
        <v>80.23759919194444</v>
      </c>
      <c r="L91" s="282">
        <v>80.6720917548611</v>
      </c>
      <c r="M91" s="282">
        <v>82.250035649444442</v>
      </c>
      <c r="N91" s="282">
        <v>83.762789198611117</v>
      </c>
      <c r="O91" s="282">
        <v>84.466445350000001</v>
      </c>
      <c r="P91" s="282">
        <v>83.75206754666668</v>
      </c>
      <c r="Q91" s="282">
        <v>82.716856141458337</v>
      </c>
      <c r="R91" s="283">
        <v>81.277786695833314</v>
      </c>
      <c r="S91" s="284">
        <v>901.03344689173605</v>
      </c>
      <c r="T91" s="284">
        <v>485.05750195916659</v>
      </c>
      <c r="U91" s="296">
        <f t="shared" si="2"/>
        <v>-16.755553108264166</v>
      </c>
      <c r="V91" s="296">
        <f t="shared" si="3"/>
        <v>-14.736498040833396</v>
      </c>
      <c r="W91" s="287">
        <v>87</v>
      </c>
      <c r="X91" s="280">
        <v>85</v>
      </c>
      <c r="Y91" s="280">
        <v>85</v>
      </c>
      <c r="Z91" s="280">
        <v>84</v>
      </c>
      <c r="AA91" s="280">
        <v>82</v>
      </c>
      <c r="AB91" s="280">
        <v>82</v>
      </c>
      <c r="AC91" s="280">
        <v>83</v>
      </c>
      <c r="AD91" s="280">
        <v>85</v>
      </c>
      <c r="AE91" s="280">
        <v>85</v>
      </c>
      <c r="AF91" s="280">
        <v>84</v>
      </c>
      <c r="AG91" s="280">
        <v>83</v>
      </c>
      <c r="AH91" s="280">
        <v>84</v>
      </c>
    </row>
    <row r="92" spans="1:34" s="1" customFormat="1" ht="13" x14ac:dyDescent="0.25">
      <c r="A92" s="280" t="s">
        <v>634</v>
      </c>
      <c r="B92" s="286">
        <v>442</v>
      </c>
      <c r="C92" s="286">
        <v>727.875</v>
      </c>
      <c r="D92" s="286">
        <v>1013.7500000000001</v>
      </c>
      <c r="E92" s="286">
        <v>5</v>
      </c>
      <c r="F92" s="281">
        <v>3</v>
      </c>
      <c r="G92" s="282">
        <v>80.489678562500004</v>
      </c>
      <c r="H92" s="282">
        <v>79.390218393750004</v>
      </c>
      <c r="I92" s="282">
        <v>80.731140829166662</v>
      </c>
      <c r="J92" s="282">
        <v>83.111416139999989</v>
      </c>
      <c r="K92" s="282">
        <v>81.572599191944434</v>
      </c>
      <c r="L92" s="282">
        <v>82.519466754861099</v>
      </c>
      <c r="M92" s="282">
        <v>84.609785649444433</v>
      </c>
      <c r="N92" s="282">
        <v>86.634914198611114</v>
      </c>
      <c r="O92" s="282">
        <v>87.898476600000009</v>
      </c>
      <c r="P92" s="282">
        <v>87.744005046666643</v>
      </c>
      <c r="Q92" s="282">
        <v>87.268699891458326</v>
      </c>
      <c r="R92" s="283">
        <v>86.389536695833314</v>
      </c>
      <c r="S92" s="284">
        <v>927.870259391736</v>
      </c>
      <c r="T92" s="284">
        <v>491.93462695916662</v>
      </c>
      <c r="U92" s="296">
        <f t="shared" si="2"/>
        <v>10.081259391735784</v>
      </c>
      <c r="V92" s="296">
        <f t="shared" si="3"/>
        <v>-7.8593730408333613</v>
      </c>
      <c r="W92" s="287">
        <v>87</v>
      </c>
      <c r="X92" s="280">
        <v>85</v>
      </c>
      <c r="Y92" s="280">
        <v>86</v>
      </c>
      <c r="Z92" s="280">
        <v>86</v>
      </c>
      <c r="AA92" s="280">
        <v>85</v>
      </c>
      <c r="AB92" s="280">
        <v>86</v>
      </c>
      <c r="AC92" s="280">
        <v>88</v>
      </c>
      <c r="AD92" s="280">
        <v>91</v>
      </c>
      <c r="AE92" s="280">
        <v>92</v>
      </c>
      <c r="AF92" s="280">
        <v>92</v>
      </c>
      <c r="AG92" s="280">
        <v>92</v>
      </c>
      <c r="AH92" s="280">
        <v>94</v>
      </c>
    </row>
    <row r="93" spans="1:34" s="1" customFormat="1" ht="13" x14ac:dyDescent="0.25">
      <c r="A93" s="280" t="s">
        <v>635</v>
      </c>
      <c r="B93" s="286">
        <v>442</v>
      </c>
      <c r="C93" s="286">
        <v>727.875</v>
      </c>
      <c r="D93" s="286">
        <v>1013.7500000000001</v>
      </c>
      <c r="E93" s="286">
        <v>5</v>
      </c>
      <c r="F93" s="281">
        <v>4</v>
      </c>
      <c r="G93" s="282">
        <v>80.489678562500004</v>
      </c>
      <c r="H93" s="282">
        <v>79.390218393750004</v>
      </c>
      <c r="I93" s="282">
        <v>81.176140829166656</v>
      </c>
      <c r="J93" s="282">
        <v>84.001416140000003</v>
      </c>
      <c r="K93" s="282">
        <v>82.907599191944442</v>
      </c>
      <c r="L93" s="282">
        <v>84.366841754861099</v>
      </c>
      <c r="M93" s="282">
        <v>86.969535649444438</v>
      </c>
      <c r="N93" s="282">
        <v>89.507039198611096</v>
      </c>
      <c r="O93" s="282">
        <v>91.330507850000018</v>
      </c>
      <c r="P93" s="282">
        <v>91.735942546666649</v>
      </c>
      <c r="Q93" s="282">
        <v>91.820543641458315</v>
      </c>
      <c r="R93" s="283">
        <v>91.501286695833315</v>
      </c>
      <c r="S93" s="284">
        <v>954.70707189173595</v>
      </c>
      <c r="T93" s="284">
        <v>498.8117519591666</v>
      </c>
      <c r="U93" s="296">
        <f t="shared" si="2"/>
        <v>36.918071891735735</v>
      </c>
      <c r="V93" s="296">
        <f t="shared" si="3"/>
        <v>-0.98224804083338313</v>
      </c>
      <c r="W93" s="287">
        <v>87</v>
      </c>
      <c r="X93" s="280">
        <v>85</v>
      </c>
      <c r="Y93" s="280">
        <v>87</v>
      </c>
      <c r="Z93" s="280">
        <v>88</v>
      </c>
      <c r="AA93" s="280">
        <v>88</v>
      </c>
      <c r="AB93" s="280">
        <v>90</v>
      </c>
      <c r="AC93" s="280">
        <v>93</v>
      </c>
      <c r="AD93" s="280">
        <v>97</v>
      </c>
      <c r="AE93" s="280">
        <v>99</v>
      </c>
      <c r="AF93" s="280">
        <v>100</v>
      </c>
      <c r="AG93" s="280">
        <v>101</v>
      </c>
      <c r="AH93" s="280">
        <v>104</v>
      </c>
    </row>
    <row r="94" spans="1:34" s="1" customFormat="1" ht="13" x14ac:dyDescent="0.25">
      <c r="A94" s="280" t="s">
        <v>636</v>
      </c>
      <c r="B94" s="286">
        <v>442</v>
      </c>
      <c r="C94" s="286">
        <v>727.875</v>
      </c>
      <c r="D94" s="286">
        <v>1013.7500000000001</v>
      </c>
      <c r="E94" s="286">
        <v>5</v>
      </c>
      <c r="F94" s="281">
        <v>5</v>
      </c>
      <c r="G94" s="282">
        <v>80.489678562500004</v>
      </c>
      <c r="H94" s="282">
        <v>79.390218393750004</v>
      </c>
      <c r="I94" s="282">
        <v>81.621140829166663</v>
      </c>
      <c r="J94" s="282">
        <v>84.891416140000004</v>
      </c>
      <c r="K94" s="282">
        <v>84.24259919194445</v>
      </c>
      <c r="L94" s="282">
        <v>86.214216754861098</v>
      </c>
      <c r="M94" s="282">
        <v>89.329285649444444</v>
      </c>
      <c r="N94" s="282">
        <v>92.379164198611093</v>
      </c>
      <c r="O94" s="282">
        <v>94.762539100000012</v>
      </c>
      <c r="P94" s="282">
        <v>95.727880046666641</v>
      </c>
      <c r="Q94" s="282">
        <v>96.372387391458318</v>
      </c>
      <c r="R94" s="283">
        <v>96.613036695833316</v>
      </c>
      <c r="S94" s="284">
        <v>981.54388439173613</v>
      </c>
      <c r="T94" s="284">
        <v>505.68887695916663</v>
      </c>
      <c r="U94" s="296">
        <f t="shared" si="2"/>
        <v>63.754884391735914</v>
      </c>
      <c r="V94" s="296">
        <f t="shared" si="3"/>
        <v>5.8948769591666519</v>
      </c>
      <c r="W94" s="287">
        <v>87</v>
      </c>
      <c r="X94" s="280">
        <v>85</v>
      </c>
      <c r="Y94" s="280">
        <v>88</v>
      </c>
      <c r="Z94" s="280">
        <v>90</v>
      </c>
      <c r="AA94" s="280">
        <v>91</v>
      </c>
      <c r="AB94" s="280">
        <v>94</v>
      </c>
      <c r="AC94" s="280">
        <v>98</v>
      </c>
      <c r="AD94" s="280">
        <v>103</v>
      </c>
      <c r="AE94" s="280">
        <v>106</v>
      </c>
      <c r="AF94" s="280">
        <v>108</v>
      </c>
      <c r="AG94" s="280">
        <v>110</v>
      </c>
      <c r="AH94" s="280">
        <v>114</v>
      </c>
    </row>
    <row r="95" spans="1:34" s="1" customFormat="1" ht="13" x14ac:dyDescent="0.25">
      <c r="A95" s="280" t="s">
        <v>637</v>
      </c>
      <c r="B95" s="286">
        <v>442</v>
      </c>
      <c r="C95" s="286">
        <v>727.875</v>
      </c>
      <c r="D95" s="286">
        <v>1013.7500000000001</v>
      </c>
      <c r="E95" s="286">
        <v>1</v>
      </c>
      <c r="F95" s="281">
        <v>0</v>
      </c>
      <c r="G95" s="282">
        <v>80.489678562500004</v>
      </c>
      <c r="H95" s="282">
        <v>81.663515885416658</v>
      </c>
      <c r="I95" s="282">
        <v>81.98948749583333</v>
      </c>
      <c r="J95" s="282">
        <v>83.286248223333331</v>
      </c>
      <c r="K95" s="282">
        <v>80.339564775277779</v>
      </c>
      <c r="L95" s="282">
        <v>79.018296171527766</v>
      </c>
      <c r="M95" s="282">
        <v>79.473556482777767</v>
      </c>
      <c r="N95" s="282">
        <v>79.832247531944432</v>
      </c>
      <c r="O95" s="282">
        <v>79.71517451666665</v>
      </c>
      <c r="P95" s="282">
        <v>77.867484213333327</v>
      </c>
      <c r="Q95" s="282">
        <v>75.713001974791652</v>
      </c>
      <c r="R95" s="283">
        <v>73.262161695833314</v>
      </c>
      <c r="S95" s="284">
        <v>872.16073896673606</v>
      </c>
      <c r="T95" s="284">
        <v>485.77066903416664</v>
      </c>
      <c r="U95" s="296">
        <f t="shared" si="2"/>
        <v>-45.628261033264153</v>
      </c>
      <c r="V95" s="296">
        <f t="shared" si="3"/>
        <v>-14.023330965833338</v>
      </c>
      <c r="W95" s="287">
        <v>87</v>
      </c>
      <c r="X95" s="280">
        <v>85</v>
      </c>
      <c r="Y95" s="280">
        <v>83</v>
      </c>
      <c r="Z95" s="280">
        <v>80</v>
      </c>
      <c r="AA95" s="280">
        <v>76</v>
      </c>
      <c r="AB95" s="280">
        <v>74</v>
      </c>
      <c r="AC95" s="280">
        <v>73</v>
      </c>
      <c r="AD95" s="280">
        <v>73</v>
      </c>
      <c r="AE95" s="280">
        <v>71</v>
      </c>
      <c r="AF95" s="280">
        <v>68</v>
      </c>
      <c r="AG95" s="280">
        <v>65</v>
      </c>
      <c r="AH95" s="280">
        <v>64</v>
      </c>
    </row>
    <row r="96" spans="1:34" s="1" customFormat="1" ht="13" x14ac:dyDescent="0.25">
      <c r="A96" s="280" t="s">
        <v>638</v>
      </c>
      <c r="B96" s="286">
        <v>442</v>
      </c>
      <c r="C96" s="286">
        <v>727.875</v>
      </c>
      <c r="D96" s="286">
        <v>1013.7500000000001</v>
      </c>
      <c r="E96" s="286">
        <v>1</v>
      </c>
      <c r="F96" s="281">
        <v>1</v>
      </c>
      <c r="G96" s="282">
        <v>80.489678562500004</v>
      </c>
      <c r="H96" s="282">
        <v>81.663515885416658</v>
      </c>
      <c r="I96" s="282">
        <v>82.434487495833338</v>
      </c>
      <c r="J96" s="282">
        <v>84.176248223333346</v>
      </c>
      <c r="K96" s="282">
        <v>81.674564775277773</v>
      </c>
      <c r="L96" s="282">
        <v>80.865671171527765</v>
      </c>
      <c r="M96" s="282">
        <v>81.833306482777772</v>
      </c>
      <c r="N96" s="282">
        <v>82.704372531944443</v>
      </c>
      <c r="O96" s="282">
        <v>83.147830766666672</v>
      </c>
      <c r="P96" s="282">
        <v>81.860671713333332</v>
      </c>
      <c r="Q96" s="282">
        <v>80.266720724791654</v>
      </c>
      <c r="R96" s="283">
        <v>78.376411695833312</v>
      </c>
      <c r="S96" s="284">
        <v>899.00380146673592</v>
      </c>
      <c r="T96" s="284">
        <v>492.64779403416662</v>
      </c>
      <c r="U96" s="296">
        <f t="shared" si="2"/>
        <v>-18.785198533264293</v>
      </c>
      <c r="V96" s="296">
        <f t="shared" si="3"/>
        <v>-7.1462059658333601</v>
      </c>
      <c r="W96" s="287">
        <v>87</v>
      </c>
      <c r="X96" s="280">
        <v>85</v>
      </c>
      <c r="Y96" s="280">
        <v>84</v>
      </c>
      <c r="Z96" s="280">
        <v>82</v>
      </c>
      <c r="AA96" s="280">
        <v>79</v>
      </c>
      <c r="AB96" s="280">
        <v>78</v>
      </c>
      <c r="AC96" s="280">
        <v>78</v>
      </c>
      <c r="AD96" s="280">
        <v>79</v>
      </c>
      <c r="AE96" s="280">
        <v>78</v>
      </c>
      <c r="AF96" s="280">
        <v>76</v>
      </c>
      <c r="AG96" s="280">
        <v>74</v>
      </c>
      <c r="AH96" s="280">
        <v>74</v>
      </c>
    </row>
    <row r="97" spans="1:34" s="1" customFormat="1" ht="13" x14ac:dyDescent="0.25">
      <c r="A97" s="280" t="s">
        <v>639</v>
      </c>
      <c r="B97" s="286">
        <v>442</v>
      </c>
      <c r="C97" s="286">
        <v>727.875</v>
      </c>
      <c r="D97" s="286">
        <v>1013.7500000000001</v>
      </c>
      <c r="E97" s="286">
        <v>1</v>
      </c>
      <c r="F97" s="281">
        <v>2</v>
      </c>
      <c r="G97" s="282">
        <v>80.489678562500004</v>
      </c>
      <c r="H97" s="282">
        <v>81.663515885416658</v>
      </c>
      <c r="I97" s="282">
        <v>82.879487495833331</v>
      </c>
      <c r="J97" s="282">
        <v>85.066248223333346</v>
      </c>
      <c r="K97" s="282">
        <v>83.009564775277781</v>
      </c>
      <c r="L97" s="282">
        <v>82.713046171527765</v>
      </c>
      <c r="M97" s="282">
        <v>84.193056482777777</v>
      </c>
      <c r="N97" s="282">
        <v>85.57649753194444</v>
      </c>
      <c r="O97" s="282">
        <v>86.580487016666666</v>
      </c>
      <c r="P97" s="282">
        <v>85.853859213333337</v>
      </c>
      <c r="Q97" s="282">
        <v>84.820439474791669</v>
      </c>
      <c r="R97" s="283">
        <v>83.49066169583331</v>
      </c>
      <c r="S97" s="284">
        <v>925.84686396673601</v>
      </c>
      <c r="T97" s="284">
        <v>499.52491903416666</v>
      </c>
      <c r="U97" s="296">
        <f t="shared" si="2"/>
        <v>8.0578639667357947</v>
      </c>
      <c r="V97" s="296">
        <f t="shared" si="3"/>
        <v>-0.26908096583332508</v>
      </c>
      <c r="W97" s="287">
        <v>87</v>
      </c>
      <c r="X97" s="280">
        <v>85</v>
      </c>
      <c r="Y97" s="280">
        <v>85</v>
      </c>
      <c r="Z97" s="280">
        <v>84</v>
      </c>
      <c r="AA97" s="280">
        <v>82</v>
      </c>
      <c r="AB97" s="280">
        <v>82</v>
      </c>
      <c r="AC97" s="280">
        <v>83</v>
      </c>
      <c r="AD97" s="280">
        <v>85</v>
      </c>
      <c r="AE97" s="280">
        <v>85</v>
      </c>
      <c r="AF97" s="280">
        <v>84</v>
      </c>
      <c r="AG97" s="280">
        <v>83</v>
      </c>
      <c r="AH97" s="280">
        <v>84</v>
      </c>
    </row>
    <row r="98" spans="1:34" s="1" customFormat="1" ht="13" x14ac:dyDescent="0.25">
      <c r="A98" s="280" t="s">
        <v>640</v>
      </c>
      <c r="B98" s="286">
        <v>442</v>
      </c>
      <c r="C98" s="286">
        <v>727.875</v>
      </c>
      <c r="D98" s="286">
        <v>1013.7500000000001</v>
      </c>
      <c r="E98" s="286">
        <v>1</v>
      </c>
      <c r="F98" s="281">
        <v>3</v>
      </c>
      <c r="G98" s="282">
        <v>80.489678562500004</v>
      </c>
      <c r="H98" s="282">
        <v>81.663515885416658</v>
      </c>
      <c r="I98" s="282">
        <v>83.324487495833338</v>
      </c>
      <c r="J98" s="282">
        <v>85.956248223333347</v>
      </c>
      <c r="K98" s="282">
        <v>84.344564775277789</v>
      </c>
      <c r="L98" s="282">
        <v>84.560421171527764</v>
      </c>
      <c r="M98" s="282">
        <v>86.552806482777783</v>
      </c>
      <c r="N98" s="282">
        <v>88.448622531944437</v>
      </c>
      <c r="O98" s="282">
        <v>90.013143266666674</v>
      </c>
      <c r="P98" s="282">
        <v>89.847046713333327</v>
      </c>
      <c r="Q98" s="282">
        <v>89.374158224791671</v>
      </c>
      <c r="R98" s="283">
        <v>88.604911695833323</v>
      </c>
      <c r="S98" s="284">
        <v>952.68992646673632</v>
      </c>
      <c r="T98" s="284">
        <v>506.40204403416669</v>
      </c>
      <c r="U98" s="296">
        <f t="shared" si="2"/>
        <v>34.900926466736109</v>
      </c>
      <c r="V98" s="296">
        <f t="shared" si="3"/>
        <v>6.6080440341667099</v>
      </c>
      <c r="W98" s="287">
        <v>87</v>
      </c>
      <c r="X98" s="280">
        <v>85</v>
      </c>
      <c r="Y98" s="280">
        <v>86</v>
      </c>
      <c r="Z98" s="280">
        <v>86</v>
      </c>
      <c r="AA98" s="280">
        <v>85</v>
      </c>
      <c r="AB98" s="280">
        <v>86</v>
      </c>
      <c r="AC98" s="280">
        <v>88</v>
      </c>
      <c r="AD98" s="280">
        <v>91</v>
      </c>
      <c r="AE98" s="280">
        <v>92</v>
      </c>
      <c r="AF98" s="280">
        <v>92</v>
      </c>
      <c r="AG98" s="280">
        <v>92</v>
      </c>
      <c r="AH98" s="280">
        <v>94</v>
      </c>
    </row>
    <row r="99" spans="1:34" s="1" customFormat="1" ht="13" x14ac:dyDescent="0.25">
      <c r="A99" s="280" t="s">
        <v>641</v>
      </c>
      <c r="B99" s="286">
        <v>442</v>
      </c>
      <c r="C99" s="286">
        <v>727.875</v>
      </c>
      <c r="D99" s="286">
        <v>1013.7500000000001</v>
      </c>
      <c r="E99" s="286">
        <v>1</v>
      </c>
      <c r="F99" s="281">
        <v>4</v>
      </c>
      <c r="G99" s="282">
        <v>80.489678562500004</v>
      </c>
      <c r="H99" s="282">
        <v>81.663515885416658</v>
      </c>
      <c r="I99" s="282">
        <v>83.769487495833332</v>
      </c>
      <c r="J99" s="282">
        <v>86.846248223333347</v>
      </c>
      <c r="K99" s="282">
        <v>85.679564775277782</v>
      </c>
      <c r="L99" s="282">
        <v>86.407796171527764</v>
      </c>
      <c r="M99" s="282">
        <v>88.912556482777802</v>
      </c>
      <c r="N99" s="282">
        <v>91.320747531944448</v>
      </c>
      <c r="O99" s="282">
        <v>93.445799516666668</v>
      </c>
      <c r="P99" s="282">
        <v>93.840234213333332</v>
      </c>
      <c r="Q99" s="282">
        <v>93.927876974791658</v>
      </c>
      <c r="R99" s="283">
        <v>93.719161695833321</v>
      </c>
      <c r="S99" s="284">
        <v>979.53298896673607</v>
      </c>
      <c r="T99" s="284">
        <v>513.27916903416667</v>
      </c>
      <c r="U99" s="296">
        <f t="shared" si="2"/>
        <v>61.743988966735856</v>
      </c>
      <c r="V99" s="296">
        <f t="shared" si="3"/>
        <v>13.485169034166688</v>
      </c>
      <c r="W99" s="287">
        <v>87</v>
      </c>
      <c r="X99" s="280">
        <v>85</v>
      </c>
      <c r="Y99" s="280">
        <v>87</v>
      </c>
      <c r="Z99" s="280">
        <v>88</v>
      </c>
      <c r="AA99" s="280">
        <v>88</v>
      </c>
      <c r="AB99" s="280">
        <v>90</v>
      </c>
      <c r="AC99" s="280">
        <v>93</v>
      </c>
      <c r="AD99" s="280">
        <v>97</v>
      </c>
      <c r="AE99" s="280">
        <v>99</v>
      </c>
      <c r="AF99" s="280">
        <v>100</v>
      </c>
      <c r="AG99" s="280">
        <v>101</v>
      </c>
      <c r="AH99" s="280">
        <v>104</v>
      </c>
    </row>
    <row r="100" spans="1:34" s="1" customFormat="1" ht="13" x14ac:dyDescent="0.25">
      <c r="A100" s="280" t="s">
        <v>642</v>
      </c>
      <c r="B100" s="286">
        <v>442</v>
      </c>
      <c r="C100" s="286">
        <v>727.875</v>
      </c>
      <c r="D100" s="286">
        <v>1013.7500000000001</v>
      </c>
      <c r="E100" s="286">
        <v>1</v>
      </c>
      <c r="F100" s="281">
        <v>5</v>
      </c>
      <c r="G100" s="282">
        <v>80.489678562500004</v>
      </c>
      <c r="H100" s="282">
        <v>81.663515885416658</v>
      </c>
      <c r="I100" s="282">
        <v>84.214487495833339</v>
      </c>
      <c r="J100" s="282">
        <v>87.736248223333348</v>
      </c>
      <c r="K100" s="282">
        <v>87.01456477527779</v>
      </c>
      <c r="L100" s="282">
        <v>88.255171171527763</v>
      </c>
      <c r="M100" s="282">
        <v>91.272306482777793</v>
      </c>
      <c r="N100" s="282">
        <v>94.192872531944445</v>
      </c>
      <c r="O100" s="282">
        <v>96.878455766666676</v>
      </c>
      <c r="P100" s="282">
        <v>97.833421713333337</v>
      </c>
      <c r="Q100" s="282">
        <v>98.48159572479166</v>
      </c>
      <c r="R100" s="283">
        <v>98.83341169583332</v>
      </c>
      <c r="S100" s="284">
        <v>1006.376051466736</v>
      </c>
      <c r="T100" s="284">
        <v>520.15629403416665</v>
      </c>
      <c r="U100" s="296">
        <f t="shared" si="2"/>
        <v>88.587051466735829</v>
      </c>
      <c r="V100" s="296">
        <f t="shared" si="3"/>
        <v>20.362294034166666</v>
      </c>
      <c r="W100" s="287">
        <v>87</v>
      </c>
      <c r="X100" s="280">
        <v>85</v>
      </c>
      <c r="Y100" s="280">
        <v>88</v>
      </c>
      <c r="Z100" s="280">
        <v>90</v>
      </c>
      <c r="AA100" s="280">
        <v>91</v>
      </c>
      <c r="AB100" s="280">
        <v>94</v>
      </c>
      <c r="AC100" s="280">
        <v>98</v>
      </c>
      <c r="AD100" s="280">
        <v>103</v>
      </c>
      <c r="AE100" s="280">
        <v>106</v>
      </c>
      <c r="AF100" s="280">
        <v>108</v>
      </c>
      <c r="AG100" s="280">
        <v>110</v>
      </c>
      <c r="AH100" s="280">
        <v>114</v>
      </c>
    </row>
    <row r="101" spans="1:34" s="1" customFormat="1" ht="13" x14ac:dyDescent="0.25">
      <c r="A101" s="280" t="s">
        <v>643</v>
      </c>
      <c r="B101" s="286">
        <v>442</v>
      </c>
      <c r="C101" s="286">
        <v>727.875</v>
      </c>
      <c r="D101" s="286">
        <v>1013.7500000000001</v>
      </c>
      <c r="E101" s="286">
        <v>2</v>
      </c>
      <c r="F101" s="281">
        <v>0</v>
      </c>
      <c r="G101" s="282">
        <v>80.489678562500004</v>
      </c>
      <c r="H101" s="282">
        <v>80.447625218749991</v>
      </c>
      <c r="I101" s="282">
        <v>81.047684162499991</v>
      </c>
      <c r="J101" s="282">
        <v>82.162105139999994</v>
      </c>
      <c r="K101" s="282">
        <v>79.460269608611114</v>
      </c>
      <c r="L101" s="282">
        <v>78.63829617152777</v>
      </c>
      <c r="M101" s="282">
        <v>79.054806482777764</v>
      </c>
      <c r="N101" s="282">
        <v>79.420580865277756</v>
      </c>
      <c r="O101" s="282">
        <v>79.14100784999998</v>
      </c>
      <c r="P101" s="282">
        <v>77.455817546666665</v>
      </c>
      <c r="Q101" s="282">
        <v>75.268835308124991</v>
      </c>
      <c r="R101" s="283">
        <v>72.731328362499994</v>
      </c>
      <c r="S101" s="284">
        <v>864.82835671673593</v>
      </c>
      <c r="T101" s="284">
        <v>480.81078678416657</v>
      </c>
      <c r="U101" s="296">
        <f t="shared" si="2"/>
        <v>-52.960643283264289</v>
      </c>
      <c r="V101" s="296">
        <f t="shared" si="3"/>
        <v>-18.983213215833416</v>
      </c>
      <c r="W101" s="287">
        <v>87</v>
      </c>
      <c r="X101" s="280">
        <v>85</v>
      </c>
      <c r="Y101" s="280">
        <v>83</v>
      </c>
      <c r="Z101" s="280">
        <v>80</v>
      </c>
      <c r="AA101" s="280">
        <v>76</v>
      </c>
      <c r="AB101" s="280">
        <v>74</v>
      </c>
      <c r="AC101" s="280">
        <v>73</v>
      </c>
      <c r="AD101" s="280">
        <v>73</v>
      </c>
      <c r="AE101" s="280">
        <v>71</v>
      </c>
      <c r="AF101" s="280">
        <v>68</v>
      </c>
      <c r="AG101" s="280">
        <v>65</v>
      </c>
      <c r="AH101" s="280">
        <v>64</v>
      </c>
    </row>
    <row r="102" spans="1:34" s="1" customFormat="1" ht="13" x14ac:dyDescent="0.25">
      <c r="A102" s="280" t="s">
        <v>644</v>
      </c>
      <c r="B102" s="286">
        <v>442</v>
      </c>
      <c r="C102" s="286">
        <v>727.875</v>
      </c>
      <c r="D102" s="286">
        <v>1013.7500000000001</v>
      </c>
      <c r="E102" s="286">
        <v>2</v>
      </c>
      <c r="F102" s="281">
        <v>1</v>
      </c>
      <c r="G102" s="282">
        <v>80.489678562500004</v>
      </c>
      <c r="H102" s="282">
        <v>80.447625218749991</v>
      </c>
      <c r="I102" s="282">
        <v>81.492684162499998</v>
      </c>
      <c r="J102" s="282">
        <v>83.052105139999995</v>
      </c>
      <c r="K102" s="282">
        <v>80.795269608611108</v>
      </c>
      <c r="L102" s="282">
        <v>80.48567117152777</v>
      </c>
      <c r="M102" s="282">
        <v>81.414556482777769</v>
      </c>
      <c r="N102" s="282">
        <v>82.292705865277753</v>
      </c>
      <c r="O102" s="282">
        <v>82.573664099999988</v>
      </c>
      <c r="P102" s="282">
        <v>81.44900504666667</v>
      </c>
      <c r="Q102" s="282">
        <v>79.822554058124993</v>
      </c>
      <c r="R102" s="283">
        <v>77.845578362499992</v>
      </c>
      <c r="S102" s="284">
        <v>891.67141921673601</v>
      </c>
      <c r="T102" s="284">
        <v>487.6879117841666</v>
      </c>
      <c r="U102" s="296">
        <f t="shared" si="2"/>
        <v>-26.117580783264202</v>
      </c>
      <c r="V102" s="296">
        <f t="shared" si="3"/>
        <v>-12.106088215833381</v>
      </c>
      <c r="W102" s="287">
        <v>87</v>
      </c>
      <c r="X102" s="280">
        <v>85</v>
      </c>
      <c r="Y102" s="280">
        <v>84</v>
      </c>
      <c r="Z102" s="280">
        <v>82</v>
      </c>
      <c r="AA102" s="280">
        <v>79</v>
      </c>
      <c r="AB102" s="280">
        <v>78</v>
      </c>
      <c r="AC102" s="280">
        <v>78</v>
      </c>
      <c r="AD102" s="280">
        <v>79</v>
      </c>
      <c r="AE102" s="280">
        <v>78</v>
      </c>
      <c r="AF102" s="280">
        <v>76</v>
      </c>
      <c r="AG102" s="280">
        <v>74</v>
      </c>
      <c r="AH102" s="280">
        <v>74</v>
      </c>
    </row>
    <row r="103" spans="1:34" s="1" customFormat="1" ht="13" x14ac:dyDescent="0.25">
      <c r="A103" s="280" t="s">
        <v>645</v>
      </c>
      <c r="B103" s="286">
        <v>442</v>
      </c>
      <c r="C103" s="286">
        <v>727.875</v>
      </c>
      <c r="D103" s="286">
        <v>1013.7500000000001</v>
      </c>
      <c r="E103" s="286">
        <v>2</v>
      </c>
      <c r="F103" s="281">
        <v>2</v>
      </c>
      <c r="G103" s="282">
        <v>80.489678562500004</v>
      </c>
      <c r="H103" s="282">
        <v>80.447625218749991</v>
      </c>
      <c r="I103" s="282">
        <v>81.937684162499991</v>
      </c>
      <c r="J103" s="282">
        <v>83.94210514000001</v>
      </c>
      <c r="K103" s="282">
        <v>82.130269608611115</v>
      </c>
      <c r="L103" s="282">
        <v>82.333046171527769</v>
      </c>
      <c r="M103" s="282">
        <v>83.774306482777774</v>
      </c>
      <c r="N103" s="282">
        <v>85.164830865277764</v>
      </c>
      <c r="O103" s="282">
        <v>86.006320349999996</v>
      </c>
      <c r="P103" s="282">
        <v>85.442192546666675</v>
      </c>
      <c r="Q103" s="282">
        <v>84.376272808125009</v>
      </c>
      <c r="R103" s="283">
        <v>82.959828362499991</v>
      </c>
      <c r="S103" s="284">
        <v>918.5144817167361</v>
      </c>
      <c r="T103" s="284">
        <v>494.56503678416664</v>
      </c>
      <c r="U103" s="296">
        <f t="shared" si="2"/>
        <v>0.72548171673588513</v>
      </c>
      <c r="V103" s="296">
        <f t="shared" si="3"/>
        <v>-5.2289632158333461</v>
      </c>
      <c r="W103" s="287">
        <v>87</v>
      </c>
      <c r="X103" s="280">
        <v>85</v>
      </c>
      <c r="Y103" s="280">
        <v>85</v>
      </c>
      <c r="Z103" s="280">
        <v>84</v>
      </c>
      <c r="AA103" s="280">
        <v>82</v>
      </c>
      <c r="AB103" s="280">
        <v>82</v>
      </c>
      <c r="AC103" s="280">
        <v>83</v>
      </c>
      <c r="AD103" s="280">
        <v>85</v>
      </c>
      <c r="AE103" s="280">
        <v>85</v>
      </c>
      <c r="AF103" s="280">
        <v>84</v>
      </c>
      <c r="AG103" s="280">
        <v>83</v>
      </c>
      <c r="AH103" s="280">
        <v>84</v>
      </c>
    </row>
    <row r="104" spans="1:34" s="1" customFormat="1" ht="13" x14ac:dyDescent="0.25">
      <c r="A104" s="280" t="s">
        <v>646</v>
      </c>
      <c r="B104" s="286">
        <v>442</v>
      </c>
      <c r="C104" s="286">
        <v>727.875</v>
      </c>
      <c r="D104" s="286">
        <v>1013.7500000000001</v>
      </c>
      <c r="E104" s="286">
        <v>2</v>
      </c>
      <c r="F104" s="281">
        <v>3</v>
      </c>
      <c r="G104" s="282">
        <v>80.489678562500004</v>
      </c>
      <c r="H104" s="282">
        <v>80.447625218749991</v>
      </c>
      <c r="I104" s="282">
        <v>82.382684162500013</v>
      </c>
      <c r="J104" s="282">
        <v>84.83210514000001</v>
      </c>
      <c r="K104" s="282">
        <v>83.465269608611123</v>
      </c>
      <c r="L104" s="282">
        <v>84.180421171527769</v>
      </c>
      <c r="M104" s="282">
        <v>86.134056482777765</v>
      </c>
      <c r="N104" s="282">
        <v>88.036955865277776</v>
      </c>
      <c r="O104" s="282">
        <v>89.438976600000004</v>
      </c>
      <c r="P104" s="282">
        <v>89.43538004666668</v>
      </c>
      <c r="Q104" s="282">
        <v>88.92999155812501</v>
      </c>
      <c r="R104" s="283">
        <v>88.074078362500003</v>
      </c>
      <c r="S104" s="284">
        <v>945.35754421673607</v>
      </c>
      <c r="T104" s="284">
        <v>501.44216178416661</v>
      </c>
      <c r="U104" s="296">
        <f t="shared" si="2"/>
        <v>27.568544216735859</v>
      </c>
      <c r="V104" s="296">
        <f t="shared" si="3"/>
        <v>1.6481617841666321</v>
      </c>
      <c r="W104" s="287">
        <v>87</v>
      </c>
      <c r="X104" s="280">
        <v>85</v>
      </c>
      <c r="Y104" s="280">
        <v>86</v>
      </c>
      <c r="Z104" s="280">
        <v>86</v>
      </c>
      <c r="AA104" s="280">
        <v>85</v>
      </c>
      <c r="AB104" s="280">
        <v>86</v>
      </c>
      <c r="AC104" s="280">
        <v>88</v>
      </c>
      <c r="AD104" s="280">
        <v>91</v>
      </c>
      <c r="AE104" s="280">
        <v>92</v>
      </c>
      <c r="AF104" s="280">
        <v>92</v>
      </c>
      <c r="AG104" s="280">
        <v>92</v>
      </c>
      <c r="AH104" s="280">
        <v>94</v>
      </c>
    </row>
    <row r="105" spans="1:34" s="1" customFormat="1" ht="13" x14ac:dyDescent="0.25">
      <c r="A105" s="280" t="s">
        <v>647</v>
      </c>
      <c r="B105" s="286">
        <v>442</v>
      </c>
      <c r="C105" s="286">
        <v>727.875</v>
      </c>
      <c r="D105" s="286">
        <v>1013.7500000000001</v>
      </c>
      <c r="E105" s="286">
        <v>2</v>
      </c>
      <c r="F105" s="281">
        <v>4</v>
      </c>
      <c r="G105" s="282">
        <v>80.489678562500004</v>
      </c>
      <c r="H105" s="282">
        <v>80.447625218749991</v>
      </c>
      <c r="I105" s="282">
        <v>82.827684162500006</v>
      </c>
      <c r="J105" s="282">
        <v>85.722105140000011</v>
      </c>
      <c r="K105" s="282">
        <v>84.800269608611131</v>
      </c>
      <c r="L105" s="282">
        <v>86.027796171527768</v>
      </c>
      <c r="M105" s="282">
        <v>88.493806482777785</v>
      </c>
      <c r="N105" s="282">
        <v>90.909080865277772</v>
      </c>
      <c r="O105" s="282">
        <v>92.871632849999997</v>
      </c>
      <c r="P105" s="282">
        <v>93.42856754666667</v>
      </c>
      <c r="Q105" s="282">
        <v>93.483710308125012</v>
      </c>
      <c r="R105" s="283">
        <v>93.188328362500002</v>
      </c>
      <c r="S105" s="284">
        <v>972.20060671673605</v>
      </c>
      <c r="T105" s="284">
        <v>508.31928678416671</v>
      </c>
      <c r="U105" s="296">
        <f t="shared" si="2"/>
        <v>54.411606716735832</v>
      </c>
      <c r="V105" s="296">
        <f t="shared" si="3"/>
        <v>8.5252867841667239</v>
      </c>
      <c r="W105" s="287">
        <v>87</v>
      </c>
      <c r="X105" s="280">
        <v>85</v>
      </c>
      <c r="Y105" s="280">
        <v>87</v>
      </c>
      <c r="Z105" s="280">
        <v>88</v>
      </c>
      <c r="AA105" s="280">
        <v>88</v>
      </c>
      <c r="AB105" s="280">
        <v>90</v>
      </c>
      <c r="AC105" s="280">
        <v>93</v>
      </c>
      <c r="AD105" s="280">
        <v>97</v>
      </c>
      <c r="AE105" s="280">
        <v>99</v>
      </c>
      <c r="AF105" s="280">
        <v>100</v>
      </c>
      <c r="AG105" s="280">
        <v>101</v>
      </c>
      <c r="AH105" s="280">
        <v>104</v>
      </c>
    </row>
    <row r="106" spans="1:34" s="1" customFormat="1" ht="13" x14ac:dyDescent="0.25">
      <c r="A106" s="280" t="s">
        <v>648</v>
      </c>
      <c r="B106" s="286">
        <v>442</v>
      </c>
      <c r="C106" s="286">
        <v>727.875</v>
      </c>
      <c r="D106" s="286">
        <v>1013.7500000000001</v>
      </c>
      <c r="E106" s="286">
        <v>2</v>
      </c>
      <c r="F106" s="281">
        <v>5</v>
      </c>
      <c r="G106" s="282">
        <v>80.489678562500004</v>
      </c>
      <c r="H106" s="282">
        <v>80.447625218749991</v>
      </c>
      <c r="I106" s="282">
        <v>83.272684162500013</v>
      </c>
      <c r="J106" s="282">
        <v>86.612105140000011</v>
      </c>
      <c r="K106" s="282">
        <v>86.135269608611125</v>
      </c>
      <c r="L106" s="282">
        <v>87.875171171527768</v>
      </c>
      <c r="M106" s="282">
        <v>90.853556482777776</v>
      </c>
      <c r="N106" s="282">
        <v>93.781205865277769</v>
      </c>
      <c r="O106" s="282">
        <v>96.304289100000005</v>
      </c>
      <c r="P106" s="282">
        <v>97.421755046666675</v>
      </c>
      <c r="Q106" s="282">
        <v>98.037429058125014</v>
      </c>
      <c r="R106" s="283">
        <v>98.3025783625</v>
      </c>
      <c r="S106" s="284">
        <v>999.04366921673613</v>
      </c>
      <c r="T106" s="284">
        <v>515.19641178416668</v>
      </c>
      <c r="U106" s="296">
        <f t="shared" si="2"/>
        <v>81.25466921673592</v>
      </c>
      <c r="V106" s="296">
        <f t="shared" si="3"/>
        <v>15.402411784166702</v>
      </c>
      <c r="W106" s="287">
        <v>87</v>
      </c>
      <c r="X106" s="280">
        <v>85</v>
      </c>
      <c r="Y106" s="280">
        <v>88</v>
      </c>
      <c r="Z106" s="280">
        <v>90</v>
      </c>
      <c r="AA106" s="280">
        <v>91</v>
      </c>
      <c r="AB106" s="280">
        <v>94</v>
      </c>
      <c r="AC106" s="280">
        <v>98</v>
      </c>
      <c r="AD106" s="280">
        <v>103</v>
      </c>
      <c r="AE106" s="280">
        <v>106</v>
      </c>
      <c r="AF106" s="280">
        <v>108</v>
      </c>
      <c r="AG106" s="280">
        <v>110</v>
      </c>
      <c r="AH106" s="280">
        <v>114</v>
      </c>
    </row>
    <row r="107" spans="1:34" s="1" customFormat="1" ht="13" x14ac:dyDescent="0.25">
      <c r="A107" s="280" t="s">
        <v>649</v>
      </c>
      <c r="B107" s="286">
        <v>442</v>
      </c>
      <c r="C107" s="286">
        <v>727.875</v>
      </c>
      <c r="D107" s="286">
        <v>1013.7500000000001</v>
      </c>
      <c r="E107" s="286">
        <v>3</v>
      </c>
      <c r="F107" s="281">
        <v>0</v>
      </c>
      <c r="G107" s="282">
        <v>80.489678562500004</v>
      </c>
      <c r="H107" s="282">
        <v>79.988464079861117</v>
      </c>
      <c r="I107" s="282">
        <v>80.331015384722221</v>
      </c>
      <c r="J107" s="282">
        <v>81.621098251111093</v>
      </c>
      <c r="K107" s="282">
        <v>78.763325164166673</v>
      </c>
      <c r="L107" s="282">
        <v>78.14718506041666</v>
      </c>
      <c r="M107" s="282">
        <v>78.655778704999989</v>
      </c>
      <c r="N107" s="282">
        <v>79.037803087499981</v>
      </c>
      <c r="O107" s="282">
        <v>78.675174516666658</v>
      </c>
      <c r="P107" s="282">
        <v>76.935817546666655</v>
      </c>
      <c r="Q107" s="282">
        <v>74.846335308124992</v>
      </c>
      <c r="R107" s="283">
        <v>72.258272806944447</v>
      </c>
      <c r="S107" s="284">
        <v>859.26026991118033</v>
      </c>
      <c r="T107" s="284">
        <v>477.50686664527768</v>
      </c>
      <c r="U107" s="296">
        <f t="shared" si="2"/>
        <v>-58.528730088819884</v>
      </c>
      <c r="V107" s="296">
        <f t="shared" si="3"/>
        <v>-22.2871333547223</v>
      </c>
      <c r="W107" s="287">
        <v>87</v>
      </c>
      <c r="X107" s="280">
        <v>85</v>
      </c>
      <c r="Y107" s="280">
        <v>83</v>
      </c>
      <c r="Z107" s="280">
        <v>80</v>
      </c>
      <c r="AA107" s="280">
        <v>76</v>
      </c>
      <c r="AB107" s="280">
        <v>74</v>
      </c>
      <c r="AC107" s="280">
        <v>73</v>
      </c>
      <c r="AD107" s="280">
        <v>73</v>
      </c>
      <c r="AE107" s="280">
        <v>71</v>
      </c>
      <c r="AF107" s="280">
        <v>68</v>
      </c>
      <c r="AG107" s="280">
        <v>65</v>
      </c>
      <c r="AH107" s="280">
        <v>64</v>
      </c>
    </row>
    <row r="108" spans="1:34" s="1" customFormat="1" ht="13" x14ac:dyDescent="0.25">
      <c r="A108" s="280" t="s">
        <v>650</v>
      </c>
      <c r="B108" s="286">
        <v>442</v>
      </c>
      <c r="C108" s="286">
        <v>727.875</v>
      </c>
      <c r="D108" s="286">
        <v>1013.7500000000001</v>
      </c>
      <c r="E108" s="286">
        <v>3</v>
      </c>
      <c r="F108" s="281">
        <v>1</v>
      </c>
      <c r="G108" s="282">
        <v>80.489678562500004</v>
      </c>
      <c r="H108" s="282">
        <v>79.988464079861117</v>
      </c>
      <c r="I108" s="282">
        <v>80.776015384722228</v>
      </c>
      <c r="J108" s="282">
        <v>82.511098251111108</v>
      </c>
      <c r="K108" s="282">
        <v>80.098325164166667</v>
      </c>
      <c r="L108" s="282">
        <v>79.99456006041666</v>
      </c>
      <c r="M108" s="282">
        <v>81.015528704999994</v>
      </c>
      <c r="N108" s="282">
        <v>81.909928087499978</v>
      </c>
      <c r="O108" s="282">
        <v>82.107830766666652</v>
      </c>
      <c r="P108" s="282">
        <v>80.929005046666646</v>
      </c>
      <c r="Q108" s="282">
        <v>79.400054058124994</v>
      </c>
      <c r="R108" s="283">
        <v>77.372522806944446</v>
      </c>
      <c r="S108" s="284">
        <v>886.10333241118042</v>
      </c>
      <c r="T108" s="284">
        <v>484.38399164527783</v>
      </c>
      <c r="U108" s="296">
        <f t="shared" si="2"/>
        <v>-31.685667588819797</v>
      </c>
      <c r="V108" s="296">
        <f t="shared" si="3"/>
        <v>-15.410008354722152</v>
      </c>
      <c r="W108" s="287">
        <v>87</v>
      </c>
      <c r="X108" s="280">
        <v>85</v>
      </c>
      <c r="Y108" s="280">
        <v>84</v>
      </c>
      <c r="Z108" s="280">
        <v>82</v>
      </c>
      <c r="AA108" s="280">
        <v>79</v>
      </c>
      <c r="AB108" s="280">
        <v>78</v>
      </c>
      <c r="AC108" s="280">
        <v>78</v>
      </c>
      <c r="AD108" s="280">
        <v>79</v>
      </c>
      <c r="AE108" s="280">
        <v>78</v>
      </c>
      <c r="AF108" s="280">
        <v>76</v>
      </c>
      <c r="AG108" s="280">
        <v>74</v>
      </c>
      <c r="AH108" s="280">
        <v>74</v>
      </c>
    </row>
    <row r="109" spans="1:34" s="1" customFormat="1" ht="13" x14ac:dyDescent="0.25">
      <c r="A109" s="280" t="s">
        <v>651</v>
      </c>
      <c r="B109" s="286">
        <v>442</v>
      </c>
      <c r="C109" s="286">
        <v>727.875</v>
      </c>
      <c r="D109" s="286">
        <v>1013.7500000000001</v>
      </c>
      <c r="E109" s="286">
        <v>3</v>
      </c>
      <c r="F109" s="281">
        <v>2</v>
      </c>
      <c r="G109" s="282">
        <v>80.489678562500004</v>
      </c>
      <c r="H109" s="282">
        <v>79.988464079861117</v>
      </c>
      <c r="I109" s="282">
        <v>81.221015384722222</v>
      </c>
      <c r="J109" s="282">
        <v>83.401098251111108</v>
      </c>
      <c r="K109" s="282">
        <v>81.433325164166675</v>
      </c>
      <c r="L109" s="282">
        <v>81.84193506041666</v>
      </c>
      <c r="M109" s="282">
        <v>83.375278704999999</v>
      </c>
      <c r="N109" s="282">
        <v>84.782053087499989</v>
      </c>
      <c r="O109" s="282">
        <v>85.540487016666674</v>
      </c>
      <c r="P109" s="282">
        <v>84.922192546666651</v>
      </c>
      <c r="Q109" s="282">
        <v>83.953772808125009</v>
      </c>
      <c r="R109" s="283">
        <v>82.486772806944444</v>
      </c>
      <c r="S109" s="284">
        <v>912.94639491118073</v>
      </c>
      <c r="T109" s="284">
        <v>491.26111664527787</v>
      </c>
      <c r="U109" s="296">
        <f t="shared" si="2"/>
        <v>-4.8426050888194823</v>
      </c>
      <c r="V109" s="296">
        <f t="shared" si="3"/>
        <v>-8.5328833547221166</v>
      </c>
      <c r="W109" s="287">
        <v>87</v>
      </c>
      <c r="X109" s="280">
        <v>85</v>
      </c>
      <c r="Y109" s="280">
        <v>85</v>
      </c>
      <c r="Z109" s="280">
        <v>84</v>
      </c>
      <c r="AA109" s="280">
        <v>82</v>
      </c>
      <c r="AB109" s="280">
        <v>82</v>
      </c>
      <c r="AC109" s="280">
        <v>83</v>
      </c>
      <c r="AD109" s="280">
        <v>85</v>
      </c>
      <c r="AE109" s="280">
        <v>85</v>
      </c>
      <c r="AF109" s="280">
        <v>84</v>
      </c>
      <c r="AG109" s="280">
        <v>83</v>
      </c>
      <c r="AH109" s="280">
        <v>84</v>
      </c>
    </row>
    <row r="110" spans="1:34" s="1" customFormat="1" ht="13" x14ac:dyDescent="0.25">
      <c r="A110" s="280" t="s">
        <v>652</v>
      </c>
      <c r="B110" s="286">
        <v>442</v>
      </c>
      <c r="C110" s="286">
        <v>727.875</v>
      </c>
      <c r="D110" s="286">
        <v>1013.7500000000001</v>
      </c>
      <c r="E110" s="286">
        <v>3</v>
      </c>
      <c r="F110" s="281">
        <v>3</v>
      </c>
      <c r="G110" s="282">
        <v>80.489678562500004</v>
      </c>
      <c r="H110" s="282">
        <v>79.988464079861117</v>
      </c>
      <c r="I110" s="282">
        <v>81.666015384722229</v>
      </c>
      <c r="J110" s="282">
        <v>84.291098251111109</v>
      </c>
      <c r="K110" s="282">
        <v>82.768325164166669</v>
      </c>
      <c r="L110" s="282">
        <v>83.689310060416659</v>
      </c>
      <c r="M110" s="282">
        <v>85.735028705000005</v>
      </c>
      <c r="N110" s="282">
        <v>87.6541780875</v>
      </c>
      <c r="O110" s="282">
        <v>88.973143266666668</v>
      </c>
      <c r="P110" s="282">
        <v>88.915380046666641</v>
      </c>
      <c r="Q110" s="282">
        <v>88.507491558125011</v>
      </c>
      <c r="R110" s="283">
        <v>87.601022806944457</v>
      </c>
      <c r="S110" s="284">
        <v>939.78945741118059</v>
      </c>
      <c r="T110" s="284">
        <v>498.13824164527784</v>
      </c>
      <c r="U110" s="296">
        <f t="shared" si="2"/>
        <v>22.000457411180378</v>
      </c>
      <c r="V110" s="296">
        <f t="shared" si="3"/>
        <v>-1.6557583547221384</v>
      </c>
      <c r="W110" s="287">
        <v>87</v>
      </c>
      <c r="X110" s="280">
        <v>85</v>
      </c>
      <c r="Y110" s="280">
        <v>86</v>
      </c>
      <c r="Z110" s="280">
        <v>86</v>
      </c>
      <c r="AA110" s="280">
        <v>85</v>
      </c>
      <c r="AB110" s="280">
        <v>86</v>
      </c>
      <c r="AC110" s="280">
        <v>88</v>
      </c>
      <c r="AD110" s="280">
        <v>91</v>
      </c>
      <c r="AE110" s="280">
        <v>92</v>
      </c>
      <c r="AF110" s="280">
        <v>92</v>
      </c>
      <c r="AG110" s="280">
        <v>92</v>
      </c>
      <c r="AH110" s="280">
        <v>94</v>
      </c>
    </row>
    <row r="111" spans="1:34" s="1" customFormat="1" ht="13" x14ac:dyDescent="0.25">
      <c r="A111" s="280" t="s">
        <v>653</v>
      </c>
      <c r="B111" s="286">
        <v>442</v>
      </c>
      <c r="C111" s="286">
        <v>727.875</v>
      </c>
      <c r="D111" s="286">
        <v>1013.7500000000001</v>
      </c>
      <c r="E111" s="286">
        <v>3</v>
      </c>
      <c r="F111" s="281">
        <v>4</v>
      </c>
      <c r="G111" s="282">
        <v>80.489678562500004</v>
      </c>
      <c r="H111" s="282">
        <v>79.988464079861117</v>
      </c>
      <c r="I111" s="282">
        <v>82.111015384722222</v>
      </c>
      <c r="J111" s="282">
        <v>85.181098251111109</v>
      </c>
      <c r="K111" s="282">
        <v>84.103325164166691</v>
      </c>
      <c r="L111" s="282">
        <v>85.536685060416659</v>
      </c>
      <c r="M111" s="282">
        <v>88.094778704999996</v>
      </c>
      <c r="N111" s="282">
        <v>90.526303087500011</v>
      </c>
      <c r="O111" s="282">
        <v>92.405799516666676</v>
      </c>
      <c r="P111" s="282">
        <v>92.908567546666646</v>
      </c>
      <c r="Q111" s="282">
        <v>93.061210308125013</v>
      </c>
      <c r="R111" s="283">
        <v>92.715272806944455</v>
      </c>
      <c r="S111" s="284">
        <v>966.63251991118057</v>
      </c>
      <c r="T111" s="284">
        <v>505.01536664527777</v>
      </c>
      <c r="U111" s="296">
        <f t="shared" si="2"/>
        <v>48.843519911180351</v>
      </c>
      <c r="V111" s="296">
        <f t="shared" si="3"/>
        <v>5.2213666452777829</v>
      </c>
      <c r="W111" s="287">
        <v>87</v>
      </c>
      <c r="X111" s="280">
        <v>85</v>
      </c>
      <c r="Y111" s="280">
        <v>87</v>
      </c>
      <c r="Z111" s="280">
        <v>88</v>
      </c>
      <c r="AA111" s="280">
        <v>88</v>
      </c>
      <c r="AB111" s="280">
        <v>90</v>
      </c>
      <c r="AC111" s="280">
        <v>93</v>
      </c>
      <c r="AD111" s="280">
        <v>97</v>
      </c>
      <c r="AE111" s="280">
        <v>99</v>
      </c>
      <c r="AF111" s="280">
        <v>100</v>
      </c>
      <c r="AG111" s="280">
        <v>101</v>
      </c>
      <c r="AH111" s="280">
        <v>104</v>
      </c>
    </row>
    <row r="112" spans="1:34" s="1" customFormat="1" ht="13" x14ac:dyDescent="0.25">
      <c r="A112" s="280" t="s">
        <v>654</v>
      </c>
      <c r="B112" s="286">
        <v>442</v>
      </c>
      <c r="C112" s="286">
        <v>727.875</v>
      </c>
      <c r="D112" s="286">
        <v>1013.7500000000001</v>
      </c>
      <c r="E112" s="286">
        <v>3</v>
      </c>
      <c r="F112" s="281">
        <v>5</v>
      </c>
      <c r="G112" s="282">
        <v>80.489678562500004</v>
      </c>
      <c r="H112" s="282">
        <v>79.988464079861117</v>
      </c>
      <c r="I112" s="282">
        <v>82.556015384722215</v>
      </c>
      <c r="J112" s="282">
        <v>86.07109825111111</v>
      </c>
      <c r="K112" s="282">
        <v>85.438325164166685</v>
      </c>
      <c r="L112" s="282">
        <v>87.384060060416658</v>
      </c>
      <c r="M112" s="282">
        <v>90.454528705000001</v>
      </c>
      <c r="N112" s="282">
        <v>93.398428087500008</v>
      </c>
      <c r="O112" s="282">
        <v>95.838455766666669</v>
      </c>
      <c r="P112" s="282">
        <v>96.901755046666651</v>
      </c>
      <c r="Q112" s="282">
        <v>97.614929058125014</v>
      </c>
      <c r="R112" s="283">
        <v>97.829522806944453</v>
      </c>
      <c r="S112" s="284">
        <v>993.47558241118054</v>
      </c>
      <c r="T112" s="284">
        <v>511.8924916452778</v>
      </c>
      <c r="U112" s="296">
        <f t="shared" si="2"/>
        <v>75.686582411180325</v>
      </c>
      <c r="V112" s="296">
        <f t="shared" si="3"/>
        <v>12.098491645277818</v>
      </c>
      <c r="W112" s="287">
        <v>87</v>
      </c>
      <c r="X112" s="280">
        <v>85</v>
      </c>
      <c r="Y112" s="280">
        <v>88</v>
      </c>
      <c r="Z112" s="280">
        <v>90</v>
      </c>
      <c r="AA112" s="280">
        <v>91</v>
      </c>
      <c r="AB112" s="280">
        <v>94</v>
      </c>
      <c r="AC112" s="280">
        <v>98</v>
      </c>
      <c r="AD112" s="280">
        <v>103</v>
      </c>
      <c r="AE112" s="280">
        <v>106</v>
      </c>
      <c r="AF112" s="280">
        <v>108</v>
      </c>
      <c r="AG112" s="280">
        <v>110</v>
      </c>
      <c r="AH112" s="280">
        <v>114</v>
      </c>
    </row>
    <row r="113" spans="1:34" s="1" customFormat="1" ht="13" x14ac:dyDescent="0.25">
      <c r="A113" s="280" t="s">
        <v>655</v>
      </c>
      <c r="B113" s="286">
        <v>442</v>
      </c>
      <c r="C113" s="286">
        <v>727.875</v>
      </c>
      <c r="D113" s="286">
        <v>1013.7500000000001</v>
      </c>
      <c r="E113" s="286">
        <v>4</v>
      </c>
      <c r="F113" s="281">
        <v>0</v>
      </c>
      <c r="G113" s="282">
        <v>80.489678562500004</v>
      </c>
      <c r="H113" s="282">
        <v>79.728635060416664</v>
      </c>
      <c r="I113" s="282">
        <v>79.87881932916666</v>
      </c>
      <c r="J113" s="282">
        <v>81.081410806666639</v>
      </c>
      <c r="K113" s="282">
        <v>78.284025941944435</v>
      </c>
      <c r="L113" s="282">
        <v>77.6240010048611</v>
      </c>
      <c r="M113" s="282">
        <v>78.217931482777772</v>
      </c>
      <c r="N113" s="282">
        <v>78.683914198611106</v>
      </c>
      <c r="O113" s="282">
        <v>78.25809118333332</v>
      </c>
      <c r="P113" s="282">
        <v>76.469984213333333</v>
      </c>
      <c r="Q113" s="282">
        <v>74.348001974791643</v>
      </c>
      <c r="R113" s="283">
        <v>71.815911695833321</v>
      </c>
      <c r="S113" s="284">
        <v>854.39072689173599</v>
      </c>
      <c r="T113" s="284">
        <v>474.8148236258333</v>
      </c>
      <c r="U113" s="296">
        <f t="shared" si="2"/>
        <v>-63.39827310826422</v>
      </c>
      <c r="V113" s="296">
        <f t="shared" si="3"/>
        <v>-24.979176374166684</v>
      </c>
      <c r="W113" s="287">
        <v>87</v>
      </c>
      <c r="X113" s="280">
        <v>85</v>
      </c>
      <c r="Y113" s="280">
        <v>83</v>
      </c>
      <c r="Z113" s="280">
        <v>80</v>
      </c>
      <c r="AA113" s="280">
        <v>76</v>
      </c>
      <c r="AB113" s="280">
        <v>74</v>
      </c>
      <c r="AC113" s="280">
        <v>73</v>
      </c>
      <c r="AD113" s="280">
        <v>73</v>
      </c>
      <c r="AE113" s="280">
        <v>71</v>
      </c>
      <c r="AF113" s="280">
        <v>68</v>
      </c>
      <c r="AG113" s="280">
        <v>65</v>
      </c>
      <c r="AH113" s="280">
        <v>64</v>
      </c>
    </row>
    <row r="114" spans="1:34" s="1" customFormat="1" ht="13" x14ac:dyDescent="0.25">
      <c r="A114" s="280" t="s">
        <v>656</v>
      </c>
      <c r="B114" s="286">
        <v>442</v>
      </c>
      <c r="C114" s="286">
        <v>727.875</v>
      </c>
      <c r="D114" s="286">
        <v>1013.7500000000001</v>
      </c>
      <c r="E114" s="286">
        <v>4</v>
      </c>
      <c r="F114" s="281">
        <v>1</v>
      </c>
      <c r="G114" s="282">
        <v>80.489678562500004</v>
      </c>
      <c r="H114" s="282">
        <v>79.728635060416664</v>
      </c>
      <c r="I114" s="282">
        <v>80.323819329166653</v>
      </c>
      <c r="J114" s="282">
        <v>81.971410806666668</v>
      </c>
      <c r="K114" s="282">
        <v>79.619025941944429</v>
      </c>
      <c r="L114" s="282">
        <v>79.471376004861099</v>
      </c>
      <c r="M114" s="282">
        <v>80.577681482777763</v>
      </c>
      <c r="N114" s="282">
        <v>81.556039198611103</v>
      </c>
      <c r="O114" s="282">
        <v>81.690747433333314</v>
      </c>
      <c r="P114" s="282">
        <v>80.463171713333338</v>
      </c>
      <c r="Q114" s="282">
        <v>78.901720724791645</v>
      </c>
      <c r="R114" s="283">
        <v>76.93016169583332</v>
      </c>
      <c r="S114" s="284">
        <v>881.23378939173597</v>
      </c>
      <c r="T114" s="284">
        <v>481.69194862583322</v>
      </c>
      <c r="U114" s="296">
        <f t="shared" si="2"/>
        <v>-36.555210608264247</v>
      </c>
      <c r="V114" s="296">
        <f t="shared" si="3"/>
        <v>-18.102051374166763</v>
      </c>
      <c r="W114" s="287">
        <v>87</v>
      </c>
      <c r="X114" s="280">
        <v>85</v>
      </c>
      <c r="Y114" s="280">
        <v>84</v>
      </c>
      <c r="Z114" s="280">
        <v>82</v>
      </c>
      <c r="AA114" s="280">
        <v>79</v>
      </c>
      <c r="AB114" s="280">
        <v>78</v>
      </c>
      <c r="AC114" s="280">
        <v>78</v>
      </c>
      <c r="AD114" s="280">
        <v>79</v>
      </c>
      <c r="AE114" s="280">
        <v>78</v>
      </c>
      <c r="AF114" s="280">
        <v>76</v>
      </c>
      <c r="AG114" s="280">
        <v>74</v>
      </c>
      <c r="AH114" s="280">
        <v>74</v>
      </c>
    </row>
    <row r="115" spans="1:34" s="1" customFormat="1" ht="13" x14ac:dyDescent="0.25">
      <c r="A115" s="280" t="s">
        <v>657</v>
      </c>
      <c r="B115" s="286">
        <v>442</v>
      </c>
      <c r="C115" s="286">
        <v>727.875</v>
      </c>
      <c r="D115" s="286">
        <v>1013.7500000000001</v>
      </c>
      <c r="E115" s="286">
        <v>4</v>
      </c>
      <c r="F115" s="281">
        <v>2</v>
      </c>
      <c r="G115" s="282">
        <v>80.489678562500004</v>
      </c>
      <c r="H115" s="282">
        <v>79.728635060416664</v>
      </c>
      <c r="I115" s="282">
        <v>80.768819329166647</v>
      </c>
      <c r="J115" s="282">
        <v>82.861410806666669</v>
      </c>
      <c r="K115" s="282">
        <v>80.954025941944437</v>
      </c>
      <c r="L115" s="282">
        <v>81.318751004861099</v>
      </c>
      <c r="M115" s="282">
        <v>82.937431482777768</v>
      </c>
      <c r="N115" s="282">
        <v>84.428164198611114</v>
      </c>
      <c r="O115" s="282">
        <v>85.123403683333322</v>
      </c>
      <c r="P115" s="282">
        <v>84.456359213333329</v>
      </c>
      <c r="Q115" s="282">
        <v>83.45543947479166</v>
      </c>
      <c r="R115" s="283">
        <v>82.044411695833318</v>
      </c>
      <c r="S115" s="284">
        <v>908.07685189173606</v>
      </c>
      <c r="T115" s="284">
        <v>488.56907362583325</v>
      </c>
      <c r="U115" s="296">
        <f t="shared" si="2"/>
        <v>-9.7121481082641594</v>
      </c>
      <c r="V115" s="296">
        <f t="shared" si="3"/>
        <v>-11.224926374166728</v>
      </c>
      <c r="W115" s="287">
        <v>87</v>
      </c>
      <c r="X115" s="280">
        <v>85</v>
      </c>
      <c r="Y115" s="280">
        <v>85</v>
      </c>
      <c r="Z115" s="280">
        <v>84</v>
      </c>
      <c r="AA115" s="280">
        <v>82</v>
      </c>
      <c r="AB115" s="280">
        <v>82</v>
      </c>
      <c r="AC115" s="280">
        <v>83</v>
      </c>
      <c r="AD115" s="280">
        <v>85</v>
      </c>
      <c r="AE115" s="280">
        <v>85</v>
      </c>
      <c r="AF115" s="280">
        <v>84</v>
      </c>
      <c r="AG115" s="280">
        <v>83</v>
      </c>
      <c r="AH115" s="280">
        <v>84</v>
      </c>
    </row>
    <row r="116" spans="1:34" s="1" customFormat="1" ht="13" x14ac:dyDescent="0.25">
      <c r="A116" s="280" t="s">
        <v>658</v>
      </c>
      <c r="B116" s="286">
        <v>442</v>
      </c>
      <c r="C116" s="286">
        <v>727.875</v>
      </c>
      <c r="D116" s="286">
        <v>1013.7500000000001</v>
      </c>
      <c r="E116" s="286">
        <v>4</v>
      </c>
      <c r="F116" s="281">
        <v>3</v>
      </c>
      <c r="G116" s="282">
        <v>80.489678562500004</v>
      </c>
      <c r="H116" s="282">
        <v>79.728635060416664</v>
      </c>
      <c r="I116" s="282">
        <v>81.213819329166654</v>
      </c>
      <c r="J116" s="282">
        <v>83.751410806666669</v>
      </c>
      <c r="K116" s="282">
        <v>82.289025941944431</v>
      </c>
      <c r="L116" s="282">
        <v>83.166126004861098</v>
      </c>
      <c r="M116" s="282">
        <v>85.297181482777773</v>
      </c>
      <c r="N116" s="282">
        <v>87.300289198611111</v>
      </c>
      <c r="O116" s="282">
        <v>88.55605993333333</v>
      </c>
      <c r="P116" s="282">
        <v>88.449546713333334</v>
      </c>
      <c r="Q116" s="282">
        <v>88.009158224791662</v>
      </c>
      <c r="R116" s="283">
        <v>87.158661695833317</v>
      </c>
      <c r="S116" s="284">
        <v>934.91991439173614</v>
      </c>
      <c r="T116" s="284">
        <v>495.44619862583329</v>
      </c>
      <c r="U116" s="296">
        <f t="shared" si="2"/>
        <v>17.130914391735928</v>
      </c>
      <c r="V116" s="296">
        <f t="shared" si="3"/>
        <v>-4.3478013741666928</v>
      </c>
      <c r="W116" s="287">
        <v>87</v>
      </c>
      <c r="X116" s="280">
        <v>85</v>
      </c>
      <c r="Y116" s="280">
        <v>86</v>
      </c>
      <c r="Z116" s="280">
        <v>86</v>
      </c>
      <c r="AA116" s="280">
        <v>85</v>
      </c>
      <c r="AB116" s="280">
        <v>86</v>
      </c>
      <c r="AC116" s="280">
        <v>88</v>
      </c>
      <c r="AD116" s="280">
        <v>91</v>
      </c>
      <c r="AE116" s="280">
        <v>92</v>
      </c>
      <c r="AF116" s="280">
        <v>92</v>
      </c>
      <c r="AG116" s="280">
        <v>92</v>
      </c>
      <c r="AH116" s="280">
        <v>94</v>
      </c>
    </row>
    <row r="117" spans="1:34" s="1" customFormat="1" ht="13" x14ac:dyDescent="0.25">
      <c r="A117" s="280" t="s">
        <v>659</v>
      </c>
      <c r="B117" s="286">
        <v>442</v>
      </c>
      <c r="C117" s="286">
        <v>727.875</v>
      </c>
      <c r="D117" s="286">
        <v>1013.7500000000001</v>
      </c>
      <c r="E117" s="286">
        <v>4</v>
      </c>
      <c r="F117" s="281">
        <v>4</v>
      </c>
      <c r="G117" s="282">
        <v>80.489678562500004</v>
      </c>
      <c r="H117" s="282">
        <v>79.728635060416664</v>
      </c>
      <c r="I117" s="282">
        <v>81.658819329166661</v>
      </c>
      <c r="J117" s="282">
        <v>84.64141080666667</v>
      </c>
      <c r="K117" s="282">
        <v>83.624025941944453</v>
      </c>
      <c r="L117" s="282">
        <v>85.013501004861098</v>
      </c>
      <c r="M117" s="282">
        <v>87.656931482777779</v>
      </c>
      <c r="N117" s="282">
        <v>90.172414198611108</v>
      </c>
      <c r="O117" s="282">
        <v>91.988716183333324</v>
      </c>
      <c r="P117" s="282">
        <v>92.442734213333338</v>
      </c>
      <c r="Q117" s="282">
        <v>92.562876974791664</v>
      </c>
      <c r="R117" s="283">
        <v>92.272911695833315</v>
      </c>
      <c r="S117" s="284">
        <v>961.76297689173589</v>
      </c>
      <c r="T117" s="284">
        <v>502.32332362583332</v>
      </c>
      <c r="U117" s="296">
        <f t="shared" si="2"/>
        <v>43.973976891735674</v>
      </c>
      <c r="V117" s="296">
        <f t="shared" si="3"/>
        <v>2.5293236258333422</v>
      </c>
      <c r="W117" s="287">
        <v>87</v>
      </c>
      <c r="X117" s="280">
        <v>85</v>
      </c>
      <c r="Y117" s="280">
        <v>87</v>
      </c>
      <c r="Z117" s="280">
        <v>88</v>
      </c>
      <c r="AA117" s="280">
        <v>88</v>
      </c>
      <c r="AB117" s="280">
        <v>90</v>
      </c>
      <c r="AC117" s="280">
        <v>93</v>
      </c>
      <c r="AD117" s="280">
        <v>97</v>
      </c>
      <c r="AE117" s="280">
        <v>99</v>
      </c>
      <c r="AF117" s="280">
        <v>100</v>
      </c>
      <c r="AG117" s="280">
        <v>101</v>
      </c>
      <c r="AH117" s="280">
        <v>104</v>
      </c>
    </row>
    <row r="118" spans="1:34" s="1" customFormat="1" ht="13" x14ac:dyDescent="0.25">
      <c r="A118" s="280" t="s">
        <v>660</v>
      </c>
      <c r="B118" s="286">
        <v>442</v>
      </c>
      <c r="C118" s="286">
        <v>727.875</v>
      </c>
      <c r="D118" s="286">
        <v>1013.7500000000001</v>
      </c>
      <c r="E118" s="286">
        <v>4</v>
      </c>
      <c r="F118" s="281">
        <v>5</v>
      </c>
      <c r="G118" s="282">
        <v>80.489678562500004</v>
      </c>
      <c r="H118" s="282">
        <v>79.728635060416664</v>
      </c>
      <c r="I118" s="282">
        <v>82.103819329166669</v>
      </c>
      <c r="J118" s="282">
        <v>85.531410806666671</v>
      </c>
      <c r="K118" s="282">
        <v>84.959025941944446</v>
      </c>
      <c r="L118" s="282">
        <v>86.860876004861097</v>
      </c>
      <c r="M118" s="282">
        <v>90.016681482777784</v>
      </c>
      <c r="N118" s="282">
        <v>93.044539198611119</v>
      </c>
      <c r="O118" s="282">
        <v>95.421372433333332</v>
      </c>
      <c r="P118" s="282">
        <v>96.435921713333329</v>
      </c>
      <c r="Q118" s="282">
        <v>97.116595724791665</v>
      </c>
      <c r="R118" s="283">
        <v>97.387161695833314</v>
      </c>
      <c r="S118" s="284">
        <v>988.60603939173609</v>
      </c>
      <c r="T118" s="284">
        <v>509.20044862583336</v>
      </c>
      <c r="U118" s="296">
        <f t="shared" si="2"/>
        <v>70.817039391735875</v>
      </c>
      <c r="V118" s="296">
        <f t="shared" si="3"/>
        <v>9.4064486258333773</v>
      </c>
      <c r="W118" s="287">
        <v>87</v>
      </c>
      <c r="X118" s="280">
        <v>85</v>
      </c>
      <c r="Y118" s="280">
        <v>88</v>
      </c>
      <c r="Z118" s="280">
        <v>90</v>
      </c>
      <c r="AA118" s="280">
        <v>91</v>
      </c>
      <c r="AB118" s="280">
        <v>94</v>
      </c>
      <c r="AC118" s="280">
        <v>98</v>
      </c>
      <c r="AD118" s="280">
        <v>103</v>
      </c>
      <c r="AE118" s="280">
        <v>106</v>
      </c>
      <c r="AF118" s="280">
        <v>108</v>
      </c>
      <c r="AG118" s="280">
        <v>110</v>
      </c>
      <c r="AH118" s="280">
        <v>114</v>
      </c>
    </row>
    <row r="119" spans="1:34" s="1" customFormat="1" ht="13" x14ac:dyDescent="0.25">
      <c r="A119" s="280" t="s">
        <v>661</v>
      </c>
      <c r="B119" s="286">
        <v>442</v>
      </c>
      <c r="C119" s="286">
        <v>727.875</v>
      </c>
      <c r="D119" s="286">
        <v>1013.7500000000001</v>
      </c>
      <c r="E119" s="286">
        <v>5</v>
      </c>
      <c r="F119" s="281">
        <v>0</v>
      </c>
      <c r="G119" s="282">
        <v>80.489678562500004</v>
      </c>
      <c r="H119" s="282">
        <v>79.570468393750005</v>
      </c>
      <c r="I119" s="282">
        <v>79.591276245833342</v>
      </c>
      <c r="J119" s="282">
        <v>80.657832806666647</v>
      </c>
      <c r="K119" s="282">
        <v>77.784974191944443</v>
      </c>
      <c r="L119" s="282">
        <v>77.210758421527785</v>
      </c>
      <c r="M119" s="282">
        <v>77.781889816111104</v>
      </c>
      <c r="N119" s="282">
        <v>78.280914198611086</v>
      </c>
      <c r="O119" s="282">
        <v>77.877841183333317</v>
      </c>
      <c r="P119" s="282">
        <v>76.043150879999999</v>
      </c>
      <c r="Q119" s="282">
        <v>73.884335308124989</v>
      </c>
      <c r="R119" s="283">
        <v>71.320828362499981</v>
      </c>
      <c r="S119" s="284">
        <v>850.00426980840257</v>
      </c>
      <c r="T119" s="284">
        <v>472.59719987583333</v>
      </c>
      <c r="U119" s="296">
        <f t="shared" si="2"/>
        <v>-67.784730191597646</v>
      </c>
      <c r="V119" s="296">
        <f t="shared" si="3"/>
        <v>-27.196800124166657</v>
      </c>
      <c r="W119" s="287">
        <v>87</v>
      </c>
      <c r="X119" s="280">
        <v>85</v>
      </c>
      <c r="Y119" s="280">
        <v>83</v>
      </c>
      <c r="Z119" s="280">
        <v>80</v>
      </c>
      <c r="AA119" s="280">
        <v>76</v>
      </c>
      <c r="AB119" s="280">
        <v>74</v>
      </c>
      <c r="AC119" s="280">
        <v>73</v>
      </c>
      <c r="AD119" s="280">
        <v>73</v>
      </c>
      <c r="AE119" s="280">
        <v>71</v>
      </c>
      <c r="AF119" s="280">
        <v>68</v>
      </c>
      <c r="AG119" s="280">
        <v>65</v>
      </c>
      <c r="AH119" s="280">
        <v>64</v>
      </c>
    </row>
    <row r="120" spans="1:34" s="1" customFormat="1" ht="13" x14ac:dyDescent="0.25">
      <c r="A120" s="280" t="s">
        <v>662</v>
      </c>
      <c r="B120" s="286">
        <v>442</v>
      </c>
      <c r="C120" s="286">
        <v>727.875</v>
      </c>
      <c r="D120" s="286">
        <v>1013.7500000000001</v>
      </c>
      <c r="E120" s="286">
        <v>5</v>
      </c>
      <c r="F120" s="281">
        <v>1</v>
      </c>
      <c r="G120" s="282">
        <v>80.489678562500004</v>
      </c>
      <c r="H120" s="282">
        <v>79.570468393750005</v>
      </c>
      <c r="I120" s="282">
        <v>80.036276245833349</v>
      </c>
      <c r="J120" s="282">
        <v>81.547832806666662</v>
      </c>
      <c r="K120" s="282">
        <v>79.119974191944436</v>
      </c>
      <c r="L120" s="282">
        <v>79.058133421527785</v>
      </c>
      <c r="M120" s="282">
        <v>80.141639816111095</v>
      </c>
      <c r="N120" s="282">
        <v>81.153039198611083</v>
      </c>
      <c r="O120" s="282">
        <v>81.31049743333331</v>
      </c>
      <c r="P120" s="282">
        <v>80.036338379999989</v>
      </c>
      <c r="Q120" s="282">
        <v>78.43805405812499</v>
      </c>
      <c r="R120" s="283">
        <v>76.435078362499993</v>
      </c>
      <c r="S120" s="284">
        <v>876.84733230840266</v>
      </c>
      <c r="T120" s="284">
        <v>479.4743248758333</v>
      </c>
      <c r="U120" s="296">
        <f t="shared" si="2"/>
        <v>-40.941667691597559</v>
      </c>
      <c r="V120" s="296">
        <f t="shared" si="3"/>
        <v>-20.319675124166679</v>
      </c>
      <c r="W120" s="287">
        <v>87</v>
      </c>
      <c r="X120" s="280">
        <v>85</v>
      </c>
      <c r="Y120" s="280">
        <v>84</v>
      </c>
      <c r="Z120" s="280">
        <v>82</v>
      </c>
      <c r="AA120" s="280">
        <v>79</v>
      </c>
      <c r="AB120" s="280">
        <v>78</v>
      </c>
      <c r="AC120" s="280">
        <v>78</v>
      </c>
      <c r="AD120" s="280">
        <v>79</v>
      </c>
      <c r="AE120" s="280">
        <v>78</v>
      </c>
      <c r="AF120" s="280">
        <v>76</v>
      </c>
      <c r="AG120" s="280">
        <v>74</v>
      </c>
      <c r="AH120" s="280">
        <v>74</v>
      </c>
    </row>
    <row r="121" spans="1:34" s="1" customFormat="1" ht="13" x14ac:dyDescent="0.25">
      <c r="A121" s="280" t="s">
        <v>663</v>
      </c>
      <c r="B121" s="286">
        <v>442</v>
      </c>
      <c r="C121" s="286">
        <v>727.875</v>
      </c>
      <c r="D121" s="286">
        <v>1013.7500000000001</v>
      </c>
      <c r="E121" s="286">
        <v>5</v>
      </c>
      <c r="F121" s="281">
        <v>2</v>
      </c>
      <c r="G121" s="282">
        <v>80.489678562500004</v>
      </c>
      <c r="H121" s="282">
        <v>79.570468393750005</v>
      </c>
      <c r="I121" s="282">
        <v>80.481276245833328</v>
      </c>
      <c r="J121" s="282">
        <v>82.437832806666663</v>
      </c>
      <c r="K121" s="282">
        <v>80.45497419194443</v>
      </c>
      <c r="L121" s="282">
        <v>80.905508421527784</v>
      </c>
      <c r="M121" s="282">
        <v>82.5013898161111</v>
      </c>
      <c r="N121" s="282">
        <v>84.025164198611094</v>
      </c>
      <c r="O121" s="282">
        <v>84.743153683333333</v>
      </c>
      <c r="P121" s="282">
        <v>84.029525879999994</v>
      </c>
      <c r="Q121" s="282">
        <v>82.991772808125006</v>
      </c>
      <c r="R121" s="283">
        <v>81.549328362499992</v>
      </c>
      <c r="S121" s="284">
        <v>903.69039480840263</v>
      </c>
      <c r="T121" s="284">
        <v>486.35144987583328</v>
      </c>
      <c r="U121" s="296">
        <f t="shared" si="2"/>
        <v>-14.098605191597585</v>
      </c>
      <c r="V121" s="296">
        <f t="shared" si="3"/>
        <v>-13.442550124166701</v>
      </c>
      <c r="W121" s="287">
        <v>87</v>
      </c>
      <c r="X121" s="280">
        <v>85</v>
      </c>
      <c r="Y121" s="280">
        <v>85</v>
      </c>
      <c r="Z121" s="280">
        <v>84</v>
      </c>
      <c r="AA121" s="280">
        <v>82</v>
      </c>
      <c r="AB121" s="280">
        <v>82</v>
      </c>
      <c r="AC121" s="280">
        <v>83</v>
      </c>
      <c r="AD121" s="280">
        <v>85</v>
      </c>
      <c r="AE121" s="280">
        <v>85</v>
      </c>
      <c r="AF121" s="280">
        <v>84</v>
      </c>
      <c r="AG121" s="280">
        <v>83</v>
      </c>
      <c r="AH121" s="280">
        <v>84</v>
      </c>
    </row>
    <row r="122" spans="1:34" s="1" customFormat="1" ht="13" x14ac:dyDescent="0.25">
      <c r="A122" s="280" t="s">
        <v>664</v>
      </c>
      <c r="B122" s="286">
        <v>442</v>
      </c>
      <c r="C122" s="286">
        <v>727.875</v>
      </c>
      <c r="D122" s="286">
        <v>1013.7500000000001</v>
      </c>
      <c r="E122" s="286">
        <v>5</v>
      </c>
      <c r="F122" s="281">
        <v>3</v>
      </c>
      <c r="G122" s="282">
        <v>80.489678562500004</v>
      </c>
      <c r="H122" s="282">
        <v>79.570468393750005</v>
      </c>
      <c r="I122" s="282">
        <v>80.926276245833336</v>
      </c>
      <c r="J122" s="282">
        <v>83.327832806666663</v>
      </c>
      <c r="K122" s="282">
        <v>81.789974191944438</v>
      </c>
      <c r="L122" s="282">
        <v>82.752883421527784</v>
      </c>
      <c r="M122" s="282">
        <v>84.861139816111091</v>
      </c>
      <c r="N122" s="282">
        <v>86.897289198611105</v>
      </c>
      <c r="O122" s="282">
        <v>88.175809933333326</v>
      </c>
      <c r="P122" s="282">
        <v>88.022713379999985</v>
      </c>
      <c r="Q122" s="282">
        <v>87.545491558125008</v>
      </c>
      <c r="R122" s="283">
        <v>86.663578362500004</v>
      </c>
      <c r="S122" s="284">
        <v>930.53345730840283</v>
      </c>
      <c r="T122" s="284">
        <v>493.22857487583326</v>
      </c>
      <c r="U122" s="296">
        <f t="shared" si="2"/>
        <v>12.744457308402616</v>
      </c>
      <c r="V122" s="296">
        <f t="shared" si="3"/>
        <v>-6.5654251241667225</v>
      </c>
      <c r="W122" s="287">
        <v>87</v>
      </c>
      <c r="X122" s="280">
        <v>85</v>
      </c>
      <c r="Y122" s="280">
        <v>86</v>
      </c>
      <c r="Z122" s="280">
        <v>86</v>
      </c>
      <c r="AA122" s="280">
        <v>85</v>
      </c>
      <c r="AB122" s="280">
        <v>86</v>
      </c>
      <c r="AC122" s="280">
        <v>88</v>
      </c>
      <c r="AD122" s="280">
        <v>91</v>
      </c>
      <c r="AE122" s="280">
        <v>92</v>
      </c>
      <c r="AF122" s="280">
        <v>92</v>
      </c>
      <c r="AG122" s="280">
        <v>92</v>
      </c>
      <c r="AH122" s="280">
        <v>94</v>
      </c>
    </row>
    <row r="123" spans="1:34" s="1" customFormat="1" ht="13" x14ac:dyDescent="0.25">
      <c r="A123" s="280" t="s">
        <v>665</v>
      </c>
      <c r="B123" s="286">
        <v>442</v>
      </c>
      <c r="C123" s="286">
        <v>727.875</v>
      </c>
      <c r="D123" s="286">
        <v>1013.7500000000001</v>
      </c>
      <c r="E123" s="286">
        <v>5</v>
      </c>
      <c r="F123" s="281">
        <v>4</v>
      </c>
      <c r="G123" s="282">
        <v>80.489678562500004</v>
      </c>
      <c r="H123" s="282">
        <v>79.570468393750005</v>
      </c>
      <c r="I123" s="282">
        <v>81.371276245833329</v>
      </c>
      <c r="J123" s="282">
        <v>84.217832806666678</v>
      </c>
      <c r="K123" s="282">
        <v>83.124974191944446</v>
      </c>
      <c r="L123" s="282">
        <v>84.600258421527784</v>
      </c>
      <c r="M123" s="282">
        <v>87.220889816111111</v>
      </c>
      <c r="N123" s="282">
        <v>89.769414198611102</v>
      </c>
      <c r="O123" s="282">
        <v>91.608466183333334</v>
      </c>
      <c r="P123" s="282">
        <v>92.01590087999999</v>
      </c>
      <c r="Q123" s="282">
        <v>92.099210308125009</v>
      </c>
      <c r="R123" s="283">
        <v>91.777828362500003</v>
      </c>
      <c r="S123" s="284">
        <v>957.37651980840292</v>
      </c>
      <c r="T123" s="284">
        <v>500.10569987583335</v>
      </c>
      <c r="U123" s="296">
        <f t="shared" si="2"/>
        <v>39.587519808402703</v>
      </c>
      <c r="V123" s="296">
        <f t="shared" si="3"/>
        <v>0.31169987583336933</v>
      </c>
      <c r="W123" s="287">
        <v>87</v>
      </c>
      <c r="X123" s="280">
        <v>85</v>
      </c>
      <c r="Y123" s="280">
        <v>87</v>
      </c>
      <c r="Z123" s="280">
        <v>88</v>
      </c>
      <c r="AA123" s="280">
        <v>88</v>
      </c>
      <c r="AB123" s="280">
        <v>90</v>
      </c>
      <c r="AC123" s="280">
        <v>93</v>
      </c>
      <c r="AD123" s="280">
        <v>97</v>
      </c>
      <c r="AE123" s="280">
        <v>99</v>
      </c>
      <c r="AF123" s="280">
        <v>100</v>
      </c>
      <c r="AG123" s="280">
        <v>101</v>
      </c>
      <c r="AH123" s="280">
        <v>104</v>
      </c>
    </row>
    <row r="124" spans="1:34" s="1" customFormat="1" ht="13" x14ac:dyDescent="0.25">
      <c r="A124" s="280" t="s">
        <v>666</v>
      </c>
      <c r="B124" s="286">
        <v>442</v>
      </c>
      <c r="C124" s="286">
        <v>727.875</v>
      </c>
      <c r="D124" s="286">
        <v>1013.7500000000001</v>
      </c>
      <c r="E124" s="286">
        <v>5</v>
      </c>
      <c r="F124" s="281">
        <v>5</v>
      </c>
      <c r="G124" s="282">
        <v>80.489678562500004</v>
      </c>
      <c r="H124" s="282">
        <v>79.570468393750005</v>
      </c>
      <c r="I124" s="282">
        <v>81.81627624583335</v>
      </c>
      <c r="J124" s="282">
        <v>85.107832806666678</v>
      </c>
      <c r="K124" s="282">
        <v>84.459974191944454</v>
      </c>
      <c r="L124" s="282">
        <v>86.447633421527783</v>
      </c>
      <c r="M124" s="282">
        <v>89.580639816111116</v>
      </c>
      <c r="N124" s="282">
        <v>92.641539198611099</v>
      </c>
      <c r="O124" s="282">
        <v>95.041122433333328</v>
      </c>
      <c r="P124" s="282">
        <v>96.009088379999994</v>
      </c>
      <c r="Q124" s="282">
        <v>96.652929058125011</v>
      </c>
      <c r="R124" s="283">
        <v>96.892078362500001</v>
      </c>
      <c r="S124" s="284">
        <v>984.21958230840278</v>
      </c>
      <c r="T124" s="284">
        <v>506.98282487583339</v>
      </c>
      <c r="U124" s="296">
        <f t="shared" si="2"/>
        <v>66.430582308402563</v>
      </c>
      <c r="V124" s="296">
        <f t="shared" si="3"/>
        <v>7.1888248758334043</v>
      </c>
      <c r="W124" s="287">
        <v>87</v>
      </c>
      <c r="X124" s="280">
        <v>85</v>
      </c>
      <c r="Y124" s="280">
        <v>88</v>
      </c>
      <c r="Z124" s="280">
        <v>90</v>
      </c>
      <c r="AA124" s="280">
        <v>91</v>
      </c>
      <c r="AB124" s="280">
        <v>94</v>
      </c>
      <c r="AC124" s="280">
        <v>98</v>
      </c>
      <c r="AD124" s="280">
        <v>103</v>
      </c>
      <c r="AE124" s="280">
        <v>106</v>
      </c>
      <c r="AF124" s="280">
        <v>108</v>
      </c>
      <c r="AG124" s="280">
        <v>110</v>
      </c>
      <c r="AH124" s="280">
        <v>114</v>
      </c>
    </row>
    <row r="125" spans="1:34" s="1" customFormat="1" ht="13" x14ac:dyDescent="0.25">
      <c r="A125" s="280" t="s">
        <v>667</v>
      </c>
      <c r="B125" s="286">
        <v>442</v>
      </c>
      <c r="C125" s="286">
        <v>727.875</v>
      </c>
      <c r="D125" s="286">
        <v>1013.7500000000001</v>
      </c>
      <c r="E125" s="286">
        <v>1</v>
      </c>
      <c r="F125" s="281">
        <v>0</v>
      </c>
      <c r="G125" s="282">
        <v>80.489678562500004</v>
      </c>
      <c r="H125" s="282">
        <v>81.876849218749996</v>
      </c>
      <c r="I125" s="282">
        <v>82.239747912499993</v>
      </c>
      <c r="J125" s="282">
        <v>83.55312322333333</v>
      </c>
      <c r="K125" s="282">
        <v>80.595606441944426</v>
      </c>
      <c r="L125" s="282">
        <v>79.273921171527761</v>
      </c>
      <c r="M125" s="282">
        <v>79.738973149444433</v>
      </c>
      <c r="N125" s="282">
        <v>80.109539198611103</v>
      </c>
      <c r="O125" s="282">
        <v>80.008299516666639</v>
      </c>
      <c r="P125" s="282">
        <v>78.159984213333331</v>
      </c>
      <c r="Q125" s="282">
        <v>76.001751974791645</v>
      </c>
      <c r="R125" s="283">
        <v>73.547370029166657</v>
      </c>
      <c r="S125" s="284">
        <v>875.10516605006933</v>
      </c>
      <c r="T125" s="284">
        <v>487.27822111749992</v>
      </c>
      <c r="U125" s="296">
        <f t="shared" si="2"/>
        <v>-42.683833949930886</v>
      </c>
      <c r="V125" s="296">
        <f t="shared" si="3"/>
        <v>-12.515778882500058</v>
      </c>
      <c r="W125" s="287">
        <v>87</v>
      </c>
      <c r="X125" s="280">
        <v>85</v>
      </c>
      <c r="Y125" s="280">
        <v>83</v>
      </c>
      <c r="Z125" s="280">
        <v>80</v>
      </c>
      <c r="AA125" s="280">
        <v>76</v>
      </c>
      <c r="AB125" s="280">
        <v>74</v>
      </c>
      <c r="AC125" s="280">
        <v>73</v>
      </c>
      <c r="AD125" s="280">
        <v>73</v>
      </c>
      <c r="AE125" s="280">
        <v>71</v>
      </c>
      <c r="AF125" s="280">
        <v>68</v>
      </c>
      <c r="AG125" s="280">
        <v>65</v>
      </c>
      <c r="AH125" s="280">
        <v>64</v>
      </c>
    </row>
    <row r="126" spans="1:34" s="1" customFormat="1" ht="13" x14ac:dyDescent="0.25">
      <c r="A126" s="280" t="s">
        <v>668</v>
      </c>
      <c r="B126" s="286">
        <v>442</v>
      </c>
      <c r="C126" s="286">
        <v>727.875</v>
      </c>
      <c r="D126" s="286">
        <v>1013.7500000000001</v>
      </c>
      <c r="E126" s="286">
        <v>1</v>
      </c>
      <c r="F126" s="281">
        <v>1</v>
      </c>
      <c r="G126" s="282">
        <v>80.489678562500004</v>
      </c>
      <c r="H126" s="282">
        <v>81.876849218749996</v>
      </c>
      <c r="I126" s="282">
        <v>82.684747912499986</v>
      </c>
      <c r="J126" s="282">
        <v>84.44312322333333</v>
      </c>
      <c r="K126" s="282">
        <v>81.930606441944434</v>
      </c>
      <c r="L126" s="282">
        <v>81.121296171527774</v>
      </c>
      <c r="M126" s="282">
        <v>82.098723149444439</v>
      </c>
      <c r="N126" s="282">
        <v>82.981664198611114</v>
      </c>
      <c r="O126" s="282">
        <v>83.441580766666661</v>
      </c>
      <c r="P126" s="282">
        <v>82.154421713333335</v>
      </c>
      <c r="Q126" s="282">
        <v>80.557345724791645</v>
      </c>
      <c r="R126" s="283">
        <v>78.664120029166654</v>
      </c>
      <c r="S126" s="284">
        <v>901.95447855006933</v>
      </c>
      <c r="T126" s="284">
        <v>494.15534611749996</v>
      </c>
      <c r="U126" s="296">
        <f t="shared" si="2"/>
        <v>-15.83452144993089</v>
      </c>
      <c r="V126" s="296">
        <f t="shared" si="3"/>
        <v>-5.638653882500023</v>
      </c>
      <c r="W126" s="287">
        <v>87</v>
      </c>
      <c r="X126" s="280">
        <v>85</v>
      </c>
      <c r="Y126" s="280">
        <v>84</v>
      </c>
      <c r="Z126" s="280">
        <v>82</v>
      </c>
      <c r="AA126" s="280">
        <v>79</v>
      </c>
      <c r="AB126" s="280">
        <v>78</v>
      </c>
      <c r="AC126" s="280">
        <v>78</v>
      </c>
      <c r="AD126" s="280">
        <v>79</v>
      </c>
      <c r="AE126" s="280">
        <v>78</v>
      </c>
      <c r="AF126" s="280">
        <v>76</v>
      </c>
      <c r="AG126" s="280">
        <v>74</v>
      </c>
      <c r="AH126" s="280">
        <v>74</v>
      </c>
    </row>
    <row r="127" spans="1:34" s="1" customFormat="1" ht="13" x14ac:dyDescent="0.25">
      <c r="A127" s="280" t="s">
        <v>669</v>
      </c>
      <c r="B127" s="286">
        <v>442</v>
      </c>
      <c r="C127" s="286">
        <v>727.875</v>
      </c>
      <c r="D127" s="286">
        <v>1013.7500000000001</v>
      </c>
      <c r="E127" s="286">
        <v>1</v>
      </c>
      <c r="F127" s="281">
        <v>2</v>
      </c>
      <c r="G127" s="282">
        <v>80.489678562500004</v>
      </c>
      <c r="H127" s="282">
        <v>81.876849218749996</v>
      </c>
      <c r="I127" s="282">
        <v>83.129747912499994</v>
      </c>
      <c r="J127" s="282">
        <v>85.333123223333331</v>
      </c>
      <c r="K127" s="282">
        <v>83.265606441944442</v>
      </c>
      <c r="L127" s="282">
        <v>82.968671171527774</v>
      </c>
      <c r="M127" s="282">
        <v>84.458473149444444</v>
      </c>
      <c r="N127" s="282">
        <v>85.853789198611111</v>
      </c>
      <c r="O127" s="282">
        <v>86.874862016666654</v>
      </c>
      <c r="P127" s="282">
        <v>86.148859213333338</v>
      </c>
      <c r="Q127" s="282">
        <v>85.112939474791659</v>
      </c>
      <c r="R127" s="283">
        <v>83.780870029166664</v>
      </c>
      <c r="S127" s="284">
        <v>928.80379105006932</v>
      </c>
      <c r="T127" s="284">
        <v>501.03247111749994</v>
      </c>
      <c r="U127" s="296">
        <f t="shared" si="2"/>
        <v>11.014791050069107</v>
      </c>
      <c r="V127" s="296">
        <f t="shared" si="3"/>
        <v>1.2384711174999552</v>
      </c>
      <c r="W127" s="287">
        <v>87</v>
      </c>
      <c r="X127" s="280">
        <v>85</v>
      </c>
      <c r="Y127" s="280">
        <v>85</v>
      </c>
      <c r="Z127" s="280">
        <v>84</v>
      </c>
      <c r="AA127" s="280">
        <v>82</v>
      </c>
      <c r="AB127" s="280">
        <v>82</v>
      </c>
      <c r="AC127" s="280">
        <v>83</v>
      </c>
      <c r="AD127" s="280">
        <v>85</v>
      </c>
      <c r="AE127" s="280">
        <v>85</v>
      </c>
      <c r="AF127" s="280">
        <v>84</v>
      </c>
      <c r="AG127" s="280">
        <v>83</v>
      </c>
      <c r="AH127" s="280">
        <v>84</v>
      </c>
    </row>
    <row r="128" spans="1:34" s="1" customFormat="1" ht="13" x14ac:dyDescent="0.25">
      <c r="A128" s="280" t="s">
        <v>670</v>
      </c>
      <c r="B128" s="286">
        <v>442</v>
      </c>
      <c r="C128" s="286">
        <v>727.875</v>
      </c>
      <c r="D128" s="286">
        <v>1013.7500000000001</v>
      </c>
      <c r="E128" s="286">
        <v>1</v>
      </c>
      <c r="F128" s="281">
        <v>3</v>
      </c>
      <c r="G128" s="282">
        <v>80.489678562500004</v>
      </c>
      <c r="H128" s="282">
        <v>81.876849218749996</v>
      </c>
      <c r="I128" s="282">
        <v>83.574747912499987</v>
      </c>
      <c r="J128" s="282">
        <v>86.223123223333332</v>
      </c>
      <c r="K128" s="282">
        <v>84.60060644194445</v>
      </c>
      <c r="L128" s="282">
        <v>84.816046171527773</v>
      </c>
      <c r="M128" s="282">
        <v>86.818223149444435</v>
      </c>
      <c r="N128" s="282">
        <v>88.725914198611093</v>
      </c>
      <c r="O128" s="282">
        <v>90.308143266666661</v>
      </c>
      <c r="P128" s="282">
        <v>90.143296713333328</v>
      </c>
      <c r="Q128" s="282">
        <v>89.668533224791659</v>
      </c>
      <c r="R128" s="283">
        <v>88.89762002916666</v>
      </c>
      <c r="S128" s="284">
        <v>955.65310355006943</v>
      </c>
      <c r="T128" s="284">
        <v>507.90959611749997</v>
      </c>
      <c r="U128" s="296">
        <f t="shared" si="2"/>
        <v>37.864103550069217</v>
      </c>
      <c r="V128" s="296">
        <f t="shared" si="3"/>
        <v>8.1155961174999902</v>
      </c>
      <c r="W128" s="287">
        <v>87</v>
      </c>
      <c r="X128" s="280">
        <v>85</v>
      </c>
      <c r="Y128" s="280">
        <v>86</v>
      </c>
      <c r="Z128" s="280">
        <v>86</v>
      </c>
      <c r="AA128" s="280">
        <v>85</v>
      </c>
      <c r="AB128" s="280">
        <v>86</v>
      </c>
      <c r="AC128" s="280">
        <v>88</v>
      </c>
      <c r="AD128" s="280">
        <v>91</v>
      </c>
      <c r="AE128" s="280">
        <v>92</v>
      </c>
      <c r="AF128" s="280">
        <v>92</v>
      </c>
      <c r="AG128" s="280">
        <v>92</v>
      </c>
      <c r="AH128" s="280">
        <v>94</v>
      </c>
    </row>
    <row r="129" spans="1:34" s="1" customFormat="1" ht="13" x14ac:dyDescent="0.25">
      <c r="A129" s="280" t="s">
        <v>671</v>
      </c>
      <c r="B129" s="286">
        <v>442</v>
      </c>
      <c r="C129" s="286">
        <v>727.875</v>
      </c>
      <c r="D129" s="286">
        <v>1013.7500000000001</v>
      </c>
      <c r="E129" s="286">
        <v>1</v>
      </c>
      <c r="F129" s="281">
        <v>4</v>
      </c>
      <c r="G129" s="282">
        <v>80.489678562500004</v>
      </c>
      <c r="H129" s="282">
        <v>81.876849218749996</v>
      </c>
      <c r="I129" s="282">
        <v>84.019747912499994</v>
      </c>
      <c r="J129" s="282">
        <v>87.113123223333332</v>
      </c>
      <c r="K129" s="282">
        <v>85.935606441944444</v>
      </c>
      <c r="L129" s="282">
        <v>86.663421171527773</v>
      </c>
      <c r="M129" s="282">
        <v>89.177973149444441</v>
      </c>
      <c r="N129" s="282">
        <v>91.598039198611104</v>
      </c>
      <c r="O129" s="282">
        <v>93.741424516666655</v>
      </c>
      <c r="P129" s="282">
        <v>94.137734213333331</v>
      </c>
      <c r="Q129" s="282">
        <v>94.224126974791659</v>
      </c>
      <c r="R129" s="283">
        <v>94.014370029166656</v>
      </c>
      <c r="S129" s="284">
        <v>982.50241605006931</v>
      </c>
      <c r="T129" s="284">
        <v>514.78672111749995</v>
      </c>
      <c r="U129" s="296">
        <f t="shared" si="2"/>
        <v>64.7134160500691</v>
      </c>
      <c r="V129" s="296">
        <f t="shared" si="3"/>
        <v>14.992721117499968</v>
      </c>
      <c r="W129" s="287">
        <v>87</v>
      </c>
      <c r="X129" s="280">
        <v>85</v>
      </c>
      <c r="Y129" s="280">
        <v>87</v>
      </c>
      <c r="Z129" s="280">
        <v>88</v>
      </c>
      <c r="AA129" s="280">
        <v>88</v>
      </c>
      <c r="AB129" s="280">
        <v>90</v>
      </c>
      <c r="AC129" s="280">
        <v>93</v>
      </c>
      <c r="AD129" s="280">
        <v>97</v>
      </c>
      <c r="AE129" s="280">
        <v>99</v>
      </c>
      <c r="AF129" s="280">
        <v>100</v>
      </c>
      <c r="AG129" s="280">
        <v>101</v>
      </c>
      <c r="AH129" s="280">
        <v>104</v>
      </c>
    </row>
    <row r="130" spans="1:34" s="1" customFormat="1" ht="13" x14ac:dyDescent="0.25">
      <c r="A130" s="280" t="s">
        <v>672</v>
      </c>
      <c r="B130" s="286">
        <v>442</v>
      </c>
      <c r="C130" s="286">
        <v>727.875</v>
      </c>
      <c r="D130" s="286">
        <v>1013.7500000000001</v>
      </c>
      <c r="E130" s="286">
        <v>1</v>
      </c>
      <c r="F130" s="281">
        <v>5</v>
      </c>
      <c r="G130" s="282">
        <v>80.489678562500004</v>
      </c>
      <c r="H130" s="282">
        <v>81.876849218749996</v>
      </c>
      <c r="I130" s="282">
        <v>84.464747912499988</v>
      </c>
      <c r="J130" s="282">
        <v>88.003123223333333</v>
      </c>
      <c r="K130" s="282">
        <v>87.270606441944452</v>
      </c>
      <c r="L130" s="282">
        <v>88.510796171527772</v>
      </c>
      <c r="M130" s="282">
        <v>91.537723149444446</v>
      </c>
      <c r="N130" s="282">
        <v>94.470164198611101</v>
      </c>
      <c r="O130" s="282">
        <v>97.174705766666662</v>
      </c>
      <c r="P130" s="282">
        <v>98.132171713333335</v>
      </c>
      <c r="Q130" s="282">
        <v>98.779720724791659</v>
      </c>
      <c r="R130" s="283">
        <v>99.131120029166652</v>
      </c>
      <c r="S130" s="284">
        <v>1009.3517285500695</v>
      </c>
      <c r="T130" s="284">
        <v>521.66384611750004</v>
      </c>
      <c r="U130" s="296">
        <f t="shared" si="2"/>
        <v>91.562728550069323</v>
      </c>
      <c r="V130" s="296">
        <f t="shared" si="3"/>
        <v>21.86984611750006</v>
      </c>
      <c r="W130" s="287">
        <v>87</v>
      </c>
      <c r="X130" s="280">
        <v>85</v>
      </c>
      <c r="Y130" s="280">
        <v>88</v>
      </c>
      <c r="Z130" s="280">
        <v>90</v>
      </c>
      <c r="AA130" s="280">
        <v>91</v>
      </c>
      <c r="AB130" s="280">
        <v>94</v>
      </c>
      <c r="AC130" s="280">
        <v>98</v>
      </c>
      <c r="AD130" s="280">
        <v>103</v>
      </c>
      <c r="AE130" s="280">
        <v>106</v>
      </c>
      <c r="AF130" s="280">
        <v>108</v>
      </c>
      <c r="AG130" s="280">
        <v>110</v>
      </c>
      <c r="AH130" s="280">
        <v>114</v>
      </c>
    </row>
    <row r="131" spans="1:34" s="1" customFormat="1" ht="13" x14ac:dyDescent="0.25">
      <c r="A131" s="280" t="s">
        <v>673</v>
      </c>
      <c r="B131" s="286">
        <v>442</v>
      </c>
      <c r="C131" s="286">
        <v>727.875</v>
      </c>
      <c r="D131" s="286">
        <v>1013.7500000000001</v>
      </c>
      <c r="E131" s="286">
        <v>2</v>
      </c>
      <c r="F131" s="281">
        <v>0</v>
      </c>
      <c r="G131" s="282">
        <v>80.489678562500004</v>
      </c>
      <c r="H131" s="282">
        <v>80.646375218749995</v>
      </c>
      <c r="I131" s="282">
        <v>81.275418537499988</v>
      </c>
      <c r="J131" s="282">
        <v>82.419188473333321</v>
      </c>
      <c r="K131" s="282">
        <v>79.712040441944438</v>
      </c>
      <c r="L131" s="282">
        <v>78.892671171527766</v>
      </c>
      <c r="M131" s="282">
        <v>79.318400232777762</v>
      </c>
      <c r="N131" s="282">
        <v>79.693914198611097</v>
      </c>
      <c r="O131" s="282">
        <v>79.428612016666648</v>
      </c>
      <c r="P131" s="282">
        <v>77.744359213333325</v>
      </c>
      <c r="Q131" s="282">
        <v>75.553314474791648</v>
      </c>
      <c r="R131" s="283">
        <v>73.011432529166655</v>
      </c>
      <c r="S131" s="284">
        <v>867.6957265084028</v>
      </c>
      <c r="T131" s="284">
        <v>482.26409407583327</v>
      </c>
      <c r="U131" s="296">
        <f t="shared" si="2"/>
        <v>-50.093273491597415</v>
      </c>
      <c r="V131" s="296">
        <f t="shared" si="3"/>
        <v>-17.529905924166712</v>
      </c>
      <c r="W131" s="287">
        <v>87</v>
      </c>
      <c r="X131" s="280">
        <v>85</v>
      </c>
      <c r="Y131" s="280">
        <v>83</v>
      </c>
      <c r="Z131" s="280">
        <v>80</v>
      </c>
      <c r="AA131" s="280">
        <v>76</v>
      </c>
      <c r="AB131" s="280">
        <v>74</v>
      </c>
      <c r="AC131" s="280">
        <v>73</v>
      </c>
      <c r="AD131" s="280">
        <v>73</v>
      </c>
      <c r="AE131" s="280">
        <v>71</v>
      </c>
      <c r="AF131" s="280">
        <v>68</v>
      </c>
      <c r="AG131" s="280">
        <v>65</v>
      </c>
      <c r="AH131" s="280">
        <v>64</v>
      </c>
    </row>
    <row r="132" spans="1:34" s="1" customFormat="1" ht="13" x14ac:dyDescent="0.25">
      <c r="A132" s="280" t="s">
        <v>674</v>
      </c>
      <c r="B132" s="286">
        <v>442</v>
      </c>
      <c r="C132" s="286">
        <v>727.875</v>
      </c>
      <c r="D132" s="286">
        <v>1013.7500000000001</v>
      </c>
      <c r="E132" s="286">
        <v>2</v>
      </c>
      <c r="F132" s="281">
        <v>1</v>
      </c>
      <c r="G132" s="282">
        <v>80.489678562500004</v>
      </c>
      <c r="H132" s="282">
        <v>80.646375218749995</v>
      </c>
      <c r="I132" s="282">
        <v>81.720418537500009</v>
      </c>
      <c r="J132" s="282">
        <v>83.309188473333322</v>
      </c>
      <c r="K132" s="282">
        <v>81.047040441944446</v>
      </c>
      <c r="L132" s="282">
        <v>80.740046171527766</v>
      </c>
      <c r="M132" s="282">
        <v>81.678150232777767</v>
      </c>
      <c r="N132" s="282">
        <v>82.566039198611094</v>
      </c>
      <c r="O132" s="282">
        <v>82.861893266666655</v>
      </c>
      <c r="P132" s="282">
        <v>81.738796713333329</v>
      </c>
      <c r="Q132" s="282">
        <v>80.108908224791648</v>
      </c>
      <c r="R132" s="283">
        <v>78.128182529166665</v>
      </c>
      <c r="S132" s="284">
        <v>894.5450390084028</v>
      </c>
      <c r="T132" s="284">
        <v>489.14121907583331</v>
      </c>
      <c r="U132" s="296">
        <f t="shared" si="2"/>
        <v>-23.243960991597419</v>
      </c>
      <c r="V132" s="296">
        <f t="shared" si="3"/>
        <v>-10.652780924166677</v>
      </c>
      <c r="W132" s="287">
        <v>87</v>
      </c>
      <c r="X132" s="280">
        <v>85</v>
      </c>
      <c r="Y132" s="280">
        <v>84</v>
      </c>
      <c r="Z132" s="280">
        <v>82</v>
      </c>
      <c r="AA132" s="280">
        <v>79</v>
      </c>
      <c r="AB132" s="280">
        <v>78</v>
      </c>
      <c r="AC132" s="280">
        <v>78</v>
      </c>
      <c r="AD132" s="280">
        <v>79</v>
      </c>
      <c r="AE132" s="280">
        <v>78</v>
      </c>
      <c r="AF132" s="280">
        <v>76</v>
      </c>
      <c r="AG132" s="280">
        <v>74</v>
      </c>
      <c r="AH132" s="280">
        <v>74</v>
      </c>
    </row>
    <row r="133" spans="1:34" s="1" customFormat="1" ht="13" x14ac:dyDescent="0.25">
      <c r="A133" s="280" t="s">
        <v>675</v>
      </c>
      <c r="B133" s="286">
        <v>442</v>
      </c>
      <c r="C133" s="286">
        <v>727.875</v>
      </c>
      <c r="D133" s="286">
        <v>1013.7500000000001</v>
      </c>
      <c r="E133" s="286">
        <v>2</v>
      </c>
      <c r="F133" s="281">
        <v>2</v>
      </c>
      <c r="G133" s="282">
        <v>80.489678562500004</v>
      </c>
      <c r="H133" s="282">
        <v>80.646375218749995</v>
      </c>
      <c r="I133" s="282">
        <v>82.165418537499988</v>
      </c>
      <c r="J133" s="282">
        <v>84.199188473333322</v>
      </c>
      <c r="K133" s="282">
        <v>82.38204044194444</v>
      </c>
      <c r="L133" s="282">
        <v>82.587421171527765</v>
      </c>
      <c r="M133" s="282">
        <v>84.037900232777787</v>
      </c>
      <c r="N133" s="282">
        <v>85.438164198611119</v>
      </c>
      <c r="O133" s="282">
        <v>86.295174516666663</v>
      </c>
      <c r="P133" s="282">
        <v>85.733234213333333</v>
      </c>
      <c r="Q133" s="282">
        <v>84.664501974791662</v>
      </c>
      <c r="R133" s="283">
        <v>83.244932529166661</v>
      </c>
      <c r="S133" s="284">
        <v>921.39435150840279</v>
      </c>
      <c r="T133" s="284">
        <v>496.01834407583328</v>
      </c>
      <c r="U133" s="296">
        <f t="shared" ref="U133:U196" si="4">S133-S$3</f>
        <v>3.6053515084025776</v>
      </c>
      <c r="V133" s="296">
        <f t="shared" ref="V133:V196" si="5">T133-T$3</f>
        <v>-3.7756559241666992</v>
      </c>
      <c r="W133" s="287">
        <v>87</v>
      </c>
      <c r="X133" s="280">
        <v>85</v>
      </c>
      <c r="Y133" s="280">
        <v>85</v>
      </c>
      <c r="Z133" s="280">
        <v>84</v>
      </c>
      <c r="AA133" s="280">
        <v>82</v>
      </c>
      <c r="AB133" s="280">
        <v>82</v>
      </c>
      <c r="AC133" s="280">
        <v>83</v>
      </c>
      <c r="AD133" s="280">
        <v>85</v>
      </c>
      <c r="AE133" s="280">
        <v>85</v>
      </c>
      <c r="AF133" s="280">
        <v>84</v>
      </c>
      <c r="AG133" s="280">
        <v>83</v>
      </c>
      <c r="AH133" s="280">
        <v>84</v>
      </c>
    </row>
    <row r="134" spans="1:34" s="1" customFormat="1" ht="13" x14ac:dyDescent="0.25">
      <c r="A134" s="280" t="s">
        <v>676</v>
      </c>
      <c r="B134" s="286">
        <v>442</v>
      </c>
      <c r="C134" s="286">
        <v>727.875</v>
      </c>
      <c r="D134" s="286">
        <v>1013.7500000000001</v>
      </c>
      <c r="E134" s="286">
        <v>2</v>
      </c>
      <c r="F134" s="281">
        <v>3</v>
      </c>
      <c r="G134" s="282">
        <v>80.489678562500004</v>
      </c>
      <c r="H134" s="282">
        <v>80.646375218749995</v>
      </c>
      <c r="I134" s="282">
        <v>82.610418537499996</v>
      </c>
      <c r="J134" s="282">
        <v>85.089188473333323</v>
      </c>
      <c r="K134" s="282">
        <v>83.717040441944448</v>
      </c>
      <c r="L134" s="282">
        <v>84.434796171527765</v>
      </c>
      <c r="M134" s="282">
        <v>86.397650232777778</v>
      </c>
      <c r="N134" s="282">
        <v>88.310289198611102</v>
      </c>
      <c r="O134" s="282">
        <v>89.728455766666656</v>
      </c>
      <c r="P134" s="282">
        <v>89.727671713333336</v>
      </c>
      <c r="Q134" s="282">
        <v>89.220095724791662</v>
      </c>
      <c r="R134" s="283">
        <v>88.361682529166657</v>
      </c>
      <c r="S134" s="284">
        <v>948.24366400840279</v>
      </c>
      <c r="T134" s="284">
        <v>502.89546907583326</v>
      </c>
      <c r="U134" s="296">
        <f t="shared" si="4"/>
        <v>30.454664008402574</v>
      </c>
      <c r="V134" s="296">
        <f t="shared" si="5"/>
        <v>3.101469075833279</v>
      </c>
      <c r="W134" s="287">
        <v>87</v>
      </c>
      <c r="X134" s="280">
        <v>85</v>
      </c>
      <c r="Y134" s="280">
        <v>86</v>
      </c>
      <c r="Z134" s="280">
        <v>86</v>
      </c>
      <c r="AA134" s="280">
        <v>85</v>
      </c>
      <c r="AB134" s="280">
        <v>86</v>
      </c>
      <c r="AC134" s="280">
        <v>88</v>
      </c>
      <c r="AD134" s="280">
        <v>91</v>
      </c>
      <c r="AE134" s="280">
        <v>92</v>
      </c>
      <c r="AF134" s="280">
        <v>92</v>
      </c>
      <c r="AG134" s="280">
        <v>92</v>
      </c>
      <c r="AH134" s="280">
        <v>94</v>
      </c>
    </row>
    <row r="135" spans="1:34" s="1" customFormat="1" ht="13" x14ac:dyDescent="0.25">
      <c r="A135" s="280" t="s">
        <v>677</v>
      </c>
      <c r="B135" s="286">
        <v>442</v>
      </c>
      <c r="C135" s="286">
        <v>727.875</v>
      </c>
      <c r="D135" s="286">
        <v>1013.7500000000001</v>
      </c>
      <c r="E135" s="286">
        <v>2</v>
      </c>
      <c r="F135" s="281">
        <v>4</v>
      </c>
      <c r="G135" s="282">
        <v>80.489678562500004</v>
      </c>
      <c r="H135" s="282">
        <v>80.646375218749995</v>
      </c>
      <c r="I135" s="282">
        <v>83.055418537499989</v>
      </c>
      <c r="J135" s="282">
        <v>85.979188473333323</v>
      </c>
      <c r="K135" s="282">
        <v>85.052040441944456</v>
      </c>
      <c r="L135" s="282">
        <v>86.282171171527764</v>
      </c>
      <c r="M135" s="282">
        <v>88.757400232777783</v>
      </c>
      <c r="N135" s="282">
        <v>91.182414198611099</v>
      </c>
      <c r="O135" s="282">
        <v>93.161737016666663</v>
      </c>
      <c r="P135" s="282">
        <v>93.722109213333326</v>
      </c>
      <c r="Q135" s="282">
        <v>93.775689474791662</v>
      </c>
      <c r="R135" s="283">
        <v>93.478432529166653</v>
      </c>
      <c r="S135" s="284">
        <v>975.09297650840256</v>
      </c>
      <c r="T135" s="284">
        <v>509.7725940758333</v>
      </c>
      <c r="U135" s="296">
        <f t="shared" si="4"/>
        <v>57.303976508402343</v>
      </c>
      <c r="V135" s="296">
        <f t="shared" si="5"/>
        <v>9.978594075833314</v>
      </c>
      <c r="W135" s="287">
        <v>87</v>
      </c>
      <c r="X135" s="280">
        <v>85</v>
      </c>
      <c r="Y135" s="280">
        <v>87</v>
      </c>
      <c r="Z135" s="280">
        <v>88</v>
      </c>
      <c r="AA135" s="280">
        <v>88</v>
      </c>
      <c r="AB135" s="280">
        <v>90</v>
      </c>
      <c r="AC135" s="280">
        <v>93</v>
      </c>
      <c r="AD135" s="280">
        <v>97</v>
      </c>
      <c r="AE135" s="280">
        <v>99</v>
      </c>
      <c r="AF135" s="280">
        <v>100</v>
      </c>
      <c r="AG135" s="280">
        <v>101</v>
      </c>
      <c r="AH135" s="280">
        <v>104</v>
      </c>
    </row>
    <row r="136" spans="1:34" s="1" customFormat="1" ht="13" x14ac:dyDescent="0.25">
      <c r="A136" s="280" t="s">
        <v>678</v>
      </c>
      <c r="B136" s="286">
        <v>442</v>
      </c>
      <c r="C136" s="286">
        <v>727.875</v>
      </c>
      <c r="D136" s="286">
        <v>1013.7500000000001</v>
      </c>
      <c r="E136" s="286">
        <v>2</v>
      </c>
      <c r="F136" s="281">
        <v>5</v>
      </c>
      <c r="G136" s="282">
        <v>80.489678562500004</v>
      </c>
      <c r="H136" s="282">
        <v>80.646375218749995</v>
      </c>
      <c r="I136" s="282">
        <v>83.500418537499996</v>
      </c>
      <c r="J136" s="282">
        <v>86.869188473333324</v>
      </c>
      <c r="K136" s="282">
        <v>86.38704044194445</v>
      </c>
      <c r="L136" s="282">
        <v>88.129546171527764</v>
      </c>
      <c r="M136" s="282">
        <v>91.117150232777789</v>
      </c>
      <c r="N136" s="282">
        <v>94.054539198611096</v>
      </c>
      <c r="O136" s="282">
        <v>96.595018266666656</v>
      </c>
      <c r="P136" s="282">
        <v>97.716546713333329</v>
      </c>
      <c r="Q136" s="282">
        <v>98.331283224791662</v>
      </c>
      <c r="R136" s="283">
        <v>98.595182529166664</v>
      </c>
      <c r="S136" s="284">
        <v>1001.9422890084028</v>
      </c>
      <c r="T136" s="284">
        <v>516.64971907583333</v>
      </c>
      <c r="U136" s="296">
        <f t="shared" si="4"/>
        <v>84.153289008402567</v>
      </c>
      <c r="V136" s="296">
        <f t="shared" si="5"/>
        <v>16.855719075833349</v>
      </c>
      <c r="W136" s="287">
        <v>87</v>
      </c>
      <c r="X136" s="280">
        <v>85</v>
      </c>
      <c r="Y136" s="280">
        <v>88</v>
      </c>
      <c r="Z136" s="280">
        <v>90</v>
      </c>
      <c r="AA136" s="280">
        <v>91</v>
      </c>
      <c r="AB136" s="280">
        <v>94</v>
      </c>
      <c r="AC136" s="280">
        <v>98</v>
      </c>
      <c r="AD136" s="280">
        <v>103</v>
      </c>
      <c r="AE136" s="280">
        <v>106</v>
      </c>
      <c r="AF136" s="280">
        <v>108</v>
      </c>
      <c r="AG136" s="280">
        <v>110</v>
      </c>
      <c r="AH136" s="280">
        <v>114</v>
      </c>
    </row>
    <row r="137" spans="1:34" s="1" customFormat="1" ht="13" x14ac:dyDescent="0.25">
      <c r="A137" s="280" t="s">
        <v>679</v>
      </c>
      <c r="B137" s="286">
        <v>442</v>
      </c>
      <c r="C137" s="286">
        <v>727.875</v>
      </c>
      <c r="D137" s="286">
        <v>1013.7500000000001</v>
      </c>
      <c r="E137" s="286">
        <v>3</v>
      </c>
      <c r="F137" s="281">
        <v>0</v>
      </c>
      <c r="G137" s="282">
        <v>80.489678562500004</v>
      </c>
      <c r="H137" s="282">
        <v>80.176551727083321</v>
      </c>
      <c r="I137" s="282">
        <v>80.54241307916665</v>
      </c>
      <c r="J137" s="282">
        <v>81.862278806666666</v>
      </c>
      <c r="K137" s="282">
        <v>79.008394608611098</v>
      </c>
      <c r="L137" s="282">
        <v>78.396837838194429</v>
      </c>
      <c r="M137" s="282">
        <v>78.915535649444436</v>
      </c>
      <c r="N137" s="282">
        <v>79.307455865277774</v>
      </c>
      <c r="O137" s="282">
        <v>78.958299516666642</v>
      </c>
      <c r="P137" s="282">
        <v>77.219359213333334</v>
      </c>
      <c r="Q137" s="282">
        <v>75.126751974791645</v>
      </c>
      <c r="R137" s="283">
        <v>72.533828362499989</v>
      </c>
      <c r="S137" s="284">
        <v>862.047706641736</v>
      </c>
      <c r="T137" s="284">
        <v>478.90201170916657</v>
      </c>
      <c r="U137" s="296">
        <f t="shared" si="4"/>
        <v>-55.741293358264215</v>
      </c>
      <c r="V137" s="296">
        <f t="shared" si="5"/>
        <v>-20.89198829083341</v>
      </c>
      <c r="W137" s="287">
        <v>87</v>
      </c>
      <c r="X137" s="280">
        <v>85</v>
      </c>
      <c r="Y137" s="280">
        <v>83</v>
      </c>
      <c r="Z137" s="280">
        <v>80</v>
      </c>
      <c r="AA137" s="280">
        <v>76</v>
      </c>
      <c r="AB137" s="280">
        <v>74</v>
      </c>
      <c r="AC137" s="280">
        <v>73</v>
      </c>
      <c r="AD137" s="280">
        <v>73</v>
      </c>
      <c r="AE137" s="280">
        <v>71</v>
      </c>
      <c r="AF137" s="280">
        <v>68</v>
      </c>
      <c r="AG137" s="280">
        <v>65</v>
      </c>
      <c r="AH137" s="280">
        <v>64</v>
      </c>
    </row>
    <row r="138" spans="1:34" s="1" customFormat="1" ht="13" x14ac:dyDescent="0.25">
      <c r="A138" s="280" t="s">
        <v>680</v>
      </c>
      <c r="B138" s="286">
        <v>442</v>
      </c>
      <c r="C138" s="286">
        <v>727.875</v>
      </c>
      <c r="D138" s="286">
        <v>1013.7500000000001</v>
      </c>
      <c r="E138" s="286">
        <v>3</v>
      </c>
      <c r="F138" s="281">
        <v>1</v>
      </c>
      <c r="G138" s="282">
        <v>80.489678562500004</v>
      </c>
      <c r="H138" s="282">
        <v>80.176551727083321</v>
      </c>
      <c r="I138" s="282">
        <v>80.987413079166657</v>
      </c>
      <c r="J138" s="282">
        <v>82.752278806666666</v>
      </c>
      <c r="K138" s="282">
        <v>80.343394608611092</v>
      </c>
      <c r="L138" s="282">
        <v>80.244212838194429</v>
      </c>
      <c r="M138" s="282">
        <v>81.275285649444442</v>
      </c>
      <c r="N138" s="282">
        <v>82.179580865277771</v>
      </c>
      <c r="O138" s="282">
        <v>82.391580766666664</v>
      </c>
      <c r="P138" s="282">
        <v>81.213796713333338</v>
      </c>
      <c r="Q138" s="282">
        <v>79.682345724791645</v>
      </c>
      <c r="R138" s="283">
        <v>77.650578362499985</v>
      </c>
      <c r="S138" s="284">
        <v>888.897019141736</v>
      </c>
      <c r="T138" s="284">
        <v>485.77913670916655</v>
      </c>
      <c r="U138" s="296">
        <f t="shared" si="4"/>
        <v>-28.891980858264219</v>
      </c>
      <c r="V138" s="296">
        <f t="shared" si="5"/>
        <v>-14.014863290833432</v>
      </c>
      <c r="W138" s="287">
        <v>87</v>
      </c>
      <c r="X138" s="280">
        <v>85</v>
      </c>
      <c r="Y138" s="280">
        <v>84</v>
      </c>
      <c r="Z138" s="280">
        <v>82</v>
      </c>
      <c r="AA138" s="280">
        <v>79</v>
      </c>
      <c r="AB138" s="280">
        <v>78</v>
      </c>
      <c r="AC138" s="280">
        <v>78</v>
      </c>
      <c r="AD138" s="280">
        <v>79</v>
      </c>
      <c r="AE138" s="280">
        <v>78</v>
      </c>
      <c r="AF138" s="280">
        <v>76</v>
      </c>
      <c r="AG138" s="280">
        <v>74</v>
      </c>
      <c r="AH138" s="280">
        <v>74</v>
      </c>
    </row>
    <row r="139" spans="1:34" s="1" customFormat="1" ht="13" x14ac:dyDescent="0.25">
      <c r="A139" s="280" t="s">
        <v>681</v>
      </c>
      <c r="B139" s="286">
        <v>442</v>
      </c>
      <c r="C139" s="286">
        <v>727.875</v>
      </c>
      <c r="D139" s="286">
        <v>1013.7500000000001</v>
      </c>
      <c r="E139" s="286">
        <v>3</v>
      </c>
      <c r="F139" s="281">
        <v>2</v>
      </c>
      <c r="G139" s="282">
        <v>80.489678562500004</v>
      </c>
      <c r="H139" s="282">
        <v>80.176551727083321</v>
      </c>
      <c r="I139" s="282">
        <v>81.432413079166665</v>
      </c>
      <c r="J139" s="282">
        <v>83.642278806666667</v>
      </c>
      <c r="K139" s="282">
        <v>81.6783946086111</v>
      </c>
      <c r="L139" s="282">
        <v>82.091587838194428</v>
      </c>
      <c r="M139" s="282">
        <v>83.635035649444461</v>
      </c>
      <c r="N139" s="282">
        <v>85.051705865277782</v>
      </c>
      <c r="O139" s="282">
        <v>85.824862016666657</v>
      </c>
      <c r="P139" s="282">
        <v>85.208234213333327</v>
      </c>
      <c r="Q139" s="282">
        <v>84.237939474791659</v>
      </c>
      <c r="R139" s="283">
        <v>82.767328362499981</v>
      </c>
      <c r="S139" s="284">
        <v>915.74633164173599</v>
      </c>
      <c r="T139" s="284">
        <v>492.65626170916664</v>
      </c>
      <c r="U139" s="296">
        <f t="shared" si="4"/>
        <v>-2.0426683582642227</v>
      </c>
      <c r="V139" s="296">
        <f t="shared" si="5"/>
        <v>-7.1377382908333402</v>
      </c>
      <c r="W139" s="287">
        <v>87</v>
      </c>
      <c r="X139" s="280">
        <v>85</v>
      </c>
      <c r="Y139" s="280">
        <v>85</v>
      </c>
      <c r="Z139" s="280">
        <v>84</v>
      </c>
      <c r="AA139" s="280">
        <v>82</v>
      </c>
      <c r="AB139" s="280">
        <v>82</v>
      </c>
      <c r="AC139" s="280">
        <v>83</v>
      </c>
      <c r="AD139" s="280">
        <v>85</v>
      </c>
      <c r="AE139" s="280">
        <v>85</v>
      </c>
      <c r="AF139" s="280">
        <v>84</v>
      </c>
      <c r="AG139" s="280">
        <v>83</v>
      </c>
      <c r="AH139" s="280">
        <v>84</v>
      </c>
    </row>
    <row r="140" spans="1:34" s="1" customFormat="1" ht="13" x14ac:dyDescent="0.25">
      <c r="A140" s="280" t="s">
        <v>682</v>
      </c>
      <c r="B140" s="286">
        <v>442</v>
      </c>
      <c r="C140" s="286">
        <v>727.875</v>
      </c>
      <c r="D140" s="286">
        <v>1013.7500000000001</v>
      </c>
      <c r="E140" s="286">
        <v>3</v>
      </c>
      <c r="F140" s="281">
        <v>3</v>
      </c>
      <c r="G140" s="282">
        <v>80.489678562500004</v>
      </c>
      <c r="H140" s="282">
        <v>80.176551727083321</v>
      </c>
      <c r="I140" s="282">
        <v>81.877413079166672</v>
      </c>
      <c r="J140" s="282">
        <v>84.532278806666667</v>
      </c>
      <c r="K140" s="282">
        <v>83.013394608611094</v>
      </c>
      <c r="L140" s="282">
        <v>83.938962838194428</v>
      </c>
      <c r="M140" s="282">
        <v>85.994785649444452</v>
      </c>
      <c r="N140" s="282">
        <v>87.923830865277779</v>
      </c>
      <c r="O140" s="282">
        <v>89.25814326666665</v>
      </c>
      <c r="P140" s="282">
        <v>89.202671713333331</v>
      </c>
      <c r="Q140" s="282">
        <v>88.793533224791659</v>
      </c>
      <c r="R140" s="283">
        <v>87.884078362500006</v>
      </c>
      <c r="S140" s="284">
        <v>942.59564414173599</v>
      </c>
      <c r="T140" s="284">
        <v>499.53338670916668</v>
      </c>
      <c r="U140" s="296">
        <f t="shared" si="4"/>
        <v>24.806644141735774</v>
      </c>
      <c r="V140" s="296">
        <f t="shared" si="5"/>
        <v>-0.2606132908333052</v>
      </c>
      <c r="W140" s="287">
        <v>87</v>
      </c>
      <c r="X140" s="280">
        <v>85</v>
      </c>
      <c r="Y140" s="280">
        <v>86</v>
      </c>
      <c r="Z140" s="280">
        <v>86</v>
      </c>
      <c r="AA140" s="280">
        <v>85</v>
      </c>
      <c r="AB140" s="280">
        <v>86</v>
      </c>
      <c r="AC140" s="280">
        <v>88</v>
      </c>
      <c r="AD140" s="280">
        <v>91</v>
      </c>
      <c r="AE140" s="280">
        <v>92</v>
      </c>
      <c r="AF140" s="280">
        <v>92</v>
      </c>
      <c r="AG140" s="280">
        <v>92</v>
      </c>
      <c r="AH140" s="280">
        <v>94</v>
      </c>
    </row>
    <row r="141" spans="1:34" s="1" customFormat="1" ht="13" x14ac:dyDescent="0.25">
      <c r="A141" s="280" t="s">
        <v>683</v>
      </c>
      <c r="B141" s="286">
        <v>442</v>
      </c>
      <c r="C141" s="286">
        <v>727.875</v>
      </c>
      <c r="D141" s="286">
        <v>1013.7500000000001</v>
      </c>
      <c r="E141" s="286">
        <v>3</v>
      </c>
      <c r="F141" s="281">
        <v>4</v>
      </c>
      <c r="G141" s="282">
        <v>80.489678562500004</v>
      </c>
      <c r="H141" s="282">
        <v>80.176551727083321</v>
      </c>
      <c r="I141" s="282">
        <v>82.322413079166665</v>
      </c>
      <c r="J141" s="282">
        <v>85.422278806666668</v>
      </c>
      <c r="K141" s="282">
        <v>84.348394608611116</v>
      </c>
      <c r="L141" s="282">
        <v>85.786337838194427</v>
      </c>
      <c r="M141" s="282">
        <v>88.354535649444458</v>
      </c>
      <c r="N141" s="282">
        <v>90.79595586527779</v>
      </c>
      <c r="O141" s="282">
        <v>92.691424516666657</v>
      </c>
      <c r="P141" s="282">
        <v>93.197109213333334</v>
      </c>
      <c r="Q141" s="282">
        <v>93.349126974791659</v>
      </c>
      <c r="R141" s="283">
        <v>93.000828362500002</v>
      </c>
      <c r="S141" s="284">
        <v>969.4449566417361</v>
      </c>
      <c r="T141" s="284">
        <v>506.41051170916666</v>
      </c>
      <c r="U141" s="296">
        <f t="shared" si="4"/>
        <v>51.655956641735884</v>
      </c>
      <c r="V141" s="296">
        <f t="shared" si="5"/>
        <v>6.616511709166673</v>
      </c>
      <c r="W141" s="287">
        <v>87</v>
      </c>
      <c r="X141" s="280">
        <v>85</v>
      </c>
      <c r="Y141" s="280">
        <v>87</v>
      </c>
      <c r="Z141" s="280">
        <v>88</v>
      </c>
      <c r="AA141" s="280">
        <v>88</v>
      </c>
      <c r="AB141" s="280">
        <v>90</v>
      </c>
      <c r="AC141" s="280">
        <v>93</v>
      </c>
      <c r="AD141" s="280">
        <v>97</v>
      </c>
      <c r="AE141" s="280">
        <v>99</v>
      </c>
      <c r="AF141" s="280">
        <v>100</v>
      </c>
      <c r="AG141" s="280">
        <v>101</v>
      </c>
      <c r="AH141" s="280">
        <v>104</v>
      </c>
    </row>
    <row r="142" spans="1:34" s="1" customFormat="1" ht="13" x14ac:dyDescent="0.25">
      <c r="A142" s="280" t="s">
        <v>684</v>
      </c>
      <c r="B142" s="286">
        <v>442</v>
      </c>
      <c r="C142" s="286">
        <v>727.875</v>
      </c>
      <c r="D142" s="286">
        <v>1013.7500000000001</v>
      </c>
      <c r="E142" s="286">
        <v>3</v>
      </c>
      <c r="F142" s="281">
        <v>5</v>
      </c>
      <c r="G142" s="282">
        <v>80.489678562500004</v>
      </c>
      <c r="H142" s="282">
        <v>80.176551727083321</v>
      </c>
      <c r="I142" s="282">
        <v>82.767413079166673</v>
      </c>
      <c r="J142" s="282">
        <v>86.312278806666669</v>
      </c>
      <c r="K142" s="282">
        <v>85.68339460861111</v>
      </c>
      <c r="L142" s="282">
        <v>87.633712838194427</v>
      </c>
      <c r="M142" s="282">
        <v>90.714285649444463</v>
      </c>
      <c r="N142" s="282">
        <v>93.668080865277787</v>
      </c>
      <c r="O142" s="282">
        <v>96.124705766666651</v>
      </c>
      <c r="P142" s="282">
        <v>97.191546713333338</v>
      </c>
      <c r="Q142" s="282">
        <v>97.904720724791659</v>
      </c>
      <c r="R142" s="283">
        <v>98.117578362499998</v>
      </c>
      <c r="S142" s="284">
        <v>996.29426914173609</v>
      </c>
      <c r="T142" s="284">
        <v>513.28763670916658</v>
      </c>
      <c r="U142" s="296">
        <f t="shared" si="4"/>
        <v>78.50526914173588</v>
      </c>
      <c r="V142" s="296">
        <f t="shared" si="5"/>
        <v>13.493636709166594</v>
      </c>
      <c r="W142" s="287">
        <v>87</v>
      </c>
      <c r="X142" s="280">
        <v>85</v>
      </c>
      <c r="Y142" s="280">
        <v>88</v>
      </c>
      <c r="Z142" s="280">
        <v>90</v>
      </c>
      <c r="AA142" s="280">
        <v>91</v>
      </c>
      <c r="AB142" s="280">
        <v>94</v>
      </c>
      <c r="AC142" s="280">
        <v>98</v>
      </c>
      <c r="AD142" s="280">
        <v>103</v>
      </c>
      <c r="AE142" s="280">
        <v>106</v>
      </c>
      <c r="AF142" s="280">
        <v>108</v>
      </c>
      <c r="AG142" s="280">
        <v>110</v>
      </c>
      <c r="AH142" s="280">
        <v>114</v>
      </c>
    </row>
    <row r="143" spans="1:34" s="1" customFormat="1" ht="13" x14ac:dyDescent="0.25">
      <c r="A143" s="280" t="s">
        <v>685</v>
      </c>
      <c r="B143" s="286">
        <v>442</v>
      </c>
      <c r="C143" s="286">
        <v>727.875</v>
      </c>
      <c r="D143" s="286">
        <v>1013.7500000000001</v>
      </c>
      <c r="E143" s="286">
        <v>4</v>
      </c>
      <c r="F143" s="281">
        <v>0</v>
      </c>
      <c r="G143" s="282">
        <v>80.489678562500004</v>
      </c>
      <c r="H143" s="282">
        <v>79.910405893749996</v>
      </c>
      <c r="I143" s="282">
        <v>80.08258235000001</v>
      </c>
      <c r="J143" s="282">
        <v>81.305264973333308</v>
      </c>
      <c r="K143" s="282">
        <v>78.514650941944439</v>
      </c>
      <c r="L143" s="282">
        <v>77.866396838194433</v>
      </c>
      <c r="M143" s="282">
        <v>78.473478357777765</v>
      </c>
      <c r="N143" s="282">
        <v>78.950164198611105</v>
      </c>
      <c r="O143" s="282">
        <v>78.537205766666645</v>
      </c>
      <c r="P143" s="282">
        <v>76.749046713333328</v>
      </c>
      <c r="Q143" s="282">
        <v>74.623626974791648</v>
      </c>
      <c r="R143" s="283">
        <v>72.08721377916666</v>
      </c>
      <c r="S143" s="284">
        <v>857.10003678756925</v>
      </c>
      <c r="T143" s="284">
        <v>476.15277935499995</v>
      </c>
      <c r="U143" s="296">
        <f t="shared" si="4"/>
        <v>-60.688963212430963</v>
      </c>
      <c r="V143" s="296">
        <f t="shared" si="5"/>
        <v>-23.641220645000033</v>
      </c>
      <c r="W143" s="287">
        <v>87</v>
      </c>
      <c r="X143" s="280">
        <v>85</v>
      </c>
      <c r="Y143" s="280">
        <v>83</v>
      </c>
      <c r="Z143" s="280">
        <v>80</v>
      </c>
      <c r="AA143" s="280">
        <v>76</v>
      </c>
      <c r="AB143" s="280">
        <v>74</v>
      </c>
      <c r="AC143" s="280">
        <v>73</v>
      </c>
      <c r="AD143" s="280">
        <v>73</v>
      </c>
      <c r="AE143" s="280">
        <v>71</v>
      </c>
      <c r="AF143" s="280">
        <v>68</v>
      </c>
      <c r="AG143" s="280">
        <v>65</v>
      </c>
      <c r="AH143" s="280">
        <v>64</v>
      </c>
    </row>
    <row r="144" spans="1:34" s="1" customFormat="1" ht="13" x14ac:dyDescent="0.25">
      <c r="A144" s="280" t="s">
        <v>686</v>
      </c>
      <c r="B144" s="286">
        <v>442</v>
      </c>
      <c r="C144" s="286">
        <v>727.875</v>
      </c>
      <c r="D144" s="286">
        <v>1013.7500000000001</v>
      </c>
      <c r="E144" s="286">
        <v>4</v>
      </c>
      <c r="F144" s="281">
        <v>1</v>
      </c>
      <c r="G144" s="282">
        <v>80.489678562500004</v>
      </c>
      <c r="H144" s="282">
        <v>79.910405893749996</v>
      </c>
      <c r="I144" s="282">
        <v>80.527582349999989</v>
      </c>
      <c r="J144" s="282">
        <v>82.195264973333323</v>
      </c>
      <c r="K144" s="282">
        <v>79.849650941944432</v>
      </c>
      <c r="L144" s="282">
        <v>79.713771838194432</v>
      </c>
      <c r="M144" s="282">
        <v>80.83322835777777</v>
      </c>
      <c r="N144" s="282">
        <v>81.822289198611102</v>
      </c>
      <c r="O144" s="282">
        <v>81.970487016666638</v>
      </c>
      <c r="P144" s="282">
        <v>80.743484213333332</v>
      </c>
      <c r="Q144" s="282">
        <v>79.179220724791648</v>
      </c>
      <c r="R144" s="283">
        <v>77.203963779166656</v>
      </c>
      <c r="S144" s="284">
        <v>883.94934928756936</v>
      </c>
      <c r="T144" s="284">
        <v>483.02990435499999</v>
      </c>
      <c r="U144" s="296">
        <f t="shared" si="4"/>
        <v>-33.839650712430853</v>
      </c>
      <c r="V144" s="296">
        <f t="shared" si="5"/>
        <v>-16.764095644999998</v>
      </c>
      <c r="W144" s="287">
        <v>87</v>
      </c>
      <c r="X144" s="280">
        <v>85</v>
      </c>
      <c r="Y144" s="280">
        <v>84</v>
      </c>
      <c r="Z144" s="280">
        <v>82</v>
      </c>
      <c r="AA144" s="280">
        <v>79</v>
      </c>
      <c r="AB144" s="280">
        <v>78</v>
      </c>
      <c r="AC144" s="280">
        <v>78</v>
      </c>
      <c r="AD144" s="280">
        <v>79</v>
      </c>
      <c r="AE144" s="280">
        <v>78</v>
      </c>
      <c r="AF144" s="280">
        <v>76</v>
      </c>
      <c r="AG144" s="280">
        <v>74</v>
      </c>
      <c r="AH144" s="280">
        <v>74</v>
      </c>
    </row>
    <row r="145" spans="1:34" s="1" customFormat="1" ht="13" x14ac:dyDescent="0.25">
      <c r="A145" s="280" t="s">
        <v>687</v>
      </c>
      <c r="B145" s="286">
        <v>442</v>
      </c>
      <c r="C145" s="286">
        <v>727.875</v>
      </c>
      <c r="D145" s="286">
        <v>1013.7500000000001</v>
      </c>
      <c r="E145" s="286">
        <v>4</v>
      </c>
      <c r="F145" s="281">
        <v>2</v>
      </c>
      <c r="G145" s="282">
        <v>80.489678562500004</v>
      </c>
      <c r="H145" s="282">
        <v>79.910405893749996</v>
      </c>
      <c r="I145" s="282">
        <v>80.972582349999996</v>
      </c>
      <c r="J145" s="282">
        <v>83.085264973333324</v>
      </c>
      <c r="K145" s="282">
        <v>81.18465094194444</v>
      </c>
      <c r="L145" s="282">
        <v>81.561146838194432</v>
      </c>
      <c r="M145" s="282">
        <v>83.19297835777779</v>
      </c>
      <c r="N145" s="282">
        <v>84.694414198611113</v>
      </c>
      <c r="O145" s="282">
        <v>85.40376826666666</v>
      </c>
      <c r="P145" s="282">
        <v>84.737921713333336</v>
      </c>
      <c r="Q145" s="282">
        <v>83.734814474791662</v>
      </c>
      <c r="R145" s="283">
        <v>82.320713779166653</v>
      </c>
      <c r="S145" s="284">
        <v>910.79866178756936</v>
      </c>
      <c r="T145" s="284">
        <v>489.90702935499996</v>
      </c>
      <c r="U145" s="296">
        <f t="shared" si="4"/>
        <v>-6.9903382124308564</v>
      </c>
      <c r="V145" s="296">
        <f t="shared" si="5"/>
        <v>-9.8869706450000194</v>
      </c>
      <c r="W145" s="287">
        <v>87</v>
      </c>
      <c r="X145" s="280">
        <v>85</v>
      </c>
      <c r="Y145" s="280">
        <v>85</v>
      </c>
      <c r="Z145" s="280">
        <v>84</v>
      </c>
      <c r="AA145" s="280">
        <v>82</v>
      </c>
      <c r="AB145" s="280">
        <v>82</v>
      </c>
      <c r="AC145" s="280">
        <v>83</v>
      </c>
      <c r="AD145" s="280">
        <v>85</v>
      </c>
      <c r="AE145" s="280">
        <v>85</v>
      </c>
      <c r="AF145" s="280">
        <v>84</v>
      </c>
      <c r="AG145" s="280">
        <v>83</v>
      </c>
      <c r="AH145" s="280">
        <v>84</v>
      </c>
    </row>
    <row r="146" spans="1:34" s="1" customFormat="1" ht="13" x14ac:dyDescent="0.25">
      <c r="A146" s="280" t="s">
        <v>688</v>
      </c>
      <c r="B146" s="286">
        <v>442</v>
      </c>
      <c r="C146" s="286">
        <v>727.875</v>
      </c>
      <c r="D146" s="286">
        <v>1013.7500000000001</v>
      </c>
      <c r="E146" s="286">
        <v>4</v>
      </c>
      <c r="F146" s="281">
        <v>3</v>
      </c>
      <c r="G146" s="282">
        <v>80.489678562500004</v>
      </c>
      <c r="H146" s="282">
        <v>79.910405893749996</v>
      </c>
      <c r="I146" s="282">
        <v>81.417582350000004</v>
      </c>
      <c r="J146" s="282">
        <v>83.975264973333324</v>
      </c>
      <c r="K146" s="282">
        <v>82.519650941944434</v>
      </c>
      <c r="L146" s="282">
        <v>83.408521838194446</v>
      </c>
      <c r="M146" s="282">
        <v>85.552728357777781</v>
      </c>
      <c r="N146" s="282">
        <v>87.56653919861111</v>
      </c>
      <c r="O146" s="282">
        <v>88.837049516666653</v>
      </c>
      <c r="P146" s="282">
        <v>88.732359213333339</v>
      </c>
      <c r="Q146" s="282">
        <v>88.290408224791662</v>
      </c>
      <c r="R146" s="283">
        <v>87.437463779166663</v>
      </c>
      <c r="S146" s="284">
        <v>937.64797428756947</v>
      </c>
      <c r="T146" s="284">
        <v>496.784154355</v>
      </c>
      <c r="U146" s="296">
        <f t="shared" si="4"/>
        <v>19.858974287569254</v>
      </c>
      <c r="V146" s="296">
        <f t="shared" si="5"/>
        <v>-3.0098456449999844</v>
      </c>
      <c r="W146" s="287">
        <v>87</v>
      </c>
      <c r="X146" s="280">
        <v>85</v>
      </c>
      <c r="Y146" s="280">
        <v>86</v>
      </c>
      <c r="Z146" s="280">
        <v>86</v>
      </c>
      <c r="AA146" s="280">
        <v>85</v>
      </c>
      <c r="AB146" s="280">
        <v>86</v>
      </c>
      <c r="AC146" s="280">
        <v>88</v>
      </c>
      <c r="AD146" s="280">
        <v>91</v>
      </c>
      <c r="AE146" s="280">
        <v>92</v>
      </c>
      <c r="AF146" s="280">
        <v>92</v>
      </c>
      <c r="AG146" s="280">
        <v>92</v>
      </c>
      <c r="AH146" s="280">
        <v>94</v>
      </c>
    </row>
    <row r="147" spans="1:34" s="1" customFormat="1" ht="13" x14ac:dyDescent="0.25">
      <c r="A147" s="280" t="s">
        <v>689</v>
      </c>
      <c r="B147" s="286">
        <v>442</v>
      </c>
      <c r="C147" s="286">
        <v>727.875</v>
      </c>
      <c r="D147" s="286">
        <v>1013.7500000000001</v>
      </c>
      <c r="E147" s="286">
        <v>4</v>
      </c>
      <c r="F147" s="281">
        <v>4</v>
      </c>
      <c r="G147" s="282">
        <v>80.489678562500004</v>
      </c>
      <c r="H147" s="282">
        <v>79.910405893749996</v>
      </c>
      <c r="I147" s="282">
        <v>81.862582350000011</v>
      </c>
      <c r="J147" s="282">
        <v>84.865264973333325</v>
      </c>
      <c r="K147" s="282">
        <v>83.854650941944456</v>
      </c>
      <c r="L147" s="282">
        <v>85.255896838194431</v>
      </c>
      <c r="M147" s="282">
        <v>87.912478357777786</v>
      </c>
      <c r="N147" s="282">
        <v>90.438664198611093</v>
      </c>
      <c r="O147" s="282">
        <v>92.27033076666666</v>
      </c>
      <c r="P147" s="282">
        <v>92.726796713333329</v>
      </c>
      <c r="Q147" s="282">
        <v>92.846001974791662</v>
      </c>
      <c r="R147" s="283">
        <v>92.554213779166659</v>
      </c>
      <c r="S147" s="284">
        <v>964.49728678756935</v>
      </c>
      <c r="T147" s="284">
        <v>503.66127935499998</v>
      </c>
      <c r="U147" s="296">
        <f t="shared" si="4"/>
        <v>46.708286787569136</v>
      </c>
      <c r="V147" s="296">
        <f t="shared" si="5"/>
        <v>3.8672793549999938</v>
      </c>
      <c r="W147" s="287">
        <v>87</v>
      </c>
      <c r="X147" s="280">
        <v>85</v>
      </c>
      <c r="Y147" s="280">
        <v>87</v>
      </c>
      <c r="Z147" s="280">
        <v>88</v>
      </c>
      <c r="AA147" s="280">
        <v>88</v>
      </c>
      <c r="AB147" s="280">
        <v>90</v>
      </c>
      <c r="AC147" s="280">
        <v>93</v>
      </c>
      <c r="AD147" s="280">
        <v>97</v>
      </c>
      <c r="AE147" s="280">
        <v>99</v>
      </c>
      <c r="AF147" s="280">
        <v>100</v>
      </c>
      <c r="AG147" s="280">
        <v>101</v>
      </c>
      <c r="AH147" s="280">
        <v>104</v>
      </c>
    </row>
    <row r="148" spans="1:34" s="1" customFormat="1" ht="13" x14ac:dyDescent="0.25">
      <c r="A148" s="280" t="s">
        <v>690</v>
      </c>
      <c r="B148" s="286">
        <v>442</v>
      </c>
      <c r="C148" s="286">
        <v>727.875</v>
      </c>
      <c r="D148" s="286">
        <v>1013.7500000000001</v>
      </c>
      <c r="E148" s="286">
        <v>4</v>
      </c>
      <c r="F148" s="281">
        <v>5</v>
      </c>
      <c r="G148" s="282">
        <v>80.489678562500004</v>
      </c>
      <c r="H148" s="282">
        <v>79.910405893749996</v>
      </c>
      <c r="I148" s="282">
        <v>82.307582350000004</v>
      </c>
      <c r="J148" s="282">
        <v>85.755264973333325</v>
      </c>
      <c r="K148" s="282">
        <v>85.18965094194445</v>
      </c>
      <c r="L148" s="282">
        <v>87.103271838194431</v>
      </c>
      <c r="M148" s="282">
        <v>90.272228357777777</v>
      </c>
      <c r="N148" s="282">
        <v>93.310789198611104</v>
      </c>
      <c r="O148" s="282">
        <v>95.703612016666654</v>
      </c>
      <c r="P148" s="282">
        <v>96.721234213333332</v>
      </c>
      <c r="Q148" s="282">
        <v>97.401595724791662</v>
      </c>
      <c r="R148" s="283">
        <v>97.670963779166655</v>
      </c>
      <c r="S148" s="284">
        <v>991.34659928756946</v>
      </c>
      <c r="T148" s="284">
        <v>510.53840435500001</v>
      </c>
      <c r="U148" s="296">
        <f t="shared" si="4"/>
        <v>73.557599287569246</v>
      </c>
      <c r="V148" s="296">
        <f t="shared" si="5"/>
        <v>10.744404355000029</v>
      </c>
      <c r="W148" s="287">
        <v>87</v>
      </c>
      <c r="X148" s="280">
        <v>85</v>
      </c>
      <c r="Y148" s="280">
        <v>88</v>
      </c>
      <c r="Z148" s="280">
        <v>90</v>
      </c>
      <c r="AA148" s="280">
        <v>91</v>
      </c>
      <c r="AB148" s="280">
        <v>94</v>
      </c>
      <c r="AC148" s="280">
        <v>98</v>
      </c>
      <c r="AD148" s="280">
        <v>103</v>
      </c>
      <c r="AE148" s="280">
        <v>106</v>
      </c>
      <c r="AF148" s="280">
        <v>108</v>
      </c>
      <c r="AG148" s="280">
        <v>110</v>
      </c>
      <c r="AH148" s="280">
        <v>114</v>
      </c>
    </row>
    <row r="149" spans="1:34" s="1" customFormat="1" ht="13" x14ac:dyDescent="0.25">
      <c r="A149" s="280" t="s">
        <v>691</v>
      </c>
      <c r="B149" s="286">
        <v>442</v>
      </c>
      <c r="C149" s="286">
        <v>727.875</v>
      </c>
      <c r="D149" s="286">
        <v>1013.7500000000001</v>
      </c>
      <c r="E149" s="286">
        <v>5</v>
      </c>
      <c r="F149" s="281">
        <v>0</v>
      </c>
      <c r="G149" s="282">
        <v>80.489678562500004</v>
      </c>
      <c r="H149" s="282">
        <v>79.750718393750006</v>
      </c>
      <c r="I149" s="282">
        <v>79.786411662500001</v>
      </c>
      <c r="J149" s="282">
        <v>80.874249473333307</v>
      </c>
      <c r="K149" s="282">
        <v>78.000208941944436</v>
      </c>
      <c r="L149" s="282">
        <v>77.444175088194442</v>
      </c>
      <c r="M149" s="282">
        <v>78.033243982777762</v>
      </c>
      <c r="N149" s="282">
        <v>78.543289198611106</v>
      </c>
      <c r="O149" s="282">
        <v>78.15329951666665</v>
      </c>
      <c r="P149" s="282">
        <v>76.318109213333329</v>
      </c>
      <c r="Q149" s="282">
        <v>74.155501974791648</v>
      </c>
      <c r="R149" s="283">
        <v>71.587370029166664</v>
      </c>
      <c r="S149" s="284">
        <v>852.64657747506919</v>
      </c>
      <c r="T149" s="284">
        <v>473.88900754249994</v>
      </c>
      <c r="U149" s="296">
        <f t="shared" si="4"/>
        <v>-65.142422524931021</v>
      </c>
      <c r="V149" s="296">
        <f t="shared" si="5"/>
        <v>-25.904992457500043</v>
      </c>
      <c r="W149" s="287">
        <v>87</v>
      </c>
      <c r="X149" s="280">
        <v>85</v>
      </c>
      <c r="Y149" s="280">
        <v>83</v>
      </c>
      <c r="Z149" s="280">
        <v>80</v>
      </c>
      <c r="AA149" s="280">
        <v>76</v>
      </c>
      <c r="AB149" s="280">
        <v>74</v>
      </c>
      <c r="AC149" s="280">
        <v>73</v>
      </c>
      <c r="AD149" s="280">
        <v>73</v>
      </c>
      <c r="AE149" s="280">
        <v>71</v>
      </c>
      <c r="AF149" s="280">
        <v>68</v>
      </c>
      <c r="AG149" s="280">
        <v>65</v>
      </c>
      <c r="AH149" s="280">
        <v>64</v>
      </c>
    </row>
    <row r="150" spans="1:34" s="1" customFormat="1" ht="13" x14ac:dyDescent="0.25">
      <c r="A150" s="280" t="s">
        <v>692</v>
      </c>
      <c r="B150" s="286">
        <v>442</v>
      </c>
      <c r="C150" s="286">
        <v>727.875</v>
      </c>
      <c r="D150" s="286">
        <v>1013.7500000000001</v>
      </c>
      <c r="E150" s="286">
        <v>5</v>
      </c>
      <c r="F150" s="281">
        <v>1</v>
      </c>
      <c r="G150" s="282">
        <v>80.489678562500004</v>
      </c>
      <c r="H150" s="282">
        <v>79.750718393750006</v>
      </c>
      <c r="I150" s="282">
        <v>80.231411662499994</v>
      </c>
      <c r="J150" s="282">
        <v>81.764249473333308</v>
      </c>
      <c r="K150" s="282">
        <v>79.335208941944444</v>
      </c>
      <c r="L150" s="282">
        <v>79.291550088194441</v>
      </c>
      <c r="M150" s="282">
        <v>80.392993982777767</v>
      </c>
      <c r="N150" s="282">
        <v>81.415414198611103</v>
      </c>
      <c r="O150" s="282">
        <v>81.586580766666643</v>
      </c>
      <c r="P150" s="282">
        <v>80.312546713333333</v>
      </c>
      <c r="Q150" s="282">
        <v>78.711095724791647</v>
      </c>
      <c r="R150" s="283">
        <v>76.70412002916666</v>
      </c>
      <c r="S150" s="284">
        <v>879.4958899750693</v>
      </c>
      <c r="T150" s="284">
        <v>480.76613254249992</v>
      </c>
      <c r="U150" s="296">
        <f t="shared" si="4"/>
        <v>-38.293110024930911</v>
      </c>
      <c r="V150" s="296">
        <f t="shared" si="5"/>
        <v>-19.027867457500065</v>
      </c>
      <c r="W150" s="287">
        <v>87</v>
      </c>
      <c r="X150" s="280">
        <v>85</v>
      </c>
      <c r="Y150" s="280">
        <v>84</v>
      </c>
      <c r="Z150" s="280">
        <v>82</v>
      </c>
      <c r="AA150" s="280">
        <v>79</v>
      </c>
      <c r="AB150" s="280">
        <v>78</v>
      </c>
      <c r="AC150" s="280">
        <v>78</v>
      </c>
      <c r="AD150" s="280">
        <v>79</v>
      </c>
      <c r="AE150" s="280">
        <v>78</v>
      </c>
      <c r="AF150" s="280">
        <v>76</v>
      </c>
      <c r="AG150" s="280">
        <v>74</v>
      </c>
      <c r="AH150" s="280">
        <v>74</v>
      </c>
    </row>
    <row r="151" spans="1:34" s="1" customFormat="1" ht="13" x14ac:dyDescent="0.25">
      <c r="A151" s="280" t="s">
        <v>693</v>
      </c>
      <c r="B151" s="286">
        <v>442</v>
      </c>
      <c r="C151" s="286">
        <v>727.875</v>
      </c>
      <c r="D151" s="286">
        <v>1013.7500000000001</v>
      </c>
      <c r="E151" s="286">
        <v>5</v>
      </c>
      <c r="F151" s="281">
        <v>2</v>
      </c>
      <c r="G151" s="282">
        <v>80.489678562500004</v>
      </c>
      <c r="H151" s="282">
        <v>79.750718393750006</v>
      </c>
      <c r="I151" s="282">
        <v>80.676411662500001</v>
      </c>
      <c r="J151" s="282">
        <v>82.654249473333323</v>
      </c>
      <c r="K151" s="282">
        <v>80.670208941944438</v>
      </c>
      <c r="L151" s="282">
        <v>81.138925088194441</v>
      </c>
      <c r="M151" s="282">
        <v>82.752743982777773</v>
      </c>
      <c r="N151" s="282">
        <v>84.287539198611114</v>
      </c>
      <c r="O151" s="282">
        <v>85.01986201666665</v>
      </c>
      <c r="P151" s="282">
        <v>84.306984213333337</v>
      </c>
      <c r="Q151" s="282">
        <v>83.266689474791661</v>
      </c>
      <c r="R151" s="283">
        <v>81.820870029166656</v>
      </c>
      <c r="S151" s="284">
        <v>906.3452024750693</v>
      </c>
      <c r="T151" s="284">
        <v>487.64325754249995</v>
      </c>
      <c r="U151" s="296">
        <f t="shared" si="4"/>
        <v>-11.443797524930915</v>
      </c>
      <c r="V151" s="296">
        <f t="shared" si="5"/>
        <v>-12.15074245750003</v>
      </c>
      <c r="W151" s="287">
        <v>87</v>
      </c>
      <c r="X151" s="280">
        <v>85</v>
      </c>
      <c r="Y151" s="280">
        <v>85</v>
      </c>
      <c r="Z151" s="280">
        <v>84</v>
      </c>
      <c r="AA151" s="280">
        <v>82</v>
      </c>
      <c r="AB151" s="280">
        <v>82</v>
      </c>
      <c r="AC151" s="280">
        <v>83</v>
      </c>
      <c r="AD151" s="280">
        <v>85</v>
      </c>
      <c r="AE151" s="280">
        <v>85</v>
      </c>
      <c r="AF151" s="280">
        <v>84</v>
      </c>
      <c r="AG151" s="280">
        <v>83</v>
      </c>
      <c r="AH151" s="280">
        <v>84</v>
      </c>
    </row>
    <row r="152" spans="1:34" s="1" customFormat="1" ht="13" x14ac:dyDescent="0.25">
      <c r="A152" s="280" t="s">
        <v>694</v>
      </c>
      <c r="B152" s="286">
        <v>442</v>
      </c>
      <c r="C152" s="286">
        <v>727.875</v>
      </c>
      <c r="D152" s="286">
        <v>1013.7500000000001</v>
      </c>
      <c r="E152" s="286">
        <v>5</v>
      </c>
      <c r="F152" s="281">
        <v>3</v>
      </c>
      <c r="G152" s="282">
        <v>80.489678562500004</v>
      </c>
      <c r="H152" s="282">
        <v>79.750718393750006</v>
      </c>
      <c r="I152" s="282">
        <v>81.121411662499995</v>
      </c>
      <c r="J152" s="282">
        <v>83.544249473333323</v>
      </c>
      <c r="K152" s="282">
        <v>82.005208941944446</v>
      </c>
      <c r="L152" s="282">
        <v>82.98630008819444</v>
      </c>
      <c r="M152" s="282">
        <v>85.112493982777778</v>
      </c>
      <c r="N152" s="282">
        <v>87.159664198611111</v>
      </c>
      <c r="O152" s="282">
        <v>88.453143266666657</v>
      </c>
      <c r="P152" s="282">
        <v>88.301421713333326</v>
      </c>
      <c r="Q152" s="282">
        <v>87.822283224791661</v>
      </c>
      <c r="R152" s="283">
        <v>86.937620029166666</v>
      </c>
      <c r="S152" s="284">
        <v>933.19451497506941</v>
      </c>
      <c r="T152" s="284">
        <v>494.52038254249999</v>
      </c>
      <c r="U152" s="296">
        <f t="shared" si="4"/>
        <v>15.405514975069195</v>
      </c>
      <c r="V152" s="296">
        <f t="shared" si="5"/>
        <v>-5.273617457499995</v>
      </c>
      <c r="W152" s="287">
        <v>87</v>
      </c>
      <c r="X152" s="280">
        <v>85</v>
      </c>
      <c r="Y152" s="280">
        <v>86</v>
      </c>
      <c r="Z152" s="280">
        <v>86</v>
      </c>
      <c r="AA152" s="280">
        <v>85</v>
      </c>
      <c r="AB152" s="280">
        <v>86</v>
      </c>
      <c r="AC152" s="280">
        <v>88</v>
      </c>
      <c r="AD152" s="280">
        <v>91</v>
      </c>
      <c r="AE152" s="280">
        <v>92</v>
      </c>
      <c r="AF152" s="280">
        <v>92</v>
      </c>
      <c r="AG152" s="280">
        <v>92</v>
      </c>
      <c r="AH152" s="280">
        <v>94</v>
      </c>
    </row>
    <row r="153" spans="1:34" s="1" customFormat="1" ht="13" x14ac:dyDescent="0.25">
      <c r="A153" s="280" t="s">
        <v>695</v>
      </c>
      <c r="B153" s="286">
        <v>442</v>
      </c>
      <c r="C153" s="286">
        <v>727.875</v>
      </c>
      <c r="D153" s="286">
        <v>1013.7500000000001</v>
      </c>
      <c r="E153" s="286">
        <v>5</v>
      </c>
      <c r="F153" s="281">
        <v>4</v>
      </c>
      <c r="G153" s="282">
        <v>80.489678562500004</v>
      </c>
      <c r="H153" s="282">
        <v>79.750718393750006</v>
      </c>
      <c r="I153" s="282">
        <v>81.566411662500002</v>
      </c>
      <c r="J153" s="282">
        <v>84.434249473333324</v>
      </c>
      <c r="K153" s="282">
        <v>83.340208941944454</v>
      </c>
      <c r="L153" s="282">
        <v>84.83367508819444</v>
      </c>
      <c r="M153" s="282">
        <v>87.472243982777783</v>
      </c>
      <c r="N153" s="282">
        <v>90.031789198611094</v>
      </c>
      <c r="O153" s="282">
        <v>91.886424516666651</v>
      </c>
      <c r="P153" s="282">
        <v>92.29585921333333</v>
      </c>
      <c r="Q153" s="282">
        <v>92.377876974791661</v>
      </c>
      <c r="R153" s="283">
        <v>92.054370029166662</v>
      </c>
      <c r="S153" s="284">
        <v>960.04382747506941</v>
      </c>
      <c r="T153" s="284">
        <v>501.39750754250002</v>
      </c>
      <c r="U153" s="296">
        <f t="shared" si="4"/>
        <v>42.254827475069192</v>
      </c>
      <c r="V153" s="296">
        <f t="shared" si="5"/>
        <v>1.60350754250004</v>
      </c>
      <c r="W153" s="287">
        <v>87</v>
      </c>
      <c r="X153" s="280">
        <v>85</v>
      </c>
      <c r="Y153" s="280">
        <v>87</v>
      </c>
      <c r="Z153" s="280">
        <v>88</v>
      </c>
      <c r="AA153" s="280">
        <v>88</v>
      </c>
      <c r="AB153" s="280">
        <v>90</v>
      </c>
      <c r="AC153" s="280">
        <v>93</v>
      </c>
      <c r="AD153" s="280">
        <v>97</v>
      </c>
      <c r="AE153" s="280">
        <v>99</v>
      </c>
      <c r="AF153" s="280">
        <v>100</v>
      </c>
      <c r="AG153" s="280">
        <v>101</v>
      </c>
      <c r="AH153" s="280">
        <v>104</v>
      </c>
    </row>
    <row r="154" spans="1:34" s="1" customFormat="1" ht="13" x14ac:dyDescent="0.25">
      <c r="A154" s="280" t="s">
        <v>696</v>
      </c>
      <c r="B154" s="286">
        <v>442</v>
      </c>
      <c r="C154" s="286">
        <v>727.875</v>
      </c>
      <c r="D154" s="286">
        <v>1013.7500000000001</v>
      </c>
      <c r="E154" s="286">
        <v>5</v>
      </c>
      <c r="F154" s="281">
        <v>5</v>
      </c>
      <c r="G154" s="282">
        <v>80.489678562500004</v>
      </c>
      <c r="H154" s="282">
        <v>79.750718393750006</v>
      </c>
      <c r="I154" s="282">
        <v>82.011411662499995</v>
      </c>
      <c r="J154" s="282">
        <v>85.324249473333325</v>
      </c>
      <c r="K154" s="282">
        <v>84.675208941944447</v>
      </c>
      <c r="L154" s="282">
        <v>86.681050088194439</v>
      </c>
      <c r="M154" s="282">
        <v>89.831993982777789</v>
      </c>
      <c r="N154" s="282">
        <v>92.903914198611105</v>
      </c>
      <c r="O154" s="282">
        <v>95.319705766666658</v>
      </c>
      <c r="P154" s="282">
        <v>96.290296713333333</v>
      </c>
      <c r="Q154" s="282">
        <v>96.933470724791661</v>
      </c>
      <c r="R154" s="283">
        <v>97.171120029166659</v>
      </c>
      <c r="S154" s="284">
        <v>986.8931399750694</v>
      </c>
      <c r="T154" s="284">
        <v>508.27463254250006</v>
      </c>
      <c r="U154" s="296">
        <f t="shared" si="4"/>
        <v>69.104139975069188</v>
      </c>
      <c r="V154" s="296">
        <f t="shared" si="5"/>
        <v>8.480632542500075</v>
      </c>
      <c r="W154" s="287">
        <v>87</v>
      </c>
      <c r="X154" s="280">
        <v>85</v>
      </c>
      <c r="Y154" s="280">
        <v>88</v>
      </c>
      <c r="Z154" s="280">
        <v>90</v>
      </c>
      <c r="AA154" s="280">
        <v>91</v>
      </c>
      <c r="AB154" s="280">
        <v>94</v>
      </c>
      <c r="AC154" s="280">
        <v>98</v>
      </c>
      <c r="AD154" s="280">
        <v>103</v>
      </c>
      <c r="AE154" s="280">
        <v>106</v>
      </c>
      <c r="AF154" s="280">
        <v>108</v>
      </c>
      <c r="AG154" s="280">
        <v>110</v>
      </c>
      <c r="AH154" s="280">
        <v>114</v>
      </c>
    </row>
    <row r="155" spans="1:34" s="1" customFormat="1" ht="13" x14ac:dyDescent="0.25">
      <c r="A155" s="280" t="s">
        <v>697</v>
      </c>
      <c r="B155" s="286">
        <v>442</v>
      </c>
      <c r="C155" s="286">
        <v>727.875</v>
      </c>
      <c r="D155" s="286">
        <v>1013.7500000000001</v>
      </c>
      <c r="E155" s="286">
        <v>1</v>
      </c>
      <c r="F155" s="281">
        <v>0</v>
      </c>
      <c r="G155" s="282">
        <v>80.489678562500004</v>
      </c>
      <c r="H155" s="282">
        <v>82.090182552083334</v>
      </c>
      <c r="I155" s="282">
        <v>82.49000832916667</v>
      </c>
      <c r="J155" s="282">
        <v>83.819998223333343</v>
      </c>
      <c r="K155" s="282">
        <v>80.851648108611101</v>
      </c>
      <c r="L155" s="282">
        <v>79.52954617152777</v>
      </c>
      <c r="M155" s="282">
        <v>80.0043898161111</v>
      </c>
      <c r="N155" s="282">
        <v>80.386830865277759</v>
      </c>
      <c r="O155" s="282">
        <v>80.301424516666657</v>
      </c>
      <c r="P155" s="282">
        <v>78.452484213333335</v>
      </c>
      <c r="Q155" s="282">
        <v>76.290501974791653</v>
      </c>
      <c r="R155" s="283">
        <v>73.832578362499987</v>
      </c>
      <c r="S155" s="284">
        <v>878.04959313340282</v>
      </c>
      <c r="T155" s="284">
        <v>488.78577320083332</v>
      </c>
      <c r="U155" s="296">
        <f t="shared" si="4"/>
        <v>-39.739406866597392</v>
      </c>
      <c r="V155" s="296">
        <f t="shared" si="5"/>
        <v>-11.008226799166664</v>
      </c>
      <c r="W155" s="287">
        <v>87</v>
      </c>
      <c r="X155" s="280">
        <v>85</v>
      </c>
      <c r="Y155" s="280">
        <v>83</v>
      </c>
      <c r="Z155" s="280">
        <v>80</v>
      </c>
      <c r="AA155" s="280">
        <v>76</v>
      </c>
      <c r="AB155" s="280">
        <v>74</v>
      </c>
      <c r="AC155" s="280">
        <v>73</v>
      </c>
      <c r="AD155" s="280">
        <v>73</v>
      </c>
      <c r="AE155" s="280">
        <v>71</v>
      </c>
      <c r="AF155" s="280">
        <v>68</v>
      </c>
      <c r="AG155" s="280">
        <v>65</v>
      </c>
      <c r="AH155" s="280">
        <v>64</v>
      </c>
    </row>
    <row r="156" spans="1:34" s="1" customFormat="1" ht="13" x14ac:dyDescent="0.25">
      <c r="A156" s="280" t="s">
        <v>698</v>
      </c>
      <c r="B156" s="286">
        <v>442</v>
      </c>
      <c r="C156" s="286">
        <v>727.875</v>
      </c>
      <c r="D156" s="286">
        <v>1013.7500000000001</v>
      </c>
      <c r="E156" s="286">
        <v>1</v>
      </c>
      <c r="F156" s="281">
        <v>1</v>
      </c>
      <c r="G156" s="282">
        <v>80.489678562500004</v>
      </c>
      <c r="H156" s="282">
        <v>82.090182552083334</v>
      </c>
      <c r="I156" s="282">
        <v>82.935008329166664</v>
      </c>
      <c r="J156" s="282">
        <v>84.709998223333344</v>
      </c>
      <c r="K156" s="282">
        <v>82.186648108611109</v>
      </c>
      <c r="L156" s="282">
        <v>81.376921171527769</v>
      </c>
      <c r="M156" s="282">
        <v>82.364139816111091</v>
      </c>
      <c r="N156" s="282">
        <v>83.25895586527777</v>
      </c>
      <c r="O156" s="282">
        <v>83.735330766666678</v>
      </c>
      <c r="P156" s="282">
        <v>82.448171713333338</v>
      </c>
      <c r="Q156" s="282">
        <v>80.847970724791651</v>
      </c>
      <c r="R156" s="283">
        <v>78.951828362499981</v>
      </c>
      <c r="S156" s="284">
        <v>904.90515563340273</v>
      </c>
      <c r="T156" s="284">
        <v>495.66289820083335</v>
      </c>
      <c r="U156" s="296">
        <f t="shared" si="4"/>
        <v>-12.883844366597486</v>
      </c>
      <c r="V156" s="296">
        <f t="shared" si="5"/>
        <v>-4.131101799166629</v>
      </c>
      <c r="W156" s="287">
        <v>87</v>
      </c>
      <c r="X156" s="280">
        <v>85</v>
      </c>
      <c r="Y156" s="280">
        <v>84</v>
      </c>
      <c r="Z156" s="280">
        <v>82</v>
      </c>
      <c r="AA156" s="280">
        <v>79</v>
      </c>
      <c r="AB156" s="280">
        <v>78</v>
      </c>
      <c r="AC156" s="280">
        <v>78</v>
      </c>
      <c r="AD156" s="280">
        <v>79</v>
      </c>
      <c r="AE156" s="280">
        <v>78</v>
      </c>
      <c r="AF156" s="280">
        <v>76</v>
      </c>
      <c r="AG156" s="280">
        <v>74</v>
      </c>
      <c r="AH156" s="280">
        <v>74</v>
      </c>
    </row>
    <row r="157" spans="1:34" s="1" customFormat="1" ht="13" x14ac:dyDescent="0.25">
      <c r="A157" s="280" t="s">
        <v>699</v>
      </c>
      <c r="B157" s="286">
        <v>442</v>
      </c>
      <c r="C157" s="286">
        <v>727.875</v>
      </c>
      <c r="D157" s="286">
        <v>1013.7500000000001</v>
      </c>
      <c r="E157" s="286">
        <v>1</v>
      </c>
      <c r="F157" s="281">
        <v>2</v>
      </c>
      <c r="G157" s="282">
        <v>80.489678562500004</v>
      </c>
      <c r="H157" s="282">
        <v>82.090182552083334</v>
      </c>
      <c r="I157" s="282">
        <v>83.380008329166671</v>
      </c>
      <c r="J157" s="282">
        <v>85.599998223333344</v>
      </c>
      <c r="K157" s="282">
        <v>83.521648108611117</v>
      </c>
      <c r="L157" s="282">
        <v>83.224296171527769</v>
      </c>
      <c r="M157" s="282">
        <v>84.723889816111097</v>
      </c>
      <c r="N157" s="282">
        <v>86.131080865277767</v>
      </c>
      <c r="O157" s="282">
        <v>87.169237016666671</v>
      </c>
      <c r="P157" s="282">
        <v>86.443859213333326</v>
      </c>
      <c r="Q157" s="282">
        <v>85.405439474791663</v>
      </c>
      <c r="R157" s="283">
        <v>84.071078362500003</v>
      </c>
      <c r="S157" s="284">
        <v>931.76071813340286</v>
      </c>
      <c r="T157" s="284">
        <v>502.54002320083339</v>
      </c>
      <c r="U157" s="296">
        <f t="shared" si="4"/>
        <v>13.971718133402646</v>
      </c>
      <c r="V157" s="296">
        <f t="shared" si="5"/>
        <v>2.746023200833406</v>
      </c>
      <c r="W157" s="287">
        <v>87</v>
      </c>
      <c r="X157" s="280">
        <v>85</v>
      </c>
      <c r="Y157" s="280">
        <v>85</v>
      </c>
      <c r="Z157" s="280">
        <v>84</v>
      </c>
      <c r="AA157" s="280">
        <v>82</v>
      </c>
      <c r="AB157" s="280">
        <v>82</v>
      </c>
      <c r="AC157" s="280">
        <v>83</v>
      </c>
      <c r="AD157" s="280">
        <v>85</v>
      </c>
      <c r="AE157" s="280">
        <v>85</v>
      </c>
      <c r="AF157" s="280">
        <v>84</v>
      </c>
      <c r="AG157" s="280">
        <v>83</v>
      </c>
      <c r="AH157" s="280">
        <v>84</v>
      </c>
    </row>
    <row r="158" spans="1:34" s="1" customFormat="1" ht="13" x14ac:dyDescent="0.25">
      <c r="A158" s="280" t="s">
        <v>700</v>
      </c>
      <c r="B158" s="286">
        <v>442</v>
      </c>
      <c r="C158" s="286">
        <v>727.875</v>
      </c>
      <c r="D158" s="286">
        <v>1013.7500000000001</v>
      </c>
      <c r="E158" s="286">
        <v>1</v>
      </c>
      <c r="F158" s="281">
        <v>3</v>
      </c>
      <c r="G158" s="282">
        <v>80.489678562500004</v>
      </c>
      <c r="H158" s="282">
        <v>82.090182552083334</v>
      </c>
      <c r="I158" s="282">
        <v>83.825008329166664</v>
      </c>
      <c r="J158" s="282">
        <v>86.489998223333345</v>
      </c>
      <c r="K158" s="282">
        <v>84.856648108611111</v>
      </c>
      <c r="L158" s="282">
        <v>85.071671171527768</v>
      </c>
      <c r="M158" s="282">
        <v>87.083639816111102</v>
      </c>
      <c r="N158" s="282">
        <v>89.003205865277764</v>
      </c>
      <c r="O158" s="282">
        <v>90.603143266666677</v>
      </c>
      <c r="P158" s="282">
        <v>90.439546713333328</v>
      </c>
      <c r="Q158" s="282">
        <v>89.962908224791661</v>
      </c>
      <c r="R158" s="283">
        <v>89.190328362499997</v>
      </c>
      <c r="S158" s="284">
        <v>958.61628063340277</v>
      </c>
      <c r="T158" s="284">
        <v>509.41714820083331</v>
      </c>
      <c r="U158" s="296">
        <f t="shared" si="4"/>
        <v>40.827280633402552</v>
      </c>
      <c r="V158" s="296">
        <f t="shared" si="5"/>
        <v>9.6231482008333273</v>
      </c>
      <c r="W158" s="287">
        <v>87</v>
      </c>
      <c r="X158" s="280">
        <v>85</v>
      </c>
      <c r="Y158" s="280">
        <v>86</v>
      </c>
      <c r="Z158" s="280">
        <v>86</v>
      </c>
      <c r="AA158" s="280">
        <v>85</v>
      </c>
      <c r="AB158" s="280">
        <v>86</v>
      </c>
      <c r="AC158" s="280">
        <v>88</v>
      </c>
      <c r="AD158" s="280">
        <v>91</v>
      </c>
      <c r="AE158" s="280">
        <v>92</v>
      </c>
      <c r="AF158" s="280">
        <v>92</v>
      </c>
      <c r="AG158" s="280">
        <v>92</v>
      </c>
      <c r="AH158" s="280">
        <v>94</v>
      </c>
    </row>
    <row r="159" spans="1:34" s="1" customFormat="1" ht="13" x14ac:dyDescent="0.25">
      <c r="A159" s="280" t="s">
        <v>701</v>
      </c>
      <c r="B159" s="286">
        <v>442</v>
      </c>
      <c r="C159" s="286">
        <v>727.875</v>
      </c>
      <c r="D159" s="286">
        <v>1013.7500000000001</v>
      </c>
      <c r="E159" s="286">
        <v>1</v>
      </c>
      <c r="F159" s="281">
        <v>4</v>
      </c>
      <c r="G159" s="282">
        <v>80.489678562500004</v>
      </c>
      <c r="H159" s="282">
        <v>82.090182552083334</v>
      </c>
      <c r="I159" s="282">
        <v>84.270008329166672</v>
      </c>
      <c r="J159" s="282">
        <v>87.379998223333345</v>
      </c>
      <c r="K159" s="282">
        <v>86.191648108611119</v>
      </c>
      <c r="L159" s="282">
        <v>86.919046171527768</v>
      </c>
      <c r="M159" s="282">
        <v>89.443389816111107</v>
      </c>
      <c r="N159" s="282">
        <v>91.875330865277775</v>
      </c>
      <c r="O159" s="282">
        <v>94.03704951666667</v>
      </c>
      <c r="P159" s="282">
        <v>94.435234213333331</v>
      </c>
      <c r="Q159" s="282">
        <v>94.52037697479166</v>
      </c>
      <c r="R159" s="283">
        <v>94.309578362500005</v>
      </c>
      <c r="S159" s="284">
        <v>985.4718431334029</v>
      </c>
      <c r="T159" s="284">
        <v>516.29427320083335</v>
      </c>
      <c r="U159" s="296">
        <f t="shared" si="4"/>
        <v>67.682843133402685</v>
      </c>
      <c r="V159" s="296">
        <f t="shared" si="5"/>
        <v>16.500273200833362</v>
      </c>
      <c r="W159" s="287">
        <v>87</v>
      </c>
      <c r="X159" s="280">
        <v>85</v>
      </c>
      <c r="Y159" s="280">
        <v>87</v>
      </c>
      <c r="Z159" s="280">
        <v>88</v>
      </c>
      <c r="AA159" s="280">
        <v>88</v>
      </c>
      <c r="AB159" s="280">
        <v>90</v>
      </c>
      <c r="AC159" s="280">
        <v>93</v>
      </c>
      <c r="AD159" s="280">
        <v>97</v>
      </c>
      <c r="AE159" s="280">
        <v>99</v>
      </c>
      <c r="AF159" s="280">
        <v>100</v>
      </c>
      <c r="AG159" s="280">
        <v>101</v>
      </c>
      <c r="AH159" s="280">
        <v>104</v>
      </c>
    </row>
    <row r="160" spans="1:34" s="1" customFormat="1" ht="13" x14ac:dyDescent="0.25">
      <c r="A160" s="280" t="s">
        <v>702</v>
      </c>
      <c r="B160" s="286">
        <v>442</v>
      </c>
      <c r="C160" s="286">
        <v>727.875</v>
      </c>
      <c r="D160" s="286">
        <v>1013.7500000000001</v>
      </c>
      <c r="E160" s="286">
        <v>1</v>
      </c>
      <c r="F160" s="281">
        <v>5</v>
      </c>
      <c r="G160" s="282">
        <v>80.489678562500004</v>
      </c>
      <c r="H160" s="282">
        <v>82.090182552083334</v>
      </c>
      <c r="I160" s="282">
        <v>84.715008329166665</v>
      </c>
      <c r="J160" s="282">
        <v>88.269998223333346</v>
      </c>
      <c r="K160" s="282">
        <v>87.526648108611113</v>
      </c>
      <c r="L160" s="282">
        <v>88.766421171527767</v>
      </c>
      <c r="M160" s="282">
        <v>91.803139816111113</v>
      </c>
      <c r="N160" s="282">
        <v>94.747455865277772</v>
      </c>
      <c r="O160" s="282">
        <v>97.470955766666677</v>
      </c>
      <c r="P160" s="282">
        <v>98.430921713333333</v>
      </c>
      <c r="Q160" s="282">
        <v>99.077845724791658</v>
      </c>
      <c r="R160" s="283">
        <v>99.428828362499999</v>
      </c>
      <c r="S160" s="284">
        <v>1012.3274056334027</v>
      </c>
      <c r="T160" s="284">
        <v>523.17139820083332</v>
      </c>
      <c r="U160" s="296">
        <f t="shared" si="4"/>
        <v>94.538405633402476</v>
      </c>
      <c r="V160" s="296">
        <f t="shared" si="5"/>
        <v>23.377398200833341</v>
      </c>
      <c r="W160" s="287">
        <v>87</v>
      </c>
      <c r="X160" s="280">
        <v>85</v>
      </c>
      <c r="Y160" s="280">
        <v>88</v>
      </c>
      <c r="Z160" s="280">
        <v>90</v>
      </c>
      <c r="AA160" s="280">
        <v>91</v>
      </c>
      <c r="AB160" s="280">
        <v>94</v>
      </c>
      <c r="AC160" s="280">
        <v>98</v>
      </c>
      <c r="AD160" s="280">
        <v>103</v>
      </c>
      <c r="AE160" s="280">
        <v>106</v>
      </c>
      <c r="AF160" s="280">
        <v>108</v>
      </c>
      <c r="AG160" s="280">
        <v>110</v>
      </c>
      <c r="AH160" s="280">
        <v>114</v>
      </c>
    </row>
    <row r="161" spans="1:34" s="1" customFormat="1" ht="13" x14ac:dyDescent="0.25">
      <c r="A161" s="280" t="s">
        <v>703</v>
      </c>
      <c r="B161" s="286">
        <v>442</v>
      </c>
      <c r="C161" s="286">
        <v>727.875</v>
      </c>
      <c r="D161" s="286">
        <v>1013.7500000000001</v>
      </c>
      <c r="E161" s="286">
        <v>2</v>
      </c>
      <c r="F161" s="281">
        <v>0</v>
      </c>
      <c r="G161" s="282">
        <v>80.489678562500004</v>
      </c>
      <c r="H161" s="282">
        <v>80.845125218749985</v>
      </c>
      <c r="I161" s="282">
        <v>81.503152912500013</v>
      </c>
      <c r="J161" s="282">
        <v>82.676271806666662</v>
      </c>
      <c r="K161" s="282">
        <v>79.963811275277763</v>
      </c>
      <c r="L161" s="282">
        <v>79.147046171527762</v>
      </c>
      <c r="M161" s="282">
        <v>79.581993982777774</v>
      </c>
      <c r="N161" s="282">
        <v>79.967247531944423</v>
      </c>
      <c r="O161" s="282">
        <v>79.71621618333333</v>
      </c>
      <c r="P161" s="282">
        <v>78.032900879999985</v>
      </c>
      <c r="Q161" s="282">
        <v>75.837793641458319</v>
      </c>
      <c r="R161" s="283">
        <v>73.291536695833315</v>
      </c>
      <c r="S161" s="284">
        <v>870.56309630006933</v>
      </c>
      <c r="T161" s="284">
        <v>483.71740136749992</v>
      </c>
      <c r="U161" s="296">
        <f t="shared" si="4"/>
        <v>-47.225903699930882</v>
      </c>
      <c r="V161" s="296">
        <f t="shared" si="5"/>
        <v>-16.076598632500065</v>
      </c>
      <c r="W161" s="287">
        <v>87</v>
      </c>
      <c r="X161" s="280">
        <v>85</v>
      </c>
      <c r="Y161" s="280">
        <v>83</v>
      </c>
      <c r="Z161" s="280">
        <v>80</v>
      </c>
      <c r="AA161" s="280">
        <v>76</v>
      </c>
      <c r="AB161" s="280">
        <v>74</v>
      </c>
      <c r="AC161" s="280">
        <v>73</v>
      </c>
      <c r="AD161" s="280">
        <v>73</v>
      </c>
      <c r="AE161" s="280">
        <v>71</v>
      </c>
      <c r="AF161" s="280">
        <v>68</v>
      </c>
      <c r="AG161" s="280">
        <v>65</v>
      </c>
      <c r="AH161" s="280">
        <v>64</v>
      </c>
    </row>
    <row r="162" spans="1:34" s="1" customFormat="1" ht="13" x14ac:dyDescent="0.25">
      <c r="A162" s="280" t="s">
        <v>704</v>
      </c>
      <c r="B162" s="286">
        <v>442</v>
      </c>
      <c r="C162" s="286">
        <v>727.875</v>
      </c>
      <c r="D162" s="286">
        <v>1013.7500000000001</v>
      </c>
      <c r="E162" s="286">
        <v>2</v>
      </c>
      <c r="F162" s="281">
        <v>1</v>
      </c>
      <c r="G162" s="282">
        <v>80.489678562500004</v>
      </c>
      <c r="H162" s="282">
        <v>80.845125218749985</v>
      </c>
      <c r="I162" s="282">
        <v>81.948152912500007</v>
      </c>
      <c r="J162" s="282">
        <v>83.566271806666677</v>
      </c>
      <c r="K162" s="282">
        <v>81.298811275277771</v>
      </c>
      <c r="L162" s="282">
        <v>80.994421171527762</v>
      </c>
      <c r="M162" s="282">
        <v>81.941743982777766</v>
      </c>
      <c r="N162" s="282">
        <v>82.839372531944448</v>
      </c>
      <c r="O162" s="282">
        <v>83.150122433333337</v>
      </c>
      <c r="P162" s="282">
        <v>82.028588379999988</v>
      </c>
      <c r="Q162" s="282">
        <v>80.395262391458317</v>
      </c>
      <c r="R162" s="283">
        <v>78.410786695833323</v>
      </c>
      <c r="S162" s="284">
        <v>897.41865880006935</v>
      </c>
      <c r="T162" s="284">
        <v>490.59452636749995</v>
      </c>
      <c r="U162" s="296">
        <f t="shared" si="4"/>
        <v>-20.370341199930863</v>
      </c>
      <c r="V162" s="296">
        <f t="shared" si="5"/>
        <v>-9.1994736325000304</v>
      </c>
      <c r="W162" s="287">
        <v>87</v>
      </c>
      <c r="X162" s="280">
        <v>85</v>
      </c>
      <c r="Y162" s="280">
        <v>84</v>
      </c>
      <c r="Z162" s="280">
        <v>82</v>
      </c>
      <c r="AA162" s="280">
        <v>79</v>
      </c>
      <c r="AB162" s="280">
        <v>78</v>
      </c>
      <c r="AC162" s="280">
        <v>78</v>
      </c>
      <c r="AD162" s="280">
        <v>79</v>
      </c>
      <c r="AE162" s="280">
        <v>78</v>
      </c>
      <c r="AF162" s="280">
        <v>76</v>
      </c>
      <c r="AG162" s="280">
        <v>74</v>
      </c>
      <c r="AH162" s="280">
        <v>74</v>
      </c>
    </row>
    <row r="163" spans="1:34" s="1" customFormat="1" ht="13" x14ac:dyDescent="0.25">
      <c r="A163" s="280" t="s">
        <v>705</v>
      </c>
      <c r="B163" s="286">
        <v>442</v>
      </c>
      <c r="C163" s="286">
        <v>727.875</v>
      </c>
      <c r="D163" s="286">
        <v>1013.7500000000001</v>
      </c>
      <c r="E163" s="286">
        <v>2</v>
      </c>
      <c r="F163" s="281">
        <v>2</v>
      </c>
      <c r="G163" s="282">
        <v>80.489678562500004</v>
      </c>
      <c r="H163" s="282">
        <v>80.845125218749985</v>
      </c>
      <c r="I163" s="282">
        <v>82.393152912500028</v>
      </c>
      <c r="J163" s="282">
        <v>84.456271806666678</v>
      </c>
      <c r="K163" s="282">
        <v>82.633811275277765</v>
      </c>
      <c r="L163" s="282">
        <v>82.841796171527761</v>
      </c>
      <c r="M163" s="282">
        <v>84.301493982777771</v>
      </c>
      <c r="N163" s="282">
        <v>85.711497531944445</v>
      </c>
      <c r="O163" s="282">
        <v>86.584028683333344</v>
      </c>
      <c r="P163" s="282">
        <v>86.02427587999999</v>
      </c>
      <c r="Q163" s="282">
        <v>84.952731141458329</v>
      </c>
      <c r="R163" s="283">
        <v>83.530036695833317</v>
      </c>
      <c r="S163" s="284">
        <v>924.27422130006948</v>
      </c>
      <c r="T163" s="284">
        <v>497.47165136749993</v>
      </c>
      <c r="U163" s="296">
        <f t="shared" si="4"/>
        <v>6.48522130006927</v>
      </c>
      <c r="V163" s="296">
        <f t="shared" si="5"/>
        <v>-2.3223486325000522</v>
      </c>
      <c r="W163" s="287">
        <v>87</v>
      </c>
      <c r="X163" s="280">
        <v>85</v>
      </c>
      <c r="Y163" s="280">
        <v>85</v>
      </c>
      <c r="Z163" s="280">
        <v>84</v>
      </c>
      <c r="AA163" s="280">
        <v>82</v>
      </c>
      <c r="AB163" s="280">
        <v>82</v>
      </c>
      <c r="AC163" s="280">
        <v>83</v>
      </c>
      <c r="AD163" s="280">
        <v>85</v>
      </c>
      <c r="AE163" s="280">
        <v>85</v>
      </c>
      <c r="AF163" s="280">
        <v>84</v>
      </c>
      <c r="AG163" s="280">
        <v>83</v>
      </c>
      <c r="AH163" s="280">
        <v>84</v>
      </c>
    </row>
    <row r="164" spans="1:34" s="1" customFormat="1" ht="13" x14ac:dyDescent="0.25">
      <c r="A164" s="280" t="s">
        <v>706</v>
      </c>
      <c r="B164" s="286">
        <v>442</v>
      </c>
      <c r="C164" s="286">
        <v>727.875</v>
      </c>
      <c r="D164" s="286">
        <v>1013.7500000000001</v>
      </c>
      <c r="E164" s="286">
        <v>2</v>
      </c>
      <c r="F164" s="281">
        <v>3</v>
      </c>
      <c r="G164" s="282">
        <v>80.489678562500004</v>
      </c>
      <c r="H164" s="282">
        <v>80.845125218749985</v>
      </c>
      <c r="I164" s="282">
        <v>82.838152912500021</v>
      </c>
      <c r="J164" s="282">
        <v>85.346271806666678</v>
      </c>
      <c r="K164" s="282">
        <v>83.968811275277787</v>
      </c>
      <c r="L164" s="282">
        <v>84.689171171527761</v>
      </c>
      <c r="M164" s="282">
        <v>86.661243982777762</v>
      </c>
      <c r="N164" s="282">
        <v>88.583622531944442</v>
      </c>
      <c r="O164" s="282">
        <v>90.017934933333336</v>
      </c>
      <c r="P164" s="282">
        <v>90.019963379999993</v>
      </c>
      <c r="Q164" s="282">
        <v>89.510199891458328</v>
      </c>
      <c r="R164" s="283">
        <v>88.649286695833311</v>
      </c>
      <c r="S164" s="284">
        <v>951.12978380006939</v>
      </c>
      <c r="T164" s="284">
        <v>504.34877636749997</v>
      </c>
      <c r="U164" s="296">
        <f t="shared" si="4"/>
        <v>33.340783800069175</v>
      </c>
      <c r="V164" s="296">
        <f t="shared" si="5"/>
        <v>4.5547763674999828</v>
      </c>
      <c r="W164" s="287">
        <v>87</v>
      </c>
      <c r="X164" s="280">
        <v>85</v>
      </c>
      <c r="Y164" s="280">
        <v>86</v>
      </c>
      <c r="Z164" s="280">
        <v>86</v>
      </c>
      <c r="AA164" s="280">
        <v>85</v>
      </c>
      <c r="AB164" s="280">
        <v>86</v>
      </c>
      <c r="AC164" s="280">
        <v>88</v>
      </c>
      <c r="AD164" s="280">
        <v>91</v>
      </c>
      <c r="AE164" s="280">
        <v>92</v>
      </c>
      <c r="AF164" s="280">
        <v>92</v>
      </c>
      <c r="AG164" s="280">
        <v>92</v>
      </c>
      <c r="AH164" s="280">
        <v>94</v>
      </c>
    </row>
    <row r="165" spans="1:34" s="1" customFormat="1" ht="13" x14ac:dyDescent="0.25">
      <c r="A165" s="280" t="s">
        <v>707</v>
      </c>
      <c r="B165" s="286">
        <v>442</v>
      </c>
      <c r="C165" s="286">
        <v>727.875</v>
      </c>
      <c r="D165" s="286">
        <v>1013.7500000000001</v>
      </c>
      <c r="E165" s="286">
        <v>2</v>
      </c>
      <c r="F165" s="281">
        <v>4</v>
      </c>
      <c r="G165" s="282">
        <v>80.489678562500004</v>
      </c>
      <c r="H165" s="282">
        <v>80.845125218749985</v>
      </c>
      <c r="I165" s="282">
        <v>83.283152912500015</v>
      </c>
      <c r="J165" s="282">
        <v>86.236271806666664</v>
      </c>
      <c r="K165" s="282">
        <v>85.303811275277781</v>
      </c>
      <c r="L165" s="282">
        <v>86.53654617152776</v>
      </c>
      <c r="M165" s="282">
        <v>89.020993982777782</v>
      </c>
      <c r="N165" s="282">
        <v>91.455747531944439</v>
      </c>
      <c r="O165" s="282">
        <v>93.451841183333343</v>
      </c>
      <c r="P165" s="282">
        <v>94.015650879999995</v>
      </c>
      <c r="Q165" s="282">
        <v>94.067668641458326</v>
      </c>
      <c r="R165" s="283">
        <v>93.768536695833319</v>
      </c>
      <c r="S165" s="284">
        <v>977.98534630006941</v>
      </c>
      <c r="T165" s="284">
        <v>511.2259013675</v>
      </c>
      <c r="U165" s="296">
        <f t="shared" si="4"/>
        <v>60.196346300069195</v>
      </c>
      <c r="V165" s="296">
        <f t="shared" si="5"/>
        <v>11.431901367500018</v>
      </c>
      <c r="W165" s="287">
        <v>87</v>
      </c>
      <c r="X165" s="280">
        <v>85</v>
      </c>
      <c r="Y165" s="280">
        <v>87</v>
      </c>
      <c r="Z165" s="280">
        <v>88</v>
      </c>
      <c r="AA165" s="280">
        <v>88</v>
      </c>
      <c r="AB165" s="280">
        <v>90</v>
      </c>
      <c r="AC165" s="280">
        <v>93</v>
      </c>
      <c r="AD165" s="280">
        <v>97</v>
      </c>
      <c r="AE165" s="280">
        <v>99</v>
      </c>
      <c r="AF165" s="280">
        <v>100</v>
      </c>
      <c r="AG165" s="280">
        <v>101</v>
      </c>
      <c r="AH165" s="280">
        <v>104</v>
      </c>
    </row>
    <row r="166" spans="1:34" s="1" customFormat="1" ht="13" x14ac:dyDescent="0.25">
      <c r="A166" s="280" t="s">
        <v>708</v>
      </c>
      <c r="B166" s="286">
        <v>442</v>
      </c>
      <c r="C166" s="286">
        <v>727.875</v>
      </c>
      <c r="D166" s="286">
        <v>1013.7500000000001</v>
      </c>
      <c r="E166" s="286">
        <v>2</v>
      </c>
      <c r="F166" s="281">
        <v>5</v>
      </c>
      <c r="G166" s="282">
        <v>80.489678562500004</v>
      </c>
      <c r="H166" s="282">
        <v>80.845125218749985</v>
      </c>
      <c r="I166" s="282">
        <v>83.728152912500022</v>
      </c>
      <c r="J166" s="282">
        <v>87.126271806666665</v>
      </c>
      <c r="K166" s="282">
        <v>86.638811275277789</v>
      </c>
      <c r="L166" s="282">
        <v>88.383921171527774</v>
      </c>
      <c r="M166" s="282">
        <v>91.380743982777787</v>
      </c>
      <c r="N166" s="282">
        <v>94.327872531944436</v>
      </c>
      <c r="O166" s="282">
        <v>96.88574743333335</v>
      </c>
      <c r="P166" s="282">
        <v>98.011338379999984</v>
      </c>
      <c r="Q166" s="282">
        <v>98.625137391458324</v>
      </c>
      <c r="R166" s="283">
        <v>98.887786695833313</v>
      </c>
      <c r="S166" s="284">
        <v>1004.8409088000694</v>
      </c>
      <c r="T166" s="284">
        <v>518.10302636749998</v>
      </c>
      <c r="U166" s="296">
        <f t="shared" si="4"/>
        <v>87.051908800069214</v>
      </c>
      <c r="V166" s="296">
        <f t="shared" si="5"/>
        <v>18.309026367499996</v>
      </c>
      <c r="W166" s="287">
        <v>87</v>
      </c>
      <c r="X166" s="280">
        <v>85</v>
      </c>
      <c r="Y166" s="280">
        <v>88</v>
      </c>
      <c r="Z166" s="280">
        <v>90</v>
      </c>
      <c r="AA166" s="280">
        <v>91</v>
      </c>
      <c r="AB166" s="280">
        <v>94</v>
      </c>
      <c r="AC166" s="280">
        <v>98</v>
      </c>
      <c r="AD166" s="280">
        <v>103</v>
      </c>
      <c r="AE166" s="280">
        <v>106</v>
      </c>
      <c r="AF166" s="280">
        <v>108</v>
      </c>
      <c r="AG166" s="280">
        <v>110</v>
      </c>
      <c r="AH166" s="280">
        <v>114</v>
      </c>
    </row>
    <row r="167" spans="1:34" s="1" customFormat="1" ht="13" x14ac:dyDescent="0.25">
      <c r="A167" s="280" t="s">
        <v>709</v>
      </c>
      <c r="B167" s="286">
        <v>442</v>
      </c>
      <c r="C167" s="286">
        <v>727.875</v>
      </c>
      <c r="D167" s="286">
        <v>1013.7500000000001</v>
      </c>
      <c r="E167" s="286">
        <v>3</v>
      </c>
      <c r="F167" s="281">
        <v>0</v>
      </c>
      <c r="G167" s="282">
        <v>80.489678562500004</v>
      </c>
      <c r="H167" s="282">
        <v>80.360857282638875</v>
      </c>
      <c r="I167" s="282">
        <v>80.750555440277779</v>
      </c>
      <c r="J167" s="282">
        <v>82.10345936222221</v>
      </c>
      <c r="K167" s="282">
        <v>79.253464053055538</v>
      </c>
      <c r="L167" s="282">
        <v>78.646490615972226</v>
      </c>
      <c r="M167" s="282">
        <v>79.175292593888884</v>
      </c>
      <c r="N167" s="282">
        <v>79.577108643055539</v>
      </c>
      <c r="O167" s="282">
        <v>79.24142451666664</v>
      </c>
      <c r="P167" s="282">
        <v>77.502900879999999</v>
      </c>
      <c r="Q167" s="282">
        <v>75.407168641458327</v>
      </c>
      <c r="R167" s="283">
        <v>72.809383918055545</v>
      </c>
      <c r="S167" s="284">
        <v>864.82810594729153</v>
      </c>
      <c r="T167" s="284">
        <v>480.29011934805555</v>
      </c>
      <c r="U167" s="296">
        <f t="shared" si="4"/>
        <v>-52.960894052708682</v>
      </c>
      <c r="V167" s="296">
        <f t="shared" si="5"/>
        <v>-19.503880651944428</v>
      </c>
      <c r="W167" s="287">
        <v>87</v>
      </c>
      <c r="X167" s="280">
        <v>85</v>
      </c>
      <c r="Y167" s="280">
        <v>83</v>
      </c>
      <c r="Z167" s="280">
        <v>80</v>
      </c>
      <c r="AA167" s="280">
        <v>76</v>
      </c>
      <c r="AB167" s="280">
        <v>74</v>
      </c>
      <c r="AC167" s="280">
        <v>73</v>
      </c>
      <c r="AD167" s="280">
        <v>73</v>
      </c>
      <c r="AE167" s="280">
        <v>71</v>
      </c>
      <c r="AF167" s="280">
        <v>68</v>
      </c>
      <c r="AG167" s="280">
        <v>65</v>
      </c>
      <c r="AH167" s="280">
        <v>64</v>
      </c>
    </row>
    <row r="168" spans="1:34" s="1" customFormat="1" ht="13" x14ac:dyDescent="0.25">
      <c r="A168" s="280" t="s">
        <v>710</v>
      </c>
      <c r="B168" s="286">
        <v>442</v>
      </c>
      <c r="C168" s="286">
        <v>727.875</v>
      </c>
      <c r="D168" s="286">
        <v>1013.7500000000001</v>
      </c>
      <c r="E168" s="286">
        <v>3</v>
      </c>
      <c r="F168" s="281">
        <v>1</v>
      </c>
      <c r="G168" s="282">
        <v>80.489678562500004</v>
      </c>
      <c r="H168" s="282">
        <v>80.360857282638875</v>
      </c>
      <c r="I168" s="282">
        <v>81.195555440277772</v>
      </c>
      <c r="J168" s="282">
        <v>82.993459362222211</v>
      </c>
      <c r="K168" s="282">
        <v>80.588464053055532</v>
      </c>
      <c r="L168" s="282">
        <v>80.493865615972226</v>
      </c>
      <c r="M168" s="282">
        <v>81.535042593888875</v>
      </c>
      <c r="N168" s="282">
        <v>82.449233643055535</v>
      </c>
      <c r="O168" s="282">
        <v>82.675330766666661</v>
      </c>
      <c r="P168" s="282">
        <v>81.498588379999987</v>
      </c>
      <c r="Q168" s="282">
        <v>79.964637391458325</v>
      </c>
      <c r="R168" s="283">
        <v>77.928633918055553</v>
      </c>
      <c r="S168" s="284">
        <v>891.68366844729167</v>
      </c>
      <c r="T168" s="284">
        <v>487.16724434805553</v>
      </c>
      <c r="U168" s="296">
        <f t="shared" si="4"/>
        <v>-26.105331552708549</v>
      </c>
      <c r="V168" s="296">
        <f t="shared" si="5"/>
        <v>-12.62675565194445</v>
      </c>
      <c r="W168" s="287">
        <v>87</v>
      </c>
      <c r="X168" s="280">
        <v>85</v>
      </c>
      <c r="Y168" s="280">
        <v>84</v>
      </c>
      <c r="Z168" s="280">
        <v>82</v>
      </c>
      <c r="AA168" s="280">
        <v>79</v>
      </c>
      <c r="AB168" s="280">
        <v>78</v>
      </c>
      <c r="AC168" s="280">
        <v>78</v>
      </c>
      <c r="AD168" s="280">
        <v>79</v>
      </c>
      <c r="AE168" s="280">
        <v>78</v>
      </c>
      <c r="AF168" s="280">
        <v>76</v>
      </c>
      <c r="AG168" s="280">
        <v>74</v>
      </c>
      <c r="AH168" s="280">
        <v>74</v>
      </c>
    </row>
    <row r="169" spans="1:34" s="1" customFormat="1" ht="13" x14ac:dyDescent="0.25">
      <c r="A169" s="280" t="s">
        <v>711</v>
      </c>
      <c r="B169" s="286">
        <v>442</v>
      </c>
      <c r="C169" s="286">
        <v>727.875</v>
      </c>
      <c r="D169" s="286">
        <v>1013.7500000000001</v>
      </c>
      <c r="E169" s="286">
        <v>3</v>
      </c>
      <c r="F169" s="281">
        <v>2</v>
      </c>
      <c r="G169" s="282">
        <v>80.489678562500004</v>
      </c>
      <c r="H169" s="282">
        <v>80.360857282638875</v>
      </c>
      <c r="I169" s="282">
        <v>81.64055544027778</v>
      </c>
      <c r="J169" s="282">
        <v>83.883459362222226</v>
      </c>
      <c r="K169" s="282">
        <v>81.92346405305554</v>
      </c>
      <c r="L169" s="282">
        <v>82.341240615972225</v>
      </c>
      <c r="M169" s="282">
        <v>83.894792593888894</v>
      </c>
      <c r="N169" s="282">
        <v>85.321358643055547</v>
      </c>
      <c r="O169" s="282">
        <v>86.109237016666668</v>
      </c>
      <c r="P169" s="282">
        <v>85.494275880000018</v>
      </c>
      <c r="Q169" s="282">
        <v>84.522106141458337</v>
      </c>
      <c r="R169" s="283">
        <v>83.047883918055547</v>
      </c>
      <c r="S169" s="284">
        <v>918.5392309472918</v>
      </c>
      <c r="T169" s="284">
        <v>494.04436934805557</v>
      </c>
      <c r="U169" s="296">
        <f t="shared" si="4"/>
        <v>0.75023094729158402</v>
      </c>
      <c r="V169" s="296">
        <f t="shared" si="5"/>
        <v>-5.7496306519444147</v>
      </c>
      <c r="W169" s="287">
        <v>87</v>
      </c>
      <c r="X169" s="280">
        <v>85</v>
      </c>
      <c r="Y169" s="280">
        <v>85</v>
      </c>
      <c r="Z169" s="280">
        <v>84</v>
      </c>
      <c r="AA169" s="280">
        <v>82</v>
      </c>
      <c r="AB169" s="280">
        <v>82</v>
      </c>
      <c r="AC169" s="280">
        <v>83</v>
      </c>
      <c r="AD169" s="280">
        <v>85</v>
      </c>
      <c r="AE169" s="280">
        <v>85</v>
      </c>
      <c r="AF169" s="280">
        <v>84</v>
      </c>
      <c r="AG169" s="280">
        <v>83</v>
      </c>
      <c r="AH169" s="280">
        <v>84</v>
      </c>
    </row>
    <row r="170" spans="1:34" s="1" customFormat="1" ht="13" x14ac:dyDescent="0.25">
      <c r="A170" s="280" t="s">
        <v>712</v>
      </c>
      <c r="B170" s="286">
        <v>442</v>
      </c>
      <c r="C170" s="286">
        <v>727.875</v>
      </c>
      <c r="D170" s="286">
        <v>1013.7500000000001</v>
      </c>
      <c r="E170" s="286">
        <v>3</v>
      </c>
      <c r="F170" s="281">
        <v>3</v>
      </c>
      <c r="G170" s="282">
        <v>80.489678562500004</v>
      </c>
      <c r="H170" s="282">
        <v>80.360857282638875</v>
      </c>
      <c r="I170" s="282">
        <v>82.085555440277787</v>
      </c>
      <c r="J170" s="282">
        <v>84.773459362222226</v>
      </c>
      <c r="K170" s="282">
        <v>83.258464053055548</v>
      </c>
      <c r="L170" s="282">
        <v>84.188615615972211</v>
      </c>
      <c r="M170" s="282">
        <v>86.254542593888885</v>
      </c>
      <c r="N170" s="282">
        <v>88.193483643055558</v>
      </c>
      <c r="O170" s="282">
        <v>89.543143266666675</v>
      </c>
      <c r="P170" s="282">
        <v>89.489963379999992</v>
      </c>
      <c r="Q170" s="282">
        <v>89.079574891458321</v>
      </c>
      <c r="R170" s="283">
        <v>88.167133918055555</v>
      </c>
      <c r="S170" s="284">
        <v>945.39479344729159</v>
      </c>
      <c r="T170" s="284">
        <v>500.92149434805549</v>
      </c>
      <c r="U170" s="296">
        <f t="shared" si="4"/>
        <v>27.605793447291376</v>
      </c>
      <c r="V170" s="296">
        <f t="shared" si="5"/>
        <v>1.1274943480555066</v>
      </c>
      <c r="W170" s="287">
        <v>87</v>
      </c>
      <c r="X170" s="280">
        <v>85</v>
      </c>
      <c r="Y170" s="280">
        <v>86</v>
      </c>
      <c r="Z170" s="280">
        <v>86</v>
      </c>
      <c r="AA170" s="280">
        <v>85</v>
      </c>
      <c r="AB170" s="280">
        <v>86</v>
      </c>
      <c r="AC170" s="280">
        <v>88</v>
      </c>
      <c r="AD170" s="280">
        <v>91</v>
      </c>
      <c r="AE170" s="280">
        <v>92</v>
      </c>
      <c r="AF170" s="280">
        <v>92</v>
      </c>
      <c r="AG170" s="280">
        <v>92</v>
      </c>
      <c r="AH170" s="280">
        <v>94</v>
      </c>
    </row>
    <row r="171" spans="1:34" s="1" customFormat="1" ht="13" x14ac:dyDescent="0.25">
      <c r="A171" s="280" t="s">
        <v>713</v>
      </c>
      <c r="B171" s="286">
        <v>442</v>
      </c>
      <c r="C171" s="286">
        <v>727.875</v>
      </c>
      <c r="D171" s="286">
        <v>1013.7500000000001</v>
      </c>
      <c r="E171" s="286">
        <v>3</v>
      </c>
      <c r="F171" s="281">
        <v>4</v>
      </c>
      <c r="G171" s="282">
        <v>80.489678562500004</v>
      </c>
      <c r="H171" s="282">
        <v>80.360857282638875</v>
      </c>
      <c r="I171" s="282">
        <v>82.530555440277794</v>
      </c>
      <c r="J171" s="282">
        <v>85.663459362222227</v>
      </c>
      <c r="K171" s="282">
        <v>84.593464053055555</v>
      </c>
      <c r="L171" s="282">
        <v>86.03599061597221</v>
      </c>
      <c r="M171" s="282">
        <v>88.614292593888891</v>
      </c>
      <c r="N171" s="282">
        <v>91.065608643055555</v>
      </c>
      <c r="O171" s="282">
        <v>92.977049516666668</v>
      </c>
      <c r="P171" s="282">
        <v>93.485650879999994</v>
      </c>
      <c r="Q171" s="282">
        <v>93.63704364145832</v>
      </c>
      <c r="R171" s="283">
        <v>93.286383918055549</v>
      </c>
      <c r="S171" s="284">
        <v>972.2503559472915</v>
      </c>
      <c r="T171" s="284">
        <v>507.79861934805552</v>
      </c>
      <c r="U171" s="296">
        <f t="shared" si="4"/>
        <v>54.461355947291281</v>
      </c>
      <c r="V171" s="296">
        <f t="shared" si="5"/>
        <v>8.0046193480555416</v>
      </c>
      <c r="W171" s="287">
        <v>87</v>
      </c>
      <c r="X171" s="280">
        <v>85</v>
      </c>
      <c r="Y171" s="280">
        <v>87</v>
      </c>
      <c r="Z171" s="280">
        <v>88</v>
      </c>
      <c r="AA171" s="280">
        <v>88</v>
      </c>
      <c r="AB171" s="280">
        <v>90</v>
      </c>
      <c r="AC171" s="280">
        <v>93</v>
      </c>
      <c r="AD171" s="280">
        <v>97</v>
      </c>
      <c r="AE171" s="280">
        <v>99</v>
      </c>
      <c r="AF171" s="280">
        <v>100</v>
      </c>
      <c r="AG171" s="280">
        <v>101</v>
      </c>
      <c r="AH171" s="280">
        <v>104</v>
      </c>
    </row>
    <row r="172" spans="1:34" s="1" customFormat="1" ht="13" x14ac:dyDescent="0.25">
      <c r="A172" s="280" t="s">
        <v>714</v>
      </c>
      <c r="B172" s="286">
        <v>442</v>
      </c>
      <c r="C172" s="286">
        <v>727.875</v>
      </c>
      <c r="D172" s="286">
        <v>1013.7500000000001</v>
      </c>
      <c r="E172" s="286">
        <v>3</v>
      </c>
      <c r="F172" s="281">
        <v>5</v>
      </c>
      <c r="G172" s="282">
        <v>80.489678562500004</v>
      </c>
      <c r="H172" s="282">
        <v>80.360857282638875</v>
      </c>
      <c r="I172" s="282">
        <v>82.975555440277788</v>
      </c>
      <c r="J172" s="282">
        <v>86.553459362222227</v>
      </c>
      <c r="K172" s="282">
        <v>85.928464053055549</v>
      </c>
      <c r="L172" s="282">
        <v>87.883365615972224</v>
      </c>
      <c r="M172" s="282">
        <v>90.974042593888896</v>
      </c>
      <c r="N172" s="282">
        <v>93.937733643055552</v>
      </c>
      <c r="O172" s="282">
        <v>96.410955766666675</v>
      </c>
      <c r="P172" s="282">
        <v>97.481338379999983</v>
      </c>
      <c r="Q172" s="282">
        <v>98.194512391458318</v>
      </c>
      <c r="R172" s="283">
        <v>98.405633918055557</v>
      </c>
      <c r="S172" s="284">
        <v>999.10591844729163</v>
      </c>
      <c r="T172" s="284">
        <v>514.67574434805556</v>
      </c>
      <c r="U172" s="296">
        <f t="shared" si="4"/>
        <v>81.316918447291414</v>
      </c>
      <c r="V172" s="296">
        <f t="shared" si="5"/>
        <v>14.881744348055577</v>
      </c>
      <c r="W172" s="287">
        <v>87</v>
      </c>
      <c r="X172" s="280">
        <v>85</v>
      </c>
      <c r="Y172" s="280">
        <v>88</v>
      </c>
      <c r="Z172" s="280">
        <v>90</v>
      </c>
      <c r="AA172" s="280">
        <v>91</v>
      </c>
      <c r="AB172" s="280">
        <v>94</v>
      </c>
      <c r="AC172" s="280">
        <v>98</v>
      </c>
      <c r="AD172" s="280">
        <v>103</v>
      </c>
      <c r="AE172" s="280">
        <v>106</v>
      </c>
      <c r="AF172" s="280">
        <v>108</v>
      </c>
      <c r="AG172" s="280">
        <v>110</v>
      </c>
      <c r="AH172" s="280">
        <v>114</v>
      </c>
    </row>
    <row r="173" spans="1:34" s="1" customFormat="1" ht="13" x14ac:dyDescent="0.25">
      <c r="A173" s="280" t="s">
        <v>715</v>
      </c>
      <c r="B173" s="286">
        <v>442</v>
      </c>
      <c r="C173" s="286">
        <v>727.875</v>
      </c>
      <c r="D173" s="286">
        <v>1013.7500000000001</v>
      </c>
      <c r="E173" s="286">
        <v>4</v>
      </c>
      <c r="F173" s="281">
        <v>0</v>
      </c>
      <c r="G173" s="282">
        <v>80.489678562500004</v>
      </c>
      <c r="H173" s="282">
        <v>80.092176727083327</v>
      </c>
      <c r="I173" s="282">
        <v>80.286345370833331</v>
      </c>
      <c r="J173" s="282">
        <v>81.529119139999978</v>
      </c>
      <c r="K173" s="282">
        <v>78.742821025277763</v>
      </c>
      <c r="L173" s="282">
        <v>78.10879267152778</v>
      </c>
      <c r="M173" s="282">
        <v>78.729025232777772</v>
      </c>
      <c r="N173" s="282">
        <v>79.216414198611091</v>
      </c>
      <c r="O173" s="282">
        <v>78.816320349999984</v>
      </c>
      <c r="P173" s="282">
        <v>77.028109213333337</v>
      </c>
      <c r="Q173" s="282">
        <v>74.899251974791653</v>
      </c>
      <c r="R173" s="283">
        <v>72.358515862499985</v>
      </c>
      <c r="S173" s="284">
        <v>859.80689176673604</v>
      </c>
      <c r="T173" s="284">
        <v>477.48828016749997</v>
      </c>
      <c r="U173" s="296">
        <f t="shared" si="4"/>
        <v>-57.982108233264171</v>
      </c>
      <c r="V173" s="296">
        <f t="shared" si="5"/>
        <v>-22.305719832500017</v>
      </c>
      <c r="W173" s="287">
        <v>87</v>
      </c>
      <c r="X173" s="280">
        <v>85</v>
      </c>
      <c r="Y173" s="280">
        <v>83</v>
      </c>
      <c r="Z173" s="280">
        <v>80</v>
      </c>
      <c r="AA173" s="280">
        <v>76</v>
      </c>
      <c r="AB173" s="280">
        <v>74</v>
      </c>
      <c r="AC173" s="280">
        <v>73</v>
      </c>
      <c r="AD173" s="280">
        <v>73</v>
      </c>
      <c r="AE173" s="280">
        <v>71</v>
      </c>
      <c r="AF173" s="280">
        <v>68</v>
      </c>
      <c r="AG173" s="280">
        <v>65</v>
      </c>
      <c r="AH173" s="280">
        <v>64</v>
      </c>
    </row>
    <row r="174" spans="1:34" s="1" customFormat="1" ht="13" x14ac:dyDescent="0.25">
      <c r="A174" s="280" t="s">
        <v>716</v>
      </c>
      <c r="B174" s="286">
        <v>442</v>
      </c>
      <c r="C174" s="286">
        <v>727.875</v>
      </c>
      <c r="D174" s="286">
        <v>1013.7500000000001</v>
      </c>
      <c r="E174" s="286">
        <v>4</v>
      </c>
      <c r="F174" s="281">
        <v>1</v>
      </c>
      <c r="G174" s="282">
        <v>80.489678562500004</v>
      </c>
      <c r="H174" s="282">
        <v>80.092176727083327</v>
      </c>
      <c r="I174" s="282">
        <v>80.731345370833338</v>
      </c>
      <c r="J174" s="282">
        <v>82.419119139999992</v>
      </c>
      <c r="K174" s="282">
        <v>80.077821025277771</v>
      </c>
      <c r="L174" s="282">
        <v>79.95616767152778</v>
      </c>
      <c r="M174" s="282">
        <v>81.088775232777763</v>
      </c>
      <c r="N174" s="282">
        <v>82.088539198611087</v>
      </c>
      <c r="O174" s="282">
        <v>82.250226600000005</v>
      </c>
      <c r="P174" s="282">
        <v>81.023796713333326</v>
      </c>
      <c r="Q174" s="282">
        <v>79.456720724791651</v>
      </c>
      <c r="R174" s="283">
        <v>77.477765862499993</v>
      </c>
      <c r="S174" s="284">
        <v>886.66245426673606</v>
      </c>
      <c r="T174" s="284">
        <v>484.3654051675</v>
      </c>
      <c r="U174" s="296">
        <f t="shared" si="4"/>
        <v>-31.126545733264152</v>
      </c>
      <c r="V174" s="296">
        <f t="shared" si="5"/>
        <v>-15.428594832499982</v>
      </c>
      <c r="W174" s="287">
        <v>87</v>
      </c>
      <c r="X174" s="280">
        <v>85</v>
      </c>
      <c r="Y174" s="280">
        <v>84</v>
      </c>
      <c r="Z174" s="280">
        <v>82</v>
      </c>
      <c r="AA174" s="280">
        <v>79</v>
      </c>
      <c r="AB174" s="280">
        <v>78</v>
      </c>
      <c r="AC174" s="280">
        <v>78</v>
      </c>
      <c r="AD174" s="280">
        <v>79</v>
      </c>
      <c r="AE174" s="280">
        <v>78</v>
      </c>
      <c r="AF174" s="280">
        <v>76</v>
      </c>
      <c r="AG174" s="280">
        <v>74</v>
      </c>
      <c r="AH174" s="280">
        <v>74</v>
      </c>
    </row>
    <row r="175" spans="1:34" s="1" customFormat="1" ht="13" x14ac:dyDescent="0.25">
      <c r="A175" s="280" t="s">
        <v>717</v>
      </c>
      <c r="B175" s="286">
        <v>442</v>
      </c>
      <c r="C175" s="286">
        <v>727.875</v>
      </c>
      <c r="D175" s="286">
        <v>1013.7500000000001</v>
      </c>
      <c r="E175" s="286">
        <v>4</v>
      </c>
      <c r="F175" s="281">
        <v>2</v>
      </c>
      <c r="G175" s="282">
        <v>80.489678562500004</v>
      </c>
      <c r="H175" s="282">
        <v>80.092176727083327</v>
      </c>
      <c r="I175" s="282">
        <v>81.176345370833332</v>
      </c>
      <c r="J175" s="282">
        <v>83.309119139999993</v>
      </c>
      <c r="K175" s="282">
        <v>81.412821025277765</v>
      </c>
      <c r="L175" s="282">
        <v>81.803542671527779</v>
      </c>
      <c r="M175" s="282">
        <v>83.448525232777769</v>
      </c>
      <c r="N175" s="282">
        <v>84.960664198611099</v>
      </c>
      <c r="O175" s="282">
        <v>85.684132849999997</v>
      </c>
      <c r="P175" s="282">
        <v>85.019484213333328</v>
      </c>
      <c r="Q175" s="282">
        <v>84.014189474791664</v>
      </c>
      <c r="R175" s="283">
        <v>82.597015862499987</v>
      </c>
      <c r="S175" s="284">
        <v>913.51801676673608</v>
      </c>
      <c r="T175" s="284">
        <v>491.24253016750004</v>
      </c>
      <c r="U175" s="296">
        <f t="shared" si="4"/>
        <v>-4.2709832332641327</v>
      </c>
      <c r="V175" s="296">
        <f t="shared" si="5"/>
        <v>-8.5514698324999472</v>
      </c>
      <c r="W175" s="287">
        <v>87</v>
      </c>
      <c r="X175" s="280">
        <v>85</v>
      </c>
      <c r="Y175" s="280">
        <v>85</v>
      </c>
      <c r="Z175" s="280">
        <v>84</v>
      </c>
      <c r="AA175" s="280">
        <v>82</v>
      </c>
      <c r="AB175" s="280">
        <v>82</v>
      </c>
      <c r="AC175" s="280">
        <v>83</v>
      </c>
      <c r="AD175" s="280">
        <v>85</v>
      </c>
      <c r="AE175" s="280">
        <v>85</v>
      </c>
      <c r="AF175" s="280">
        <v>84</v>
      </c>
      <c r="AG175" s="280">
        <v>83</v>
      </c>
      <c r="AH175" s="280">
        <v>84</v>
      </c>
    </row>
    <row r="176" spans="1:34" s="1" customFormat="1" ht="13" x14ac:dyDescent="0.25">
      <c r="A176" s="280" t="s">
        <v>718</v>
      </c>
      <c r="B176" s="286">
        <v>442</v>
      </c>
      <c r="C176" s="286">
        <v>727.875</v>
      </c>
      <c r="D176" s="286">
        <v>1013.7500000000001</v>
      </c>
      <c r="E176" s="286">
        <v>4</v>
      </c>
      <c r="F176" s="281">
        <v>3</v>
      </c>
      <c r="G176" s="282">
        <v>80.489678562500004</v>
      </c>
      <c r="H176" s="282">
        <v>80.092176727083327</v>
      </c>
      <c r="I176" s="282">
        <v>81.621345370833339</v>
      </c>
      <c r="J176" s="282">
        <v>84.199119139999993</v>
      </c>
      <c r="K176" s="282">
        <v>82.747821025277773</v>
      </c>
      <c r="L176" s="282">
        <v>83.650917671527779</v>
      </c>
      <c r="M176" s="282">
        <v>85.808275232777774</v>
      </c>
      <c r="N176" s="282">
        <v>87.832789198611096</v>
      </c>
      <c r="O176" s="282">
        <v>89.118039100000018</v>
      </c>
      <c r="P176" s="282">
        <v>89.015171713333331</v>
      </c>
      <c r="Q176" s="282">
        <v>88.571658224791662</v>
      </c>
      <c r="R176" s="283">
        <v>87.716265862500009</v>
      </c>
      <c r="S176" s="284">
        <v>940.3735792667361</v>
      </c>
      <c r="T176" s="284">
        <v>498.11965516749996</v>
      </c>
      <c r="U176" s="296">
        <f t="shared" si="4"/>
        <v>22.584579266735886</v>
      </c>
      <c r="V176" s="296">
        <f t="shared" si="5"/>
        <v>-1.6743448325000259</v>
      </c>
      <c r="W176" s="287">
        <v>87</v>
      </c>
      <c r="X176" s="280">
        <v>85</v>
      </c>
      <c r="Y176" s="280">
        <v>86</v>
      </c>
      <c r="Z176" s="280">
        <v>86</v>
      </c>
      <c r="AA176" s="280">
        <v>85</v>
      </c>
      <c r="AB176" s="280">
        <v>86</v>
      </c>
      <c r="AC176" s="280">
        <v>88</v>
      </c>
      <c r="AD176" s="280">
        <v>91</v>
      </c>
      <c r="AE176" s="280">
        <v>92</v>
      </c>
      <c r="AF176" s="280">
        <v>92</v>
      </c>
      <c r="AG176" s="280">
        <v>92</v>
      </c>
      <c r="AH176" s="280">
        <v>94</v>
      </c>
    </row>
    <row r="177" spans="1:34" s="1" customFormat="1" ht="13" x14ac:dyDescent="0.25">
      <c r="A177" s="280" t="s">
        <v>719</v>
      </c>
      <c r="B177" s="286">
        <v>442</v>
      </c>
      <c r="C177" s="286">
        <v>727.875</v>
      </c>
      <c r="D177" s="286">
        <v>1013.7500000000001</v>
      </c>
      <c r="E177" s="286">
        <v>4</v>
      </c>
      <c r="F177" s="281">
        <v>4</v>
      </c>
      <c r="G177" s="282">
        <v>80.489678562500004</v>
      </c>
      <c r="H177" s="282">
        <v>80.092176727083327</v>
      </c>
      <c r="I177" s="282">
        <v>82.066345370833332</v>
      </c>
      <c r="J177" s="282">
        <v>85.089119139999994</v>
      </c>
      <c r="K177" s="282">
        <v>84.082821025277781</v>
      </c>
      <c r="L177" s="282">
        <v>85.498292671527764</v>
      </c>
      <c r="M177" s="282">
        <v>88.168025232777765</v>
      </c>
      <c r="N177" s="282">
        <v>90.704914198611093</v>
      </c>
      <c r="O177" s="282">
        <v>92.551945350000011</v>
      </c>
      <c r="P177" s="282">
        <v>93.010859213333333</v>
      </c>
      <c r="Q177" s="282">
        <v>93.12912697479166</v>
      </c>
      <c r="R177" s="283">
        <v>92.835515862500003</v>
      </c>
      <c r="S177" s="284">
        <v>967.22914176673601</v>
      </c>
      <c r="T177" s="284">
        <v>504.99678016749994</v>
      </c>
      <c r="U177" s="296">
        <f t="shared" si="4"/>
        <v>49.440141766735792</v>
      </c>
      <c r="V177" s="296">
        <f t="shared" si="5"/>
        <v>5.2027801674999523</v>
      </c>
      <c r="W177" s="287">
        <v>87</v>
      </c>
      <c r="X177" s="280">
        <v>85</v>
      </c>
      <c r="Y177" s="280">
        <v>87</v>
      </c>
      <c r="Z177" s="280">
        <v>88</v>
      </c>
      <c r="AA177" s="280">
        <v>88</v>
      </c>
      <c r="AB177" s="280">
        <v>90</v>
      </c>
      <c r="AC177" s="280">
        <v>93</v>
      </c>
      <c r="AD177" s="280">
        <v>97</v>
      </c>
      <c r="AE177" s="280">
        <v>99</v>
      </c>
      <c r="AF177" s="280">
        <v>100</v>
      </c>
      <c r="AG177" s="280">
        <v>101</v>
      </c>
      <c r="AH177" s="280">
        <v>104</v>
      </c>
    </row>
    <row r="178" spans="1:34" s="1" customFormat="1" ht="13" x14ac:dyDescent="0.25">
      <c r="A178" s="280" t="s">
        <v>720</v>
      </c>
      <c r="B178" s="286">
        <v>442</v>
      </c>
      <c r="C178" s="286">
        <v>727.875</v>
      </c>
      <c r="D178" s="286">
        <v>1013.7500000000001</v>
      </c>
      <c r="E178" s="286">
        <v>4</v>
      </c>
      <c r="F178" s="281">
        <v>5</v>
      </c>
      <c r="G178" s="282">
        <v>80.489678562500004</v>
      </c>
      <c r="H178" s="282">
        <v>80.092176727083327</v>
      </c>
      <c r="I178" s="282">
        <v>82.51134537083334</v>
      </c>
      <c r="J178" s="282">
        <v>85.979119139999995</v>
      </c>
      <c r="K178" s="282">
        <v>85.417821025277775</v>
      </c>
      <c r="L178" s="282">
        <v>87.345667671527764</v>
      </c>
      <c r="M178" s="282">
        <v>90.527775232777785</v>
      </c>
      <c r="N178" s="282">
        <v>93.577039198611104</v>
      </c>
      <c r="O178" s="282">
        <v>95.985851600000018</v>
      </c>
      <c r="P178" s="282">
        <v>97.006546713333336</v>
      </c>
      <c r="Q178" s="282">
        <v>97.686595724791658</v>
      </c>
      <c r="R178" s="283">
        <v>97.954765862499997</v>
      </c>
      <c r="S178" s="284">
        <v>994.08470426673625</v>
      </c>
      <c r="T178" s="284">
        <v>511.87390516749997</v>
      </c>
      <c r="U178" s="296">
        <f t="shared" si="4"/>
        <v>76.295704266736038</v>
      </c>
      <c r="V178" s="296">
        <f t="shared" si="5"/>
        <v>12.079905167499987</v>
      </c>
      <c r="W178" s="287">
        <v>87</v>
      </c>
      <c r="X178" s="280">
        <v>85</v>
      </c>
      <c r="Y178" s="280">
        <v>88</v>
      </c>
      <c r="Z178" s="280">
        <v>90</v>
      </c>
      <c r="AA178" s="280">
        <v>91</v>
      </c>
      <c r="AB178" s="280">
        <v>94</v>
      </c>
      <c r="AC178" s="280">
        <v>98</v>
      </c>
      <c r="AD178" s="280">
        <v>103</v>
      </c>
      <c r="AE178" s="280">
        <v>106</v>
      </c>
      <c r="AF178" s="280">
        <v>108</v>
      </c>
      <c r="AG178" s="280">
        <v>110</v>
      </c>
      <c r="AH178" s="280">
        <v>114</v>
      </c>
    </row>
    <row r="179" spans="1:34" s="1" customFormat="1" ht="13" x14ac:dyDescent="0.25">
      <c r="A179" s="280" t="s">
        <v>721</v>
      </c>
      <c r="B179" s="286">
        <v>442</v>
      </c>
      <c r="C179" s="286">
        <v>727.875</v>
      </c>
      <c r="D179" s="286">
        <v>1013.7500000000001</v>
      </c>
      <c r="E179" s="286">
        <v>5</v>
      </c>
      <c r="F179" s="281">
        <v>0</v>
      </c>
      <c r="G179" s="282">
        <v>80.489678562500004</v>
      </c>
      <c r="H179" s="282">
        <v>79.930968393749993</v>
      </c>
      <c r="I179" s="282">
        <v>79.98154707916666</v>
      </c>
      <c r="J179" s="282">
        <v>81.090666139999968</v>
      </c>
      <c r="K179" s="282">
        <v>78.214375608611107</v>
      </c>
      <c r="L179" s="282">
        <v>77.674983754861103</v>
      </c>
      <c r="M179" s="282">
        <v>78.284598149444435</v>
      </c>
      <c r="N179" s="282">
        <v>78.805664198611098</v>
      </c>
      <c r="O179" s="282">
        <v>78.428757849999982</v>
      </c>
      <c r="P179" s="282">
        <v>76.59306754666666</v>
      </c>
      <c r="Q179" s="282">
        <v>74.426668641458321</v>
      </c>
      <c r="R179" s="283">
        <v>71.853911695833318</v>
      </c>
      <c r="S179" s="284">
        <v>855.28520905840276</v>
      </c>
      <c r="T179" s="284">
        <v>475.17713912583326</v>
      </c>
      <c r="U179" s="296">
        <f t="shared" si="4"/>
        <v>-62.503790941597458</v>
      </c>
      <c r="V179" s="296">
        <f t="shared" si="5"/>
        <v>-24.616860874166719</v>
      </c>
      <c r="W179" s="287">
        <v>87</v>
      </c>
      <c r="X179" s="280">
        <v>85</v>
      </c>
      <c r="Y179" s="280">
        <v>83</v>
      </c>
      <c r="Z179" s="280">
        <v>80</v>
      </c>
      <c r="AA179" s="280">
        <v>76</v>
      </c>
      <c r="AB179" s="280">
        <v>74</v>
      </c>
      <c r="AC179" s="280">
        <v>73</v>
      </c>
      <c r="AD179" s="280">
        <v>73</v>
      </c>
      <c r="AE179" s="280">
        <v>71</v>
      </c>
      <c r="AF179" s="280">
        <v>68</v>
      </c>
      <c r="AG179" s="280">
        <v>65</v>
      </c>
      <c r="AH179" s="280">
        <v>64</v>
      </c>
    </row>
    <row r="180" spans="1:34" s="1" customFormat="1" ht="13" x14ac:dyDescent="0.25">
      <c r="A180" s="280" t="s">
        <v>722</v>
      </c>
      <c r="B180" s="286">
        <v>442</v>
      </c>
      <c r="C180" s="286">
        <v>727.875</v>
      </c>
      <c r="D180" s="286">
        <v>1013.7500000000001</v>
      </c>
      <c r="E180" s="286">
        <v>5</v>
      </c>
      <c r="F180" s="281">
        <v>1</v>
      </c>
      <c r="G180" s="282">
        <v>80.489678562500004</v>
      </c>
      <c r="H180" s="282">
        <v>79.930968393749993</v>
      </c>
      <c r="I180" s="282">
        <v>80.426547079166653</v>
      </c>
      <c r="J180" s="282">
        <v>81.980666139999983</v>
      </c>
      <c r="K180" s="282">
        <v>79.549375608611115</v>
      </c>
      <c r="L180" s="282">
        <v>79.522358754861102</v>
      </c>
      <c r="M180" s="282">
        <v>80.64434814944444</v>
      </c>
      <c r="N180" s="282">
        <v>81.677789198611094</v>
      </c>
      <c r="O180" s="282">
        <v>81.862664099999989</v>
      </c>
      <c r="P180" s="282">
        <v>80.588755046666648</v>
      </c>
      <c r="Q180" s="282">
        <v>78.984137391458319</v>
      </c>
      <c r="R180" s="283">
        <v>76.973161695833312</v>
      </c>
      <c r="S180" s="284">
        <v>882.14077155840278</v>
      </c>
      <c r="T180" s="284">
        <v>482.0542641258333</v>
      </c>
      <c r="U180" s="296">
        <f t="shared" si="4"/>
        <v>-35.648228441597439</v>
      </c>
      <c r="V180" s="296">
        <f t="shared" si="5"/>
        <v>-17.739735874166684</v>
      </c>
      <c r="W180" s="287">
        <v>87</v>
      </c>
      <c r="X180" s="280">
        <v>85</v>
      </c>
      <c r="Y180" s="280">
        <v>84</v>
      </c>
      <c r="Z180" s="280">
        <v>82</v>
      </c>
      <c r="AA180" s="280">
        <v>79</v>
      </c>
      <c r="AB180" s="280">
        <v>78</v>
      </c>
      <c r="AC180" s="280">
        <v>78</v>
      </c>
      <c r="AD180" s="280">
        <v>79</v>
      </c>
      <c r="AE180" s="280">
        <v>78</v>
      </c>
      <c r="AF180" s="280">
        <v>76</v>
      </c>
      <c r="AG180" s="280">
        <v>74</v>
      </c>
      <c r="AH180" s="280">
        <v>74</v>
      </c>
    </row>
    <row r="181" spans="1:34" s="1" customFormat="1" ht="13" x14ac:dyDescent="0.25">
      <c r="A181" s="280" t="s">
        <v>723</v>
      </c>
      <c r="B181" s="286">
        <v>442</v>
      </c>
      <c r="C181" s="286">
        <v>727.875</v>
      </c>
      <c r="D181" s="286">
        <v>1013.7500000000001</v>
      </c>
      <c r="E181" s="286">
        <v>5</v>
      </c>
      <c r="F181" s="281">
        <v>2</v>
      </c>
      <c r="G181" s="282">
        <v>80.489678562500004</v>
      </c>
      <c r="H181" s="282">
        <v>79.930968393749993</v>
      </c>
      <c r="I181" s="282">
        <v>80.87154707916666</v>
      </c>
      <c r="J181" s="282">
        <v>82.870666139999983</v>
      </c>
      <c r="K181" s="282">
        <v>80.884375608611109</v>
      </c>
      <c r="L181" s="282">
        <v>81.369733754861102</v>
      </c>
      <c r="M181" s="282">
        <v>83.004098149444445</v>
      </c>
      <c r="N181" s="282">
        <v>84.54991419861112</v>
      </c>
      <c r="O181" s="282">
        <v>85.296570349999996</v>
      </c>
      <c r="P181" s="282">
        <v>84.584442546666679</v>
      </c>
      <c r="Q181" s="282">
        <v>83.541606141458331</v>
      </c>
      <c r="R181" s="283">
        <v>82.09241169583332</v>
      </c>
      <c r="S181" s="284">
        <v>908.99633405840268</v>
      </c>
      <c r="T181" s="284">
        <v>488.93138912583322</v>
      </c>
      <c r="U181" s="296">
        <f t="shared" si="4"/>
        <v>-8.7926659415975337</v>
      </c>
      <c r="V181" s="296">
        <f t="shared" si="5"/>
        <v>-10.862610874166762</v>
      </c>
      <c r="W181" s="287">
        <v>87</v>
      </c>
      <c r="X181" s="280">
        <v>85</v>
      </c>
      <c r="Y181" s="280">
        <v>85</v>
      </c>
      <c r="Z181" s="280">
        <v>84</v>
      </c>
      <c r="AA181" s="280">
        <v>82</v>
      </c>
      <c r="AB181" s="280">
        <v>82</v>
      </c>
      <c r="AC181" s="280">
        <v>83</v>
      </c>
      <c r="AD181" s="280">
        <v>85</v>
      </c>
      <c r="AE181" s="280">
        <v>85</v>
      </c>
      <c r="AF181" s="280">
        <v>84</v>
      </c>
      <c r="AG181" s="280">
        <v>83</v>
      </c>
      <c r="AH181" s="280">
        <v>84</v>
      </c>
    </row>
    <row r="182" spans="1:34" s="1" customFormat="1" ht="13" x14ac:dyDescent="0.25">
      <c r="A182" s="280" t="s">
        <v>724</v>
      </c>
      <c r="B182" s="286">
        <v>442</v>
      </c>
      <c r="C182" s="286">
        <v>727.875</v>
      </c>
      <c r="D182" s="286">
        <v>1013.7500000000001</v>
      </c>
      <c r="E182" s="286">
        <v>5</v>
      </c>
      <c r="F182" s="281">
        <v>3</v>
      </c>
      <c r="G182" s="282">
        <v>80.489678562500004</v>
      </c>
      <c r="H182" s="282">
        <v>79.930968393749993</v>
      </c>
      <c r="I182" s="282">
        <v>81.316547079166654</v>
      </c>
      <c r="J182" s="282">
        <v>83.760666139999998</v>
      </c>
      <c r="K182" s="282">
        <v>82.219375608611116</v>
      </c>
      <c r="L182" s="282">
        <v>83.217108754861101</v>
      </c>
      <c r="M182" s="282">
        <v>85.363848149444436</v>
      </c>
      <c r="N182" s="282">
        <v>87.422039198611117</v>
      </c>
      <c r="O182" s="282">
        <v>88.730476600000017</v>
      </c>
      <c r="P182" s="282">
        <v>88.580130046666653</v>
      </c>
      <c r="Q182" s="282">
        <v>88.099074891458315</v>
      </c>
      <c r="R182" s="283">
        <v>87.211661695833314</v>
      </c>
      <c r="S182" s="284">
        <v>935.85189655840259</v>
      </c>
      <c r="T182" s="284">
        <v>495.80851412583331</v>
      </c>
      <c r="U182" s="296">
        <f t="shared" si="4"/>
        <v>18.062896558402372</v>
      </c>
      <c r="V182" s="296">
        <f t="shared" si="5"/>
        <v>-3.9854858741666703</v>
      </c>
      <c r="W182" s="287">
        <v>87</v>
      </c>
      <c r="X182" s="280">
        <v>85</v>
      </c>
      <c r="Y182" s="280">
        <v>86</v>
      </c>
      <c r="Z182" s="280">
        <v>86</v>
      </c>
      <c r="AA182" s="280">
        <v>85</v>
      </c>
      <c r="AB182" s="280">
        <v>86</v>
      </c>
      <c r="AC182" s="280">
        <v>88</v>
      </c>
      <c r="AD182" s="280">
        <v>91</v>
      </c>
      <c r="AE182" s="280">
        <v>92</v>
      </c>
      <c r="AF182" s="280">
        <v>92</v>
      </c>
      <c r="AG182" s="280">
        <v>92</v>
      </c>
      <c r="AH182" s="280">
        <v>94</v>
      </c>
    </row>
    <row r="183" spans="1:34" s="1" customFormat="1" ht="13" x14ac:dyDescent="0.25">
      <c r="A183" s="280" t="s">
        <v>725</v>
      </c>
      <c r="B183" s="286">
        <v>442</v>
      </c>
      <c r="C183" s="286">
        <v>727.875</v>
      </c>
      <c r="D183" s="286">
        <v>1013.7500000000001</v>
      </c>
      <c r="E183" s="286">
        <v>5</v>
      </c>
      <c r="F183" s="281">
        <v>4</v>
      </c>
      <c r="G183" s="282">
        <v>80.489678562500004</v>
      </c>
      <c r="H183" s="282">
        <v>79.930968393749993</v>
      </c>
      <c r="I183" s="282">
        <v>81.761547079166661</v>
      </c>
      <c r="J183" s="282">
        <v>84.650666139999998</v>
      </c>
      <c r="K183" s="282">
        <v>83.554375608611124</v>
      </c>
      <c r="L183" s="282">
        <v>85.064483754861087</v>
      </c>
      <c r="M183" s="282">
        <v>87.723598149444442</v>
      </c>
      <c r="N183" s="282">
        <v>90.294164198611099</v>
      </c>
      <c r="O183" s="282">
        <v>92.16438285000001</v>
      </c>
      <c r="P183" s="282">
        <v>92.575817546666642</v>
      </c>
      <c r="Q183" s="282">
        <v>92.656543641458327</v>
      </c>
      <c r="R183" s="283">
        <v>92.330911695833322</v>
      </c>
      <c r="S183" s="284">
        <v>962.70745905840272</v>
      </c>
      <c r="T183" s="284">
        <v>502.68563912583335</v>
      </c>
      <c r="U183" s="296">
        <f t="shared" si="4"/>
        <v>44.918459058402505</v>
      </c>
      <c r="V183" s="296">
        <f t="shared" si="5"/>
        <v>2.8916391258333647</v>
      </c>
      <c r="W183" s="287">
        <v>87</v>
      </c>
      <c r="X183" s="280">
        <v>85</v>
      </c>
      <c r="Y183" s="280">
        <v>87</v>
      </c>
      <c r="Z183" s="280">
        <v>88</v>
      </c>
      <c r="AA183" s="280">
        <v>88</v>
      </c>
      <c r="AB183" s="280">
        <v>90</v>
      </c>
      <c r="AC183" s="280">
        <v>93</v>
      </c>
      <c r="AD183" s="280">
        <v>97</v>
      </c>
      <c r="AE183" s="280">
        <v>99</v>
      </c>
      <c r="AF183" s="280">
        <v>100</v>
      </c>
      <c r="AG183" s="280">
        <v>101</v>
      </c>
      <c r="AH183" s="280">
        <v>104</v>
      </c>
    </row>
    <row r="184" spans="1:34" s="1" customFormat="1" ht="13" x14ac:dyDescent="0.25">
      <c r="A184" s="280" t="s">
        <v>726</v>
      </c>
      <c r="B184" s="286">
        <v>442</v>
      </c>
      <c r="C184" s="286">
        <v>727.875</v>
      </c>
      <c r="D184" s="286">
        <v>1013.7500000000001</v>
      </c>
      <c r="E184" s="286">
        <v>5</v>
      </c>
      <c r="F184" s="281">
        <v>5</v>
      </c>
      <c r="G184" s="282">
        <v>80.489678562500004</v>
      </c>
      <c r="H184" s="282">
        <v>79.930968393749993</v>
      </c>
      <c r="I184" s="282">
        <v>82.206547079166668</v>
      </c>
      <c r="J184" s="282">
        <v>85.540666139999999</v>
      </c>
      <c r="K184" s="282">
        <v>84.889375608611132</v>
      </c>
      <c r="L184" s="282">
        <v>86.911858754861086</v>
      </c>
      <c r="M184" s="282">
        <v>90.083348149444433</v>
      </c>
      <c r="N184" s="282">
        <v>93.166289198611096</v>
      </c>
      <c r="O184" s="282">
        <v>95.598289100000017</v>
      </c>
      <c r="P184" s="282">
        <v>96.571505046666644</v>
      </c>
      <c r="Q184" s="282">
        <v>97.214012391458326</v>
      </c>
      <c r="R184" s="283">
        <v>97.450161695833316</v>
      </c>
      <c r="S184" s="284">
        <v>989.56302155840274</v>
      </c>
      <c r="T184" s="284">
        <v>509.56276412583333</v>
      </c>
      <c r="U184" s="296">
        <f t="shared" si="4"/>
        <v>71.774021558402524</v>
      </c>
      <c r="V184" s="296">
        <f t="shared" si="5"/>
        <v>9.7687641258333429</v>
      </c>
      <c r="W184" s="287">
        <v>87</v>
      </c>
      <c r="X184" s="280">
        <v>85</v>
      </c>
      <c r="Y184" s="280">
        <v>88</v>
      </c>
      <c r="Z184" s="280">
        <v>90</v>
      </c>
      <c r="AA184" s="280">
        <v>91</v>
      </c>
      <c r="AB184" s="280">
        <v>94</v>
      </c>
      <c r="AC184" s="280">
        <v>98</v>
      </c>
      <c r="AD184" s="280">
        <v>103</v>
      </c>
      <c r="AE184" s="280">
        <v>106</v>
      </c>
      <c r="AF184" s="280">
        <v>108</v>
      </c>
      <c r="AG184" s="280">
        <v>110</v>
      </c>
      <c r="AH184" s="280">
        <v>114</v>
      </c>
    </row>
    <row r="185" spans="1:34" s="1" customFormat="1" ht="13" x14ac:dyDescent="0.25">
      <c r="A185" s="280" t="s">
        <v>727</v>
      </c>
      <c r="B185" s="286">
        <v>442</v>
      </c>
      <c r="C185" s="286">
        <v>727.875</v>
      </c>
      <c r="D185" s="286">
        <v>1013.7500000000001</v>
      </c>
      <c r="E185" s="286">
        <v>1</v>
      </c>
      <c r="F185" s="281">
        <v>0</v>
      </c>
      <c r="G185" s="282">
        <v>80.489678562500004</v>
      </c>
      <c r="H185" s="282">
        <v>82.303515885416658</v>
      </c>
      <c r="I185" s="282">
        <v>82.740268745833333</v>
      </c>
      <c r="J185" s="282">
        <v>84.086873223333342</v>
      </c>
      <c r="K185" s="282">
        <v>81.107689775277777</v>
      </c>
      <c r="L185" s="282">
        <v>79.785171171527764</v>
      </c>
      <c r="M185" s="282">
        <v>80.269806482777767</v>
      </c>
      <c r="N185" s="282">
        <v>80.664122531944429</v>
      </c>
      <c r="O185" s="282">
        <v>80.59454951666666</v>
      </c>
      <c r="P185" s="282">
        <v>78.744984213333339</v>
      </c>
      <c r="Q185" s="282">
        <v>76.579251974791646</v>
      </c>
      <c r="R185" s="283">
        <v>74.117786695833317</v>
      </c>
      <c r="S185" s="284">
        <v>880.99402021673598</v>
      </c>
      <c r="T185" s="284">
        <v>490.2933252841666</v>
      </c>
      <c r="U185" s="296">
        <f t="shared" si="4"/>
        <v>-36.794979783264239</v>
      </c>
      <c r="V185" s="296">
        <f t="shared" si="5"/>
        <v>-9.5006747158333837</v>
      </c>
      <c r="W185" s="287">
        <v>87</v>
      </c>
      <c r="X185" s="280">
        <v>85</v>
      </c>
      <c r="Y185" s="280">
        <v>83</v>
      </c>
      <c r="Z185" s="280">
        <v>80</v>
      </c>
      <c r="AA185" s="280">
        <v>76</v>
      </c>
      <c r="AB185" s="280">
        <v>74</v>
      </c>
      <c r="AC185" s="280">
        <v>73</v>
      </c>
      <c r="AD185" s="280">
        <v>73</v>
      </c>
      <c r="AE185" s="280">
        <v>71</v>
      </c>
      <c r="AF185" s="280">
        <v>68</v>
      </c>
      <c r="AG185" s="280">
        <v>65</v>
      </c>
      <c r="AH185" s="280">
        <v>64</v>
      </c>
    </row>
    <row r="186" spans="1:34" s="1" customFormat="1" ht="13" x14ac:dyDescent="0.25">
      <c r="A186" s="280" t="s">
        <v>728</v>
      </c>
      <c r="B186" s="286">
        <v>442</v>
      </c>
      <c r="C186" s="286">
        <v>727.875</v>
      </c>
      <c r="D186" s="286">
        <v>1013.7500000000001</v>
      </c>
      <c r="E186" s="286">
        <v>1</v>
      </c>
      <c r="F186" s="281">
        <v>1</v>
      </c>
      <c r="G186" s="282">
        <v>80.489678562500004</v>
      </c>
      <c r="H186" s="282">
        <v>82.303515885416658</v>
      </c>
      <c r="I186" s="282">
        <v>83.185268745833341</v>
      </c>
      <c r="J186" s="282">
        <v>84.976873223333342</v>
      </c>
      <c r="K186" s="282">
        <v>82.442689775277771</v>
      </c>
      <c r="L186" s="282">
        <v>81.632546171527764</v>
      </c>
      <c r="M186" s="282">
        <v>82.629556482777772</v>
      </c>
      <c r="N186" s="282">
        <v>83.53624753194444</v>
      </c>
      <c r="O186" s="282">
        <v>84.029080766666667</v>
      </c>
      <c r="P186" s="282">
        <v>82.741921713333326</v>
      </c>
      <c r="Q186" s="282">
        <v>81.138595724791656</v>
      </c>
      <c r="R186" s="283">
        <v>79.239536695833323</v>
      </c>
      <c r="S186" s="284">
        <v>907.85583271673602</v>
      </c>
      <c r="T186" s="284">
        <v>497.17045028416663</v>
      </c>
      <c r="U186" s="296">
        <f t="shared" si="4"/>
        <v>-9.9331672832641971</v>
      </c>
      <c r="V186" s="296">
        <f t="shared" si="5"/>
        <v>-2.6235497158333487</v>
      </c>
      <c r="W186" s="287">
        <v>87</v>
      </c>
      <c r="X186" s="280">
        <v>85</v>
      </c>
      <c r="Y186" s="280">
        <v>84</v>
      </c>
      <c r="Z186" s="280">
        <v>82</v>
      </c>
      <c r="AA186" s="280">
        <v>79</v>
      </c>
      <c r="AB186" s="280">
        <v>78</v>
      </c>
      <c r="AC186" s="280">
        <v>78</v>
      </c>
      <c r="AD186" s="280">
        <v>79</v>
      </c>
      <c r="AE186" s="280">
        <v>78</v>
      </c>
      <c r="AF186" s="280">
        <v>76</v>
      </c>
      <c r="AG186" s="280">
        <v>74</v>
      </c>
      <c r="AH186" s="280">
        <v>74</v>
      </c>
    </row>
    <row r="187" spans="1:34" s="1" customFormat="1" ht="13" x14ac:dyDescent="0.25">
      <c r="A187" s="280" t="s">
        <v>729</v>
      </c>
      <c r="B187" s="286">
        <v>442</v>
      </c>
      <c r="C187" s="286">
        <v>727.875</v>
      </c>
      <c r="D187" s="286">
        <v>1013.7500000000001</v>
      </c>
      <c r="E187" s="286">
        <v>1</v>
      </c>
      <c r="F187" s="281">
        <v>2</v>
      </c>
      <c r="G187" s="282">
        <v>80.489678562500004</v>
      </c>
      <c r="H187" s="282">
        <v>82.303515885416658</v>
      </c>
      <c r="I187" s="282">
        <v>83.630268745833334</v>
      </c>
      <c r="J187" s="282">
        <v>85.866873223333343</v>
      </c>
      <c r="K187" s="282">
        <v>83.777689775277793</v>
      </c>
      <c r="L187" s="282">
        <v>83.479921171527764</v>
      </c>
      <c r="M187" s="282">
        <v>84.989306482777778</v>
      </c>
      <c r="N187" s="282">
        <v>86.408372531944437</v>
      </c>
      <c r="O187" s="282">
        <v>87.463612016666673</v>
      </c>
      <c r="P187" s="282">
        <v>86.738859213333328</v>
      </c>
      <c r="Q187" s="282">
        <v>85.697939474791667</v>
      </c>
      <c r="R187" s="283">
        <v>84.361286695833314</v>
      </c>
      <c r="S187" s="284">
        <v>934.71764521673617</v>
      </c>
      <c r="T187" s="284">
        <v>504.04757528416667</v>
      </c>
      <c r="U187" s="296">
        <f t="shared" si="4"/>
        <v>16.928645216735958</v>
      </c>
      <c r="V187" s="296">
        <f t="shared" si="5"/>
        <v>4.2535752841666863</v>
      </c>
      <c r="W187" s="287">
        <v>87</v>
      </c>
      <c r="X187" s="280">
        <v>85</v>
      </c>
      <c r="Y187" s="280">
        <v>85</v>
      </c>
      <c r="Z187" s="280">
        <v>84</v>
      </c>
      <c r="AA187" s="280">
        <v>82</v>
      </c>
      <c r="AB187" s="280">
        <v>82</v>
      </c>
      <c r="AC187" s="280">
        <v>83</v>
      </c>
      <c r="AD187" s="280">
        <v>85</v>
      </c>
      <c r="AE187" s="280">
        <v>85</v>
      </c>
      <c r="AF187" s="280">
        <v>84</v>
      </c>
      <c r="AG187" s="280">
        <v>83</v>
      </c>
      <c r="AH187" s="280">
        <v>84</v>
      </c>
    </row>
    <row r="188" spans="1:34" s="1" customFormat="1" ht="13" x14ac:dyDescent="0.25">
      <c r="A188" s="280" t="s">
        <v>730</v>
      </c>
      <c r="B188" s="286">
        <v>442</v>
      </c>
      <c r="C188" s="286">
        <v>727.875</v>
      </c>
      <c r="D188" s="286">
        <v>1013.7500000000001</v>
      </c>
      <c r="E188" s="286">
        <v>1</v>
      </c>
      <c r="F188" s="281">
        <v>3</v>
      </c>
      <c r="G188" s="282">
        <v>80.489678562500004</v>
      </c>
      <c r="H188" s="282">
        <v>82.303515885416658</v>
      </c>
      <c r="I188" s="282">
        <v>84.075268745833341</v>
      </c>
      <c r="J188" s="282">
        <v>86.756873223333344</v>
      </c>
      <c r="K188" s="282">
        <v>85.112689775277786</v>
      </c>
      <c r="L188" s="282">
        <v>85.327296171527763</v>
      </c>
      <c r="M188" s="282">
        <v>87.349056482777797</v>
      </c>
      <c r="N188" s="282">
        <v>89.280497531944448</v>
      </c>
      <c r="O188" s="282">
        <v>90.898143266666665</v>
      </c>
      <c r="P188" s="282">
        <v>90.735796713333329</v>
      </c>
      <c r="Q188" s="282">
        <v>90.257283224791664</v>
      </c>
      <c r="R188" s="283">
        <v>89.48303669583332</v>
      </c>
      <c r="S188" s="284">
        <v>961.5794577167361</v>
      </c>
      <c r="T188" s="284">
        <v>510.92470028416665</v>
      </c>
      <c r="U188" s="296">
        <f t="shared" si="4"/>
        <v>43.790457716735887</v>
      </c>
      <c r="V188" s="296">
        <f t="shared" si="5"/>
        <v>11.130700284166664</v>
      </c>
      <c r="W188" s="287">
        <v>87</v>
      </c>
      <c r="X188" s="280">
        <v>85</v>
      </c>
      <c r="Y188" s="280">
        <v>86</v>
      </c>
      <c r="Z188" s="280">
        <v>86</v>
      </c>
      <c r="AA188" s="280">
        <v>85</v>
      </c>
      <c r="AB188" s="280">
        <v>86</v>
      </c>
      <c r="AC188" s="280">
        <v>88</v>
      </c>
      <c r="AD188" s="280">
        <v>91</v>
      </c>
      <c r="AE188" s="280">
        <v>92</v>
      </c>
      <c r="AF188" s="280">
        <v>92</v>
      </c>
      <c r="AG188" s="280">
        <v>92</v>
      </c>
      <c r="AH188" s="280">
        <v>94</v>
      </c>
    </row>
    <row r="189" spans="1:34" s="1" customFormat="1" ht="13" x14ac:dyDescent="0.25">
      <c r="A189" s="280" t="s">
        <v>731</v>
      </c>
      <c r="B189" s="286">
        <v>442</v>
      </c>
      <c r="C189" s="286">
        <v>727.875</v>
      </c>
      <c r="D189" s="286">
        <v>1013.7500000000001</v>
      </c>
      <c r="E189" s="286">
        <v>1</v>
      </c>
      <c r="F189" s="281">
        <v>4</v>
      </c>
      <c r="G189" s="282">
        <v>80.489678562500004</v>
      </c>
      <c r="H189" s="282">
        <v>82.303515885416658</v>
      </c>
      <c r="I189" s="282">
        <v>84.520268745833334</v>
      </c>
      <c r="J189" s="282">
        <v>87.646873223333344</v>
      </c>
      <c r="K189" s="282">
        <v>86.447689775277794</v>
      </c>
      <c r="L189" s="282">
        <v>87.174671171527763</v>
      </c>
      <c r="M189" s="282">
        <v>89.708806482777803</v>
      </c>
      <c r="N189" s="282">
        <v>92.152622531944445</v>
      </c>
      <c r="O189" s="282">
        <v>94.332674516666671</v>
      </c>
      <c r="P189" s="282">
        <v>94.73273421333333</v>
      </c>
      <c r="Q189" s="282">
        <v>94.81662697479166</v>
      </c>
      <c r="R189" s="283">
        <v>94.604786695833312</v>
      </c>
      <c r="S189" s="284">
        <v>988.44127021673614</v>
      </c>
      <c r="T189" s="284">
        <v>517.80182528416674</v>
      </c>
      <c r="U189" s="296">
        <f t="shared" si="4"/>
        <v>70.652270216735928</v>
      </c>
      <c r="V189" s="296">
        <f t="shared" si="5"/>
        <v>18.007825284166756</v>
      </c>
      <c r="W189" s="287">
        <v>87</v>
      </c>
      <c r="X189" s="280">
        <v>85</v>
      </c>
      <c r="Y189" s="280">
        <v>87</v>
      </c>
      <c r="Z189" s="280">
        <v>88</v>
      </c>
      <c r="AA189" s="280">
        <v>88</v>
      </c>
      <c r="AB189" s="280">
        <v>90</v>
      </c>
      <c r="AC189" s="280">
        <v>93</v>
      </c>
      <c r="AD189" s="280">
        <v>97</v>
      </c>
      <c r="AE189" s="280">
        <v>99</v>
      </c>
      <c r="AF189" s="280">
        <v>100</v>
      </c>
      <c r="AG189" s="280">
        <v>101</v>
      </c>
      <c r="AH189" s="280">
        <v>104</v>
      </c>
    </row>
    <row r="190" spans="1:34" s="1" customFormat="1" ht="13" x14ac:dyDescent="0.25">
      <c r="A190" s="280" t="s">
        <v>732</v>
      </c>
      <c r="B190" s="286">
        <v>442</v>
      </c>
      <c r="C190" s="286">
        <v>727.875</v>
      </c>
      <c r="D190" s="286">
        <v>1013.7500000000001</v>
      </c>
      <c r="E190" s="286">
        <v>1</v>
      </c>
      <c r="F190" s="281">
        <v>5</v>
      </c>
      <c r="G190" s="282">
        <v>80.489678562500004</v>
      </c>
      <c r="H190" s="282">
        <v>82.303515885416658</v>
      </c>
      <c r="I190" s="282">
        <v>84.965268745833342</v>
      </c>
      <c r="J190" s="282">
        <v>88.536873223333345</v>
      </c>
      <c r="K190" s="282">
        <v>87.782689775277788</v>
      </c>
      <c r="L190" s="282">
        <v>89.022046171527762</v>
      </c>
      <c r="M190" s="282">
        <v>92.068556482777794</v>
      </c>
      <c r="N190" s="282">
        <v>95.024747531944442</v>
      </c>
      <c r="O190" s="282">
        <v>97.767205766666677</v>
      </c>
      <c r="P190" s="282">
        <v>98.729671713333332</v>
      </c>
      <c r="Q190" s="282">
        <v>99.375970724791671</v>
      </c>
      <c r="R190" s="283">
        <v>99.726536695833317</v>
      </c>
      <c r="S190" s="284">
        <v>1015.3030827167361</v>
      </c>
      <c r="T190" s="284">
        <v>524.67895028416672</v>
      </c>
      <c r="U190" s="296">
        <f t="shared" si="4"/>
        <v>97.514082716735857</v>
      </c>
      <c r="V190" s="296">
        <f t="shared" si="5"/>
        <v>24.884950284166734</v>
      </c>
      <c r="W190" s="287">
        <v>87</v>
      </c>
      <c r="X190" s="280">
        <v>85</v>
      </c>
      <c r="Y190" s="280">
        <v>88</v>
      </c>
      <c r="Z190" s="280">
        <v>90</v>
      </c>
      <c r="AA190" s="280">
        <v>91</v>
      </c>
      <c r="AB190" s="280">
        <v>94</v>
      </c>
      <c r="AC190" s="280">
        <v>98</v>
      </c>
      <c r="AD190" s="280">
        <v>103</v>
      </c>
      <c r="AE190" s="280">
        <v>106</v>
      </c>
      <c r="AF190" s="280">
        <v>108</v>
      </c>
      <c r="AG190" s="280">
        <v>110</v>
      </c>
      <c r="AH190" s="280">
        <v>114</v>
      </c>
    </row>
    <row r="191" spans="1:34" s="1" customFormat="1" ht="13" x14ac:dyDescent="0.25">
      <c r="A191" s="280" t="s">
        <v>733</v>
      </c>
      <c r="B191" s="286">
        <v>442</v>
      </c>
      <c r="C191" s="286">
        <v>727.875</v>
      </c>
      <c r="D191" s="286">
        <v>1013.7500000000001</v>
      </c>
      <c r="E191" s="286">
        <v>2</v>
      </c>
      <c r="F191" s="281">
        <v>0</v>
      </c>
      <c r="G191" s="282">
        <v>80.489678562500004</v>
      </c>
      <c r="H191" s="282">
        <v>81.04211121874998</v>
      </c>
      <c r="I191" s="282">
        <v>81.730887287499996</v>
      </c>
      <c r="J191" s="282">
        <v>82.933355140000003</v>
      </c>
      <c r="K191" s="282">
        <v>80.215582108611116</v>
      </c>
      <c r="L191" s="282">
        <v>79.401421171527772</v>
      </c>
      <c r="M191" s="282">
        <v>79.845587732777773</v>
      </c>
      <c r="N191" s="282">
        <v>80.240580865277749</v>
      </c>
      <c r="O191" s="282">
        <v>80.003820349999984</v>
      </c>
      <c r="P191" s="282">
        <v>78.32144254666666</v>
      </c>
      <c r="Q191" s="282">
        <v>76.12227280812499</v>
      </c>
      <c r="R191" s="283">
        <v>73.57164086249999</v>
      </c>
      <c r="S191" s="284">
        <v>873.42870209173589</v>
      </c>
      <c r="T191" s="284">
        <v>485.16894465916664</v>
      </c>
      <c r="U191" s="296">
        <f t="shared" si="4"/>
        <v>-44.360297908264329</v>
      </c>
      <c r="V191" s="296">
        <f t="shared" si="5"/>
        <v>-14.625055340833342</v>
      </c>
      <c r="W191" s="287">
        <v>87</v>
      </c>
      <c r="X191" s="280">
        <v>85</v>
      </c>
      <c r="Y191" s="280">
        <v>83</v>
      </c>
      <c r="Z191" s="280">
        <v>80</v>
      </c>
      <c r="AA191" s="280">
        <v>76</v>
      </c>
      <c r="AB191" s="280">
        <v>74</v>
      </c>
      <c r="AC191" s="280">
        <v>73</v>
      </c>
      <c r="AD191" s="280">
        <v>73</v>
      </c>
      <c r="AE191" s="280">
        <v>71</v>
      </c>
      <c r="AF191" s="280">
        <v>68</v>
      </c>
      <c r="AG191" s="280">
        <v>65</v>
      </c>
      <c r="AH191" s="280">
        <v>64</v>
      </c>
    </row>
    <row r="192" spans="1:34" s="1" customFormat="1" ht="13" x14ac:dyDescent="0.25">
      <c r="A192" s="280" t="s">
        <v>734</v>
      </c>
      <c r="B192" s="286">
        <v>442</v>
      </c>
      <c r="C192" s="286">
        <v>727.875</v>
      </c>
      <c r="D192" s="286">
        <v>1013.7500000000001</v>
      </c>
      <c r="E192" s="286">
        <v>2</v>
      </c>
      <c r="F192" s="281">
        <v>1</v>
      </c>
      <c r="G192" s="282">
        <v>80.489678562500004</v>
      </c>
      <c r="H192" s="282">
        <v>81.04211121874998</v>
      </c>
      <c r="I192" s="282">
        <v>82.175887287500004</v>
      </c>
      <c r="J192" s="282">
        <v>83.823355140000018</v>
      </c>
      <c r="K192" s="282">
        <v>81.55058210861111</v>
      </c>
      <c r="L192" s="282">
        <v>81.248796171527772</v>
      </c>
      <c r="M192" s="282">
        <v>82.205337732777764</v>
      </c>
      <c r="N192" s="282">
        <v>83.112705865277775</v>
      </c>
      <c r="O192" s="282">
        <v>83.438351600000004</v>
      </c>
      <c r="P192" s="282">
        <v>82.318380046666675</v>
      </c>
      <c r="Q192" s="282">
        <v>80.681616558124986</v>
      </c>
      <c r="R192" s="283">
        <v>78.693390862499982</v>
      </c>
      <c r="S192" s="284">
        <v>900.29051459173616</v>
      </c>
      <c r="T192" s="284">
        <v>492.04606965916662</v>
      </c>
      <c r="U192" s="296">
        <f t="shared" si="4"/>
        <v>-17.49848540826406</v>
      </c>
      <c r="V192" s="296">
        <f t="shared" si="5"/>
        <v>-7.7479303408333635</v>
      </c>
      <c r="W192" s="287">
        <v>87</v>
      </c>
      <c r="X192" s="280">
        <v>85</v>
      </c>
      <c r="Y192" s="280">
        <v>84</v>
      </c>
      <c r="Z192" s="280">
        <v>82</v>
      </c>
      <c r="AA192" s="280">
        <v>79</v>
      </c>
      <c r="AB192" s="280">
        <v>78</v>
      </c>
      <c r="AC192" s="280">
        <v>78</v>
      </c>
      <c r="AD192" s="280">
        <v>79</v>
      </c>
      <c r="AE192" s="280">
        <v>78</v>
      </c>
      <c r="AF192" s="280">
        <v>76</v>
      </c>
      <c r="AG192" s="280">
        <v>74</v>
      </c>
      <c r="AH192" s="280">
        <v>74</v>
      </c>
    </row>
    <row r="193" spans="1:34" s="1" customFormat="1" ht="13" x14ac:dyDescent="0.25">
      <c r="A193" s="280" t="s">
        <v>735</v>
      </c>
      <c r="B193" s="286">
        <v>442</v>
      </c>
      <c r="C193" s="286">
        <v>727.875</v>
      </c>
      <c r="D193" s="286">
        <v>1013.7500000000001</v>
      </c>
      <c r="E193" s="286">
        <v>2</v>
      </c>
      <c r="F193" s="281">
        <v>2</v>
      </c>
      <c r="G193" s="282">
        <v>80.489678562500004</v>
      </c>
      <c r="H193" s="282">
        <v>81.04211121874998</v>
      </c>
      <c r="I193" s="282">
        <v>82.620887287500011</v>
      </c>
      <c r="J193" s="282">
        <v>84.713355140000019</v>
      </c>
      <c r="K193" s="282">
        <v>82.885582108611118</v>
      </c>
      <c r="L193" s="282">
        <v>83.096171171527772</v>
      </c>
      <c r="M193" s="282">
        <v>84.565087732777769</v>
      </c>
      <c r="N193" s="282">
        <v>85.984830865277772</v>
      </c>
      <c r="O193" s="282">
        <v>86.872882849999996</v>
      </c>
      <c r="P193" s="282">
        <v>86.315317546666677</v>
      </c>
      <c r="Q193" s="282">
        <v>85.240960308125011</v>
      </c>
      <c r="R193" s="283">
        <v>83.815140862500002</v>
      </c>
      <c r="S193" s="284">
        <v>927.15232709173631</v>
      </c>
      <c r="T193" s="284">
        <v>498.92319465916671</v>
      </c>
      <c r="U193" s="296">
        <f t="shared" si="4"/>
        <v>9.363327091736096</v>
      </c>
      <c r="V193" s="296">
        <f t="shared" si="5"/>
        <v>-0.87080534083327166</v>
      </c>
      <c r="W193" s="287">
        <v>87</v>
      </c>
      <c r="X193" s="280">
        <v>85</v>
      </c>
      <c r="Y193" s="280">
        <v>85</v>
      </c>
      <c r="Z193" s="280">
        <v>84</v>
      </c>
      <c r="AA193" s="280">
        <v>82</v>
      </c>
      <c r="AB193" s="280">
        <v>82</v>
      </c>
      <c r="AC193" s="280">
        <v>83</v>
      </c>
      <c r="AD193" s="280">
        <v>85</v>
      </c>
      <c r="AE193" s="280">
        <v>85</v>
      </c>
      <c r="AF193" s="280">
        <v>84</v>
      </c>
      <c r="AG193" s="280">
        <v>83</v>
      </c>
      <c r="AH193" s="280">
        <v>84</v>
      </c>
    </row>
    <row r="194" spans="1:34" s="1" customFormat="1" ht="13" x14ac:dyDescent="0.25">
      <c r="A194" s="280" t="s">
        <v>736</v>
      </c>
      <c r="B194" s="286">
        <v>442</v>
      </c>
      <c r="C194" s="286">
        <v>727.875</v>
      </c>
      <c r="D194" s="286">
        <v>1013.7500000000001</v>
      </c>
      <c r="E194" s="286">
        <v>2</v>
      </c>
      <c r="F194" s="281">
        <v>3</v>
      </c>
      <c r="G194" s="282">
        <v>80.489678562500004</v>
      </c>
      <c r="H194" s="282">
        <v>81.04211121874998</v>
      </c>
      <c r="I194" s="282">
        <v>83.065887287500004</v>
      </c>
      <c r="J194" s="282">
        <v>85.603355140000019</v>
      </c>
      <c r="K194" s="282">
        <v>84.220582108611126</v>
      </c>
      <c r="L194" s="282">
        <v>84.943546171527771</v>
      </c>
      <c r="M194" s="282">
        <v>86.924837732777775</v>
      </c>
      <c r="N194" s="282">
        <v>88.856955865277769</v>
      </c>
      <c r="O194" s="282">
        <v>90.307414100000003</v>
      </c>
      <c r="P194" s="282">
        <v>90.312255046666678</v>
      </c>
      <c r="Q194" s="282">
        <v>89.800304058125008</v>
      </c>
      <c r="R194" s="283">
        <v>88.936890862500007</v>
      </c>
      <c r="S194" s="284">
        <v>954.01413959173613</v>
      </c>
      <c r="T194" s="284">
        <v>505.80031965916669</v>
      </c>
      <c r="U194" s="296">
        <f t="shared" si="4"/>
        <v>36.22513959173591</v>
      </c>
      <c r="V194" s="296">
        <f t="shared" si="5"/>
        <v>6.0063196591667065</v>
      </c>
      <c r="W194" s="287">
        <v>87</v>
      </c>
      <c r="X194" s="280">
        <v>85</v>
      </c>
      <c r="Y194" s="280">
        <v>86</v>
      </c>
      <c r="Z194" s="280">
        <v>86</v>
      </c>
      <c r="AA194" s="280">
        <v>85</v>
      </c>
      <c r="AB194" s="280">
        <v>86</v>
      </c>
      <c r="AC194" s="280">
        <v>88</v>
      </c>
      <c r="AD194" s="280">
        <v>91</v>
      </c>
      <c r="AE194" s="280">
        <v>92</v>
      </c>
      <c r="AF194" s="280">
        <v>92</v>
      </c>
      <c r="AG194" s="280">
        <v>92</v>
      </c>
      <c r="AH194" s="280">
        <v>94</v>
      </c>
    </row>
    <row r="195" spans="1:34" s="1" customFormat="1" ht="13" x14ac:dyDescent="0.25">
      <c r="A195" s="280" t="s">
        <v>737</v>
      </c>
      <c r="B195" s="286">
        <v>442</v>
      </c>
      <c r="C195" s="286">
        <v>727.875</v>
      </c>
      <c r="D195" s="286">
        <v>1013.7500000000001</v>
      </c>
      <c r="E195" s="286">
        <v>2</v>
      </c>
      <c r="F195" s="281">
        <v>4</v>
      </c>
      <c r="G195" s="282">
        <v>80.489678562500004</v>
      </c>
      <c r="H195" s="282">
        <v>81.04211121874998</v>
      </c>
      <c r="I195" s="282">
        <v>83.510887287500012</v>
      </c>
      <c r="J195" s="282">
        <v>86.49335514000002</v>
      </c>
      <c r="K195" s="282">
        <v>85.555582108611119</v>
      </c>
      <c r="L195" s="282">
        <v>86.790921171527771</v>
      </c>
      <c r="M195" s="282">
        <v>89.28458773277778</v>
      </c>
      <c r="N195" s="282">
        <v>91.729080865277766</v>
      </c>
      <c r="O195" s="282">
        <v>93.741945349999995</v>
      </c>
      <c r="P195" s="282">
        <v>94.309192546666679</v>
      </c>
      <c r="Q195" s="282">
        <v>94.359647808125004</v>
      </c>
      <c r="R195" s="283">
        <v>94.058640862499999</v>
      </c>
      <c r="S195" s="284">
        <v>980.87595209173628</v>
      </c>
      <c r="T195" s="284">
        <v>512.67744465916667</v>
      </c>
      <c r="U195" s="296">
        <f t="shared" si="4"/>
        <v>63.086952091736066</v>
      </c>
      <c r="V195" s="296">
        <f t="shared" si="5"/>
        <v>12.883444659166685</v>
      </c>
      <c r="W195" s="287">
        <v>87</v>
      </c>
      <c r="X195" s="280">
        <v>85</v>
      </c>
      <c r="Y195" s="280">
        <v>87</v>
      </c>
      <c r="Z195" s="280">
        <v>88</v>
      </c>
      <c r="AA195" s="280">
        <v>88</v>
      </c>
      <c r="AB195" s="280">
        <v>90</v>
      </c>
      <c r="AC195" s="280">
        <v>93</v>
      </c>
      <c r="AD195" s="280">
        <v>97</v>
      </c>
      <c r="AE195" s="280">
        <v>99</v>
      </c>
      <c r="AF195" s="280">
        <v>100</v>
      </c>
      <c r="AG195" s="280">
        <v>101</v>
      </c>
      <c r="AH195" s="280">
        <v>104</v>
      </c>
    </row>
    <row r="196" spans="1:34" s="1" customFormat="1" ht="13" x14ac:dyDescent="0.25">
      <c r="A196" s="280" t="s">
        <v>738</v>
      </c>
      <c r="B196" s="286">
        <v>442</v>
      </c>
      <c r="C196" s="286">
        <v>727.875</v>
      </c>
      <c r="D196" s="286">
        <v>1013.7500000000001</v>
      </c>
      <c r="E196" s="286">
        <v>2</v>
      </c>
      <c r="F196" s="281">
        <v>5</v>
      </c>
      <c r="G196" s="282">
        <v>80.489678562500004</v>
      </c>
      <c r="H196" s="282">
        <v>81.04211121874998</v>
      </c>
      <c r="I196" s="282">
        <v>83.955887287500005</v>
      </c>
      <c r="J196" s="282">
        <v>87.38335514000002</v>
      </c>
      <c r="K196" s="282">
        <v>86.890582108611127</v>
      </c>
      <c r="L196" s="282">
        <v>88.63829617152777</v>
      </c>
      <c r="M196" s="282">
        <v>91.644337732777785</v>
      </c>
      <c r="N196" s="282">
        <v>94.601205865277777</v>
      </c>
      <c r="O196" s="282">
        <v>97.176476600000001</v>
      </c>
      <c r="P196" s="282">
        <v>98.306130046666681</v>
      </c>
      <c r="Q196" s="282">
        <v>98.918991558125001</v>
      </c>
      <c r="R196" s="283">
        <v>99.180390862500005</v>
      </c>
      <c r="S196" s="284">
        <v>1007.737764591736</v>
      </c>
      <c r="T196" s="284">
        <v>519.55456965916665</v>
      </c>
      <c r="U196" s="296">
        <f t="shared" si="4"/>
        <v>89.948764591735767</v>
      </c>
      <c r="V196" s="296">
        <f t="shared" si="5"/>
        <v>19.760569659166663</v>
      </c>
      <c r="W196" s="287">
        <v>87</v>
      </c>
      <c r="X196" s="280">
        <v>85</v>
      </c>
      <c r="Y196" s="280">
        <v>88</v>
      </c>
      <c r="Z196" s="280">
        <v>90</v>
      </c>
      <c r="AA196" s="280">
        <v>91</v>
      </c>
      <c r="AB196" s="280">
        <v>94</v>
      </c>
      <c r="AC196" s="280">
        <v>98</v>
      </c>
      <c r="AD196" s="280">
        <v>103</v>
      </c>
      <c r="AE196" s="280">
        <v>106</v>
      </c>
      <c r="AF196" s="280">
        <v>108</v>
      </c>
      <c r="AG196" s="280">
        <v>110</v>
      </c>
      <c r="AH196" s="280">
        <v>114</v>
      </c>
    </row>
    <row r="197" spans="1:34" s="1" customFormat="1" ht="13" x14ac:dyDescent="0.25">
      <c r="A197" s="280" t="s">
        <v>739</v>
      </c>
      <c r="B197" s="286">
        <v>442</v>
      </c>
      <c r="C197" s="286">
        <v>727.875</v>
      </c>
      <c r="D197" s="286">
        <v>1013.7500000000001</v>
      </c>
      <c r="E197" s="286">
        <v>3</v>
      </c>
      <c r="F197" s="281">
        <v>0</v>
      </c>
      <c r="G197" s="282">
        <v>80.489678562500004</v>
      </c>
      <c r="H197" s="282">
        <v>80.545162838194443</v>
      </c>
      <c r="I197" s="282">
        <v>80.958697801388865</v>
      </c>
      <c r="J197" s="282">
        <v>82.342871251111106</v>
      </c>
      <c r="K197" s="282">
        <v>79.498533497500006</v>
      </c>
      <c r="L197" s="282">
        <v>78.896143393749981</v>
      </c>
      <c r="M197" s="282">
        <v>79.435049538333331</v>
      </c>
      <c r="N197" s="282">
        <v>79.846761420833303</v>
      </c>
      <c r="O197" s="282">
        <v>79.524549516666653</v>
      </c>
      <c r="P197" s="282">
        <v>77.786442546666663</v>
      </c>
      <c r="Q197" s="282">
        <v>75.687585308124994</v>
      </c>
      <c r="R197" s="283">
        <v>73.084939473611101</v>
      </c>
      <c r="S197" s="284">
        <v>867.60673658618043</v>
      </c>
      <c r="T197" s="284">
        <v>481.67645832027773</v>
      </c>
      <c r="U197" s="296">
        <f t="shared" ref="U197:U260" si="6">S197-S$3</f>
        <v>-50.182263413819783</v>
      </c>
      <c r="V197" s="296">
        <f t="shared" ref="V197:V260" si="7">T197-T$3</f>
        <v>-18.117541679722251</v>
      </c>
      <c r="W197" s="287">
        <v>87</v>
      </c>
      <c r="X197" s="280">
        <v>85</v>
      </c>
      <c r="Y197" s="280">
        <v>83</v>
      </c>
      <c r="Z197" s="280">
        <v>80</v>
      </c>
      <c r="AA197" s="280">
        <v>76</v>
      </c>
      <c r="AB197" s="280">
        <v>74</v>
      </c>
      <c r="AC197" s="280">
        <v>73</v>
      </c>
      <c r="AD197" s="280">
        <v>73</v>
      </c>
      <c r="AE197" s="280">
        <v>71</v>
      </c>
      <c r="AF197" s="280">
        <v>68</v>
      </c>
      <c r="AG197" s="280">
        <v>65</v>
      </c>
      <c r="AH197" s="280">
        <v>64</v>
      </c>
    </row>
    <row r="198" spans="1:34" s="1" customFormat="1" ht="13" x14ac:dyDescent="0.25">
      <c r="A198" s="280" t="s">
        <v>740</v>
      </c>
      <c r="B198" s="286">
        <v>442</v>
      </c>
      <c r="C198" s="286">
        <v>727.875</v>
      </c>
      <c r="D198" s="286">
        <v>1013.7500000000001</v>
      </c>
      <c r="E198" s="286">
        <v>3</v>
      </c>
      <c r="F198" s="281">
        <v>1</v>
      </c>
      <c r="G198" s="282">
        <v>80.489678562500004</v>
      </c>
      <c r="H198" s="282">
        <v>80.545162838194443</v>
      </c>
      <c r="I198" s="282">
        <v>81.403697801388873</v>
      </c>
      <c r="J198" s="282">
        <v>83.232871251111106</v>
      </c>
      <c r="K198" s="282">
        <v>80.833533497499999</v>
      </c>
      <c r="L198" s="282">
        <v>80.74351839374998</v>
      </c>
      <c r="M198" s="282">
        <v>81.794799538333336</v>
      </c>
      <c r="N198" s="282">
        <v>82.718886420833314</v>
      </c>
      <c r="O198" s="282">
        <v>82.959080766666673</v>
      </c>
      <c r="P198" s="282">
        <v>81.78338004666665</v>
      </c>
      <c r="Q198" s="282">
        <v>80.246929058124991</v>
      </c>
      <c r="R198" s="283">
        <v>78.206689473611092</v>
      </c>
      <c r="S198" s="284">
        <v>894.46854908618047</v>
      </c>
      <c r="T198" s="284">
        <v>488.55358332027771</v>
      </c>
      <c r="U198" s="296">
        <f t="shared" si="6"/>
        <v>-23.320450913819741</v>
      </c>
      <c r="V198" s="296">
        <f t="shared" si="7"/>
        <v>-11.240416679722273</v>
      </c>
      <c r="W198" s="287">
        <v>87</v>
      </c>
      <c r="X198" s="280">
        <v>85</v>
      </c>
      <c r="Y198" s="280">
        <v>84</v>
      </c>
      <c r="Z198" s="280">
        <v>82</v>
      </c>
      <c r="AA198" s="280">
        <v>79</v>
      </c>
      <c r="AB198" s="280">
        <v>78</v>
      </c>
      <c r="AC198" s="280">
        <v>78</v>
      </c>
      <c r="AD198" s="280">
        <v>79</v>
      </c>
      <c r="AE198" s="280">
        <v>78</v>
      </c>
      <c r="AF198" s="280">
        <v>76</v>
      </c>
      <c r="AG198" s="280">
        <v>74</v>
      </c>
      <c r="AH198" s="280">
        <v>74</v>
      </c>
    </row>
    <row r="199" spans="1:34" s="1" customFormat="1" ht="13" x14ac:dyDescent="0.25">
      <c r="A199" s="280" t="s">
        <v>741</v>
      </c>
      <c r="B199" s="286">
        <v>442</v>
      </c>
      <c r="C199" s="286">
        <v>727.875</v>
      </c>
      <c r="D199" s="286">
        <v>1013.7500000000001</v>
      </c>
      <c r="E199" s="286">
        <v>3</v>
      </c>
      <c r="F199" s="281">
        <v>2</v>
      </c>
      <c r="G199" s="282">
        <v>80.489678562500004</v>
      </c>
      <c r="H199" s="282">
        <v>80.545162838194443</v>
      </c>
      <c r="I199" s="282">
        <v>81.848697801388866</v>
      </c>
      <c r="J199" s="282">
        <v>84.122871251111107</v>
      </c>
      <c r="K199" s="282">
        <v>82.168533497500007</v>
      </c>
      <c r="L199" s="282">
        <v>82.59089339374998</v>
      </c>
      <c r="M199" s="282">
        <v>84.154549538333342</v>
      </c>
      <c r="N199" s="282">
        <v>85.591011420833311</v>
      </c>
      <c r="O199" s="282">
        <v>86.393612016666665</v>
      </c>
      <c r="P199" s="282">
        <v>85.780317546666652</v>
      </c>
      <c r="Q199" s="282">
        <v>84.806272808125001</v>
      </c>
      <c r="R199" s="283">
        <v>83.328439473611112</v>
      </c>
      <c r="S199" s="284">
        <v>921.3303615861804</v>
      </c>
      <c r="T199" s="284">
        <v>495.43070832027774</v>
      </c>
      <c r="U199" s="296">
        <f t="shared" si="6"/>
        <v>3.5413615861801873</v>
      </c>
      <c r="V199" s="296">
        <f t="shared" si="7"/>
        <v>-4.3632916797222379</v>
      </c>
      <c r="W199" s="287">
        <v>87</v>
      </c>
      <c r="X199" s="280">
        <v>85</v>
      </c>
      <c r="Y199" s="280">
        <v>85</v>
      </c>
      <c r="Z199" s="280">
        <v>84</v>
      </c>
      <c r="AA199" s="280">
        <v>82</v>
      </c>
      <c r="AB199" s="280">
        <v>82</v>
      </c>
      <c r="AC199" s="280">
        <v>83</v>
      </c>
      <c r="AD199" s="280">
        <v>85</v>
      </c>
      <c r="AE199" s="280">
        <v>85</v>
      </c>
      <c r="AF199" s="280">
        <v>84</v>
      </c>
      <c r="AG199" s="280">
        <v>83</v>
      </c>
      <c r="AH199" s="280">
        <v>84</v>
      </c>
    </row>
    <row r="200" spans="1:34" s="1" customFormat="1" ht="13" x14ac:dyDescent="0.25">
      <c r="A200" s="280" t="s">
        <v>742</v>
      </c>
      <c r="B200" s="286">
        <v>442</v>
      </c>
      <c r="C200" s="286">
        <v>727.875</v>
      </c>
      <c r="D200" s="286">
        <v>1013.7500000000001</v>
      </c>
      <c r="E200" s="286">
        <v>3</v>
      </c>
      <c r="F200" s="281">
        <v>3</v>
      </c>
      <c r="G200" s="282">
        <v>80.489678562500004</v>
      </c>
      <c r="H200" s="282">
        <v>80.545162838194443</v>
      </c>
      <c r="I200" s="282">
        <v>82.293697801388873</v>
      </c>
      <c r="J200" s="282">
        <v>85.012871251111108</v>
      </c>
      <c r="K200" s="282">
        <v>83.503533497500015</v>
      </c>
      <c r="L200" s="282">
        <v>84.438268393749993</v>
      </c>
      <c r="M200" s="282">
        <v>86.514299538333347</v>
      </c>
      <c r="N200" s="282">
        <v>88.463136420833337</v>
      </c>
      <c r="O200" s="282">
        <v>89.828143266666672</v>
      </c>
      <c r="P200" s="282">
        <v>89.777255046666653</v>
      </c>
      <c r="Q200" s="282">
        <v>89.365616558125012</v>
      </c>
      <c r="R200" s="283">
        <v>88.450189473611118</v>
      </c>
      <c r="S200" s="284">
        <v>948.19217408618044</v>
      </c>
      <c r="T200" s="284">
        <v>502.30783332027772</v>
      </c>
      <c r="U200" s="296">
        <f t="shared" si="6"/>
        <v>30.403174086180229</v>
      </c>
      <c r="V200" s="296">
        <f t="shared" si="7"/>
        <v>2.5138333202777403</v>
      </c>
      <c r="W200" s="287">
        <v>87</v>
      </c>
      <c r="X200" s="280">
        <v>85</v>
      </c>
      <c r="Y200" s="280">
        <v>86</v>
      </c>
      <c r="Z200" s="280">
        <v>86</v>
      </c>
      <c r="AA200" s="280">
        <v>85</v>
      </c>
      <c r="AB200" s="280">
        <v>86</v>
      </c>
      <c r="AC200" s="280">
        <v>88</v>
      </c>
      <c r="AD200" s="280">
        <v>91</v>
      </c>
      <c r="AE200" s="280">
        <v>92</v>
      </c>
      <c r="AF200" s="280">
        <v>92</v>
      </c>
      <c r="AG200" s="280">
        <v>92</v>
      </c>
      <c r="AH200" s="280">
        <v>94</v>
      </c>
    </row>
    <row r="201" spans="1:34" s="1" customFormat="1" ht="13" x14ac:dyDescent="0.25">
      <c r="A201" s="280" t="s">
        <v>743</v>
      </c>
      <c r="B201" s="286">
        <v>442</v>
      </c>
      <c r="C201" s="286">
        <v>727.875</v>
      </c>
      <c r="D201" s="286">
        <v>1013.7500000000001</v>
      </c>
      <c r="E201" s="286">
        <v>3</v>
      </c>
      <c r="F201" s="281">
        <v>4</v>
      </c>
      <c r="G201" s="282">
        <v>80.489678562500004</v>
      </c>
      <c r="H201" s="282">
        <v>80.545162838194443</v>
      </c>
      <c r="I201" s="282">
        <v>82.738697801388867</v>
      </c>
      <c r="J201" s="282">
        <v>85.902871251111108</v>
      </c>
      <c r="K201" s="282">
        <v>84.838533497500023</v>
      </c>
      <c r="L201" s="282">
        <v>86.285643393749993</v>
      </c>
      <c r="M201" s="282">
        <v>88.874049538333338</v>
      </c>
      <c r="N201" s="282">
        <v>91.335261420833334</v>
      </c>
      <c r="O201" s="282">
        <v>93.262674516666678</v>
      </c>
      <c r="P201" s="282">
        <v>93.77419254666664</v>
      </c>
      <c r="Q201" s="282">
        <v>93.924960308125009</v>
      </c>
      <c r="R201" s="283">
        <v>93.57193947361111</v>
      </c>
      <c r="S201" s="284">
        <v>975.0539865861806</v>
      </c>
      <c r="T201" s="284">
        <v>509.18495832027776</v>
      </c>
      <c r="U201" s="296">
        <f t="shared" si="6"/>
        <v>57.264986586180385</v>
      </c>
      <c r="V201" s="296">
        <f t="shared" si="7"/>
        <v>9.3909583202777753</v>
      </c>
      <c r="W201" s="287">
        <v>87</v>
      </c>
      <c r="X201" s="280">
        <v>85</v>
      </c>
      <c r="Y201" s="280">
        <v>87</v>
      </c>
      <c r="Z201" s="280">
        <v>88</v>
      </c>
      <c r="AA201" s="280">
        <v>88</v>
      </c>
      <c r="AB201" s="280">
        <v>90</v>
      </c>
      <c r="AC201" s="280">
        <v>93</v>
      </c>
      <c r="AD201" s="280">
        <v>97</v>
      </c>
      <c r="AE201" s="280">
        <v>99</v>
      </c>
      <c r="AF201" s="280">
        <v>100</v>
      </c>
      <c r="AG201" s="280">
        <v>101</v>
      </c>
      <c r="AH201" s="280">
        <v>104</v>
      </c>
    </row>
    <row r="202" spans="1:34" s="1" customFormat="1" ht="13" x14ac:dyDescent="0.25">
      <c r="A202" s="280" t="s">
        <v>744</v>
      </c>
      <c r="B202" s="286">
        <v>442</v>
      </c>
      <c r="C202" s="286">
        <v>727.875</v>
      </c>
      <c r="D202" s="286">
        <v>1013.7500000000001</v>
      </c>
      <c r="E202" s="286">
        <v>3</v>
      </c>
      <c r="F202" s="281">
        <v>5</v>
      </c>
      <c r="G202" s="282">
        <v>80.489678562500004</v>
      </c>
      <c r="H202" s="282">
        <v>80.545162838194443</v>
      </c>
      <c r="I202" s="282">
        <v>83.183697801388874</v>
      </c>
      <c r="J202" s="282">
        <v>86.792871251111109</v>
      </c>
      <c r="K202" s="282">
        <v>86.173533497500017</v>
      </c>
      <c r="L202" s="282">
        <v>88.133018393750007</v>
      </c>
      <c r="M202" s="282">
        <v>91.233799538333344</v>
      </c>
      <c r="N202" s="282">
        <v>94.20738642083333</v>
      </c>
      <c r="O202" s="282">
        <v>96.69720576666667</v>
      </c>
      <c r="P202" s="282">
        <v>97.771130046666642</v>
      </c>
      <c r="Q202" s="282">
        <v>98.484304058125005</v>
      </c>
      <c r="R202" s="283">
        <v>98.693689473611116</v>
      </c>
      <c r="S202" s="284">
        <v>1001.9157990861805</v>
      </c>
      <c r="T202" s="284">
        <v>516.06208332027779</v>
      </c>
      <c r="U202" s="296">
        <f t="shared" si="6"/>
        <v>84.126799086180313</v>
      </c>
      <c r="V202" s="296">
        <f t="shared" si="7"/>
        <v>16.26808332027781</v>
      </c>
      <c r="W202" s="287">
        <v>87</v>
      </c>
      <c r="X202" s="280">
        <v>85</v>
      </c>
      <c r="Y202" s="280">
        <v>88</v>
      </c>
      <c r="Z202" s="280">
        <v>90</v>
      </c>
      <c r="AA202" s="280">
        <v>91</v>
      </c>
      <c r="AB202" s="280">
        <v>94</v>
      </c>
      <c r="AC202" s="280">
        <v>98</v>
      </c>
      <c r="AD202" s="280">
        <v>103</v>
      </c>
      <c r="AE202" s="280">
        <v>106</v>
      </c>
      <c r="AF202" s="280">
        <v>108</v>
      </c>
      <c r="AG202" s="280">
        <v>110</v>
      </c>
      <c r="AH202" s="280">
        <v>114</v>
      </c>
    </row>
    <row r="203" spans="1:34" s="1" customFormat="1" ht="13" x14ac:dyDescent="0.25">
      <c r="A203" s="280" t="s">
        <v>745</v>
      </c>
      <c r="B203" s="286">
        <v>442</v>
      </c>
      <c r="C203" s="286">
        <v>727.875</v>
      </c>
      <c r="D203" s="286">
        <v>1013.7500000000001</v>
      </c>
      <c r="E203" s="286">
        <v>4</v>
      </c>
      <c r="F203" s="281">
        <v>0</v>
      </c>
      <c r="G203" s="282">
        <v>80.489678562500004</v>
      </c>
      <c r="H203" s="282">
        <v>80.273947560416673</v>
      </c>
      <c r="I203" s="282">
        <v>80.488344391666658</v>
      </c>
      <c r="J203" s="282">
        <v>81.752973306666647</v>
      </c>
      <c r="K203" s="282">
        <v>78.970685608611106</v>
      </c>
      <c r="L203" s="282">
        <v>78.351188504861099</v>
      </c>
      <c r="M203" s="282">
        <v>78.984572107777765</v>
      </c>
      <c r="N203" s="282">
        <v>79.482664198611104</v>
      </c>
      <c r="O203" s="282">
        <v>79.095434933333308</v>
      </c>
      <c r="P203" s="282">
        <v>77.307171713333332</v>
      </c>
      <c r="Q203" s="282">
        <v>75.174876974791644</v>
      </c>
      <c r="R203" s="283">
        <v>72.62981794583331</v>
      </c>
      <c r="S203" s="284">
        <v>862.51167724590277</v>
      </c>
      <c r="T203" s="284">
        <v>478.82171147999998</v>
      </c>
      <c r="U203" s="296">
        <f t="shared" si="6"/>
        <v>-55.27732275409744</v>
      </c>
      <c r="V203" s="296">
        <f t="shared" si="7"/>
        <v>-20.972288520000006</v>
      </c>
      <c r="W203" s="287">
        <v>87</v>
      </c>
      <c r="X203" s="280">
        <v>85</v>
      </c>
      <c r="Y203" s="280">
        <v>83</v>
      </c>
      <c r="Z203" s="280">
        <v>80</v>
      </c>
      <c r="AA203" s="280">
        <v>76</v>
      </c>
      <c r="AB203" s="280">
        <v>74</v>
      </c>
      <c r="AC203" s="280">
        <v>73</v>
      </c>
      <c r="AD203" s="280">
        <v>73</v>
      </c>
      <c r="AE203" s="280">
        <v>71</v>
      </c>
      <c r="AF203" s="280">
        <v>68</v>
      </c>
      <c r="AG203" s="280">
        <v>65</v>
      </c>
      <c r="AH203" s="280">
        <v>64</v>
      </c>
    </row>
    <row r="204" spans="1:34" s="1" customFormat="1" ht="13" x14ac:dyDescent="0.25">
      <c r="A204" s="280" t="s">
        <v>746</v>
      </c>
      <c r="B204" s="286">
        <v>442</v>
      </c>
      <c r="C204" s="286">
        <v>727.875</v>
      </c>
      <c r="D204" s="286">
        <v>1013.7500000000001</v>
      </c>
      <c r="E204" s="286">
        <v>4</v>
      </c>
      <c r="F204" s="281">
        <v>1</v>
      </c>
      <c r="G204" s="282">
        <v>80.489678562500004</v>
      </c>
      <c r="H204" s="282">
        <v>80.273947560416673</v>
      </c>
      <c r="I204" s="282">
        <v>80.933344391666651</v>
      </c>
      <c r="J204" s="282">
        <v>82.642973306666661</v>
      </c>
      <c r="K204" s="282">
        <v>80.305685608611114</v>
      </c>
      <c r="L204" s="282">
        <v>80.198563504861099</v>
      </c>
      <c r="M204" s="282">
        <v>81.344322107777771</v>
      </c>
      <c r="N204" s="282">
        <v>82.354789198611101</v>
      </c>
      <c r="O204" s="282">
        <v>82.529966183333315</v>
      </c>
      <c r="P204" s="282">
        <v>81.304109213333334</v>
      </c>
      <c r="Q204" s="282">
        <v>79.734220724791655</v>
      </c>
      <c r="R204" s="283">
        <v>77.751567945833315</v>
      </c>
      <c r="S204" s="284">
        <v>889.37348974590259</v>
      </c>
      <c r="T204" s="284">
        <v>485.69883647999995</v>
      </c>
      <c r="U204" s="296">
        <f t="shared" si="6"/>
        <v>-28.415510254097626</v>
      </c>
      <c r="V204" s="296">
        <f t="shared" si="7"/>
        <v>-14.095163520000028</v>
      </c>
      <c r="W204" s="287">
        <v>87</v>
      </c>
      <c r="X204" s="280">
        <v>85</v>
      </c>
      <c r="Y204" s="280">
        <v>84</v>
      </c>
      <c r="Z204" s="280">
        <v>82</v>
      </c>
      <c r="AA204" s="280">
        <v>79</v>
      </c>
      <c r="AB204" s="280">
        <v>78</v>
      </c>
      <c r="AC204" s="280">
        <v>78</v>
      </c>
      <c r="AD204" s="280">
        <v>79</v>
      </c>
      <c r="AE204" s="280">
        <v>78</v>
      </c>
      <c r="AF204" s="280">
        <v>76</v>
      </c>
      <c r="AG204" s="280">
        <v>74</v>
      </c>
      <c r="AH204" s="280">
        <v>74</v>
      </c>
    </row>
    <row r="205" spans="1:34" s="1" customFormat="1" ht="13" x14ac:dyDescent="0.25">
      <c r="A205" s="280" t="s">
        <v>747</v>
      </c>
      <c r="B205" s="286">
        <v>442</v>
      </c>
      <c r="C205" s="286">
        <v>727.875</v>
      </c>
      <c r="D205" s="286">
        <v>1013.7500000000001</v>
      </c>
      <c r="E205" s="286">
        <v>4</v>
      </c>
      <c r="F205" s="281">
        <v>2</v>
      </c>
      <c r="G205" s="282">
        <v>80.489678562500004</v>
      </c>
      <c r="H205" s="282">
        <v>80.273947560416673</v>
      </c>
      <c r="I205" s="282">
        <v>81.378344391666658</v>
      </c>
      <c r="J205" s="282">
        <v>83.532973306666662</v>
      </c>
      <c r="K205" s="282">
        <v>81.640685608611108</v>
      </c>
      <c r="L205" s="282">
        <v>82.045938504861098</v>
      </c>
      <c r="M205" s="282">
        <v>83.704072107777762</v>
      </c>
      <c r="N205" s="282">
        <v>85.226914198611112</v>
      </c>
      <c r="O205" s="282">
        <v>85.964497433333335</v>
      </c>
      <c r="P205" s="282">
        <v>85.301046713333335</v>
      </c>
      <c r="Q205" s="282">
        <v>84.293564474791665</v>
      </c>
      <c r="R205" s="283">
        <v>82.873317945833321</v>
      </c>
      <c r="S205" s="284">
        <v>916.23530224590263</v>
      </c>
      <c r="T205" s="284">
        <v>492.57596147999993</v>
      </c>
      <c r="U205" s="296">
        <f t="shared" si="6"/>
        <v>-1.553697754097584</v>
      </c>
      <c r="V205" s="296">
        <f t="shared" si="7"/>
        <v>-7.2180385200000501</v>
      </c>
      <c r="W205" s="287">
        <v>87</v>
      </c>
      <c r="X205" s="280">
        <v>85</v>
      </c>
      <c r="Y205" s="280">
        <v>85</v>
      </c>
      <c r="Z205" s="280">
        <v>84</v>
      </c>
      <c r="AA205" s="280">
        <v>82</v>
      </c>
      <c r="AB205" s="280">
        <v>82</v>
      </c>
      <c r="AC205" s="280">
        <v>83</v>
      </c>
      <c r="AD205" s="280">
        <v>85</v>
      </c>
      <c r="AE205" s="280">
        <v>85</v>
      </c>
      <c r="AF205" s="280">
        <v>84</v>
      </c>
      <c r="AG205" s="280">
        <v>83</v>
      </c>
      <c r="AH205" s="280">
        <v>84</v>
      </c>
    </row>
    <row r="206" spans="1:34" s="1" customFormat="1" ht="13" x14ac:dyDescent="0.25">
      <c r="A206" s="280" t="s">
        <v>748</v>
      </c>
      <c r="B206" s="286">
        <v>442</v>
      </c>
      <c r="C206" s="286">
        <v>727.875</v>
      </c>
      <c r="D206" s="286">
        <v>1013.7500000000001</v>
      </c>
      <c r="E206" s="286">
        <v>4</v>
      </c>
      <c r="F206" s="281">
        <v>3</v>
      </c>
      <c r="G206" s="282">
        <v>80.489678562500004</v>
      </c>
      <c r="H206" s="282">
        <v>80.273947560416673</v>
      </c>
      <c r="I206" s="282">
        <v>81.823344391666666</v>
      </c>
      <c r="J206" s="282">
        <v>84.422973306666663</v>
      </c>
      <c r="K206" s="282">
        <v>82.975685608611116</v>
      </c>
      <c r="L206" s="282">
        <v>83.893313504861098</v>
      </c>
      <c r="M206" s="282">
        <v>86.063822107777767</v>
      </c>
      <c r="N206" s="282">
        <v>88.099039198611109</v>
      </c>
      <c r="O206" s="282">
        <v>89.399028683333327</v>
      </c>
      <c r="P206" s="282">
        <v>89.297984213333336</v>
      </c>
      <c r="Q206" s="282">
        <v>88.852908224791662</v>
      </c>
      <c r="R206" s="283">
        <v>87.995067945833313</v>
      </c>
      <c r="S206" s="284">
        <v>943.09711474590279</v>
      </c>
      <c r="T206" s="284">
        <v>499.45308647999997</v>
      </c>
      <c r="U206" s="296">
        <f t="shared" si="6"/>
        <v>25.308114745902571</v>
      </c>
      <c r="V206" s="296">
        <f t="shared" si="7"/>
        <v>-0.34091352000001507</v>
      </c>
      <c r="W206" s="287">
        <v>87</v>
      </c>
      <c r="X206" s="280">
        <v>85</v>
      </c>
      <c r="Y206" s="280">
        <v>86</v>
      </c>
      <c r="Z206" s="280">
        <v>86</v>
      </c>
      <c r="AA206" s="280">
        <v>85</v>
      </c>
      <c r="AB206" s="280">
        <v>86</v>
      </c>
      <c r="AC206" s="280">
        <v>88</v>
      </c>
      <c r="AD206" s="280">
        <v>91</v>
      </c>
      <c r="AE206" s="280">
        <v>92</v>
      </c>
      <c r="AF206" s="280">
        <v>92</v>
      </c>
      <c r="AG206" s="280">
        <v>92</v>
      </c>
      <c r="AH206" s="280">
        <v>94</v>
      </c>
    </row>
    <row r="207" spans="1:34" s="1" customFormat="1" ht="13" x14ac:dyDescent="0.25">
      <c r="A207" s="280" t="s">
        <v>749</v>
      </c>
      <c r="B207" s="286">
        <v>442</v>
      </c>
      <c r="C207" s="286">
        <v>727.875</v>
      </c>
      <c r="D207" s="286">
        <v>1013.7500000000001</v>
      </c>
      <c r="E207" s="286">
        <v>4</v>
      </c>
      <c r="F207" s="281">
        <v>4</v>
      </c>
      <c r="G207" s="282">
        <v>80.489678562500004</v>
      </c>
      <c r="H207" s="282">
        <v>80.273947560416673</v>
      </c>
      <c r="I207" s="282">
        <v>82.268344391666673</v>
      </c>
      <c r="J207" s="282">
        <v>85.312973306666663</v>
      </c>
      <c r="K207" s="282">
        <v>84.310685608611124</v>
      </c>
      <c r="L207" s="282">
        <v>85.740688504861097</v>
      </c>
      <c r="M207" s="282">
        <v>88.423572107777787</v>
      </c>
      <c r="N207" s="282">
        <v>90.97116419861112</v>
      </c>
      <c r="O207" s="282">
        <v>92.833559933333333</v>
      </c>
      <c r="P207" s="282">
        <v>93.294921713333338</v>
      </c>
      <c r="Q207" s="282">
        <v>93.412251974791658</v>
      </c>
      <c r="R207" s="283">
        <v>93.116817945833319</v>
      </c>
      <c r="S207" s="284">
        <v>969.95892724590271</v>
      </c>
      <c r="T207" s="284">
        <v>506.33021148000006</v>
      </c>
      <c r="U207" s="296">
        <f t="shared" si="6"/>
        <v>52.1699272459025</v>
      </c>
      <c r="V207" s="296">
        <f t="shared" si="7"/>
        <v>6.5362114800000768</v>
      </c>
      <c r="W207" s="287">
        <v>87</v>
      </c>
      <c r="X207" s="280">
        <v>85</v>
      </c>
      <c r="Y207" s="280">
        <v>87</v>
      </c>
      <c r="Z207" s="280">
        <v>88</v>
      </c>
      <c r="AA207" s="280">
        <v>88</v>
      </c>
      <c r="AB207" s="280">
        <v>90</v>
      </c>
      <c r="AC207" s="280">
        <v>93</v>
      </c>
      <c r="AD207" s="280">
        <v>97</v>
      </c>
      <c r="AE207" s="280">
        <v>99</v>
      </c>
      <c r="AF207" s="280">
        <v>100</v>
      </c>
      <c r="AG207" s="280">
        <v>101</v>
      </c>
      <c r="AH207" s="280">
        <v>104</v>
      </c>
    </row>
    <row r="208" spans="1:34" s="1" customFormat="1" ht="13" x14ac:dyDescent="0.25">
      <c r="A208" s="280" t="s">
        <v>750</v>
      </c>
      <c r="B208" s="286">
        <v>442</v>
      </c>
      <c r="C208" s="286">
        <v>727.875</v>
      </c>
      <c r="D208" s="286">
        <v>1013.7500000000001</v>
      </c>
      <c r="E208" s="286">
        <v>4</v>
      </c>
      <c r="F208" s="281">
        <v>5</v>
      </c>
      <c r="G208" s="282">
        <v>80.489678562500004</v>
      </c>
      <c r="H208" s="282">
        <v>80.273947560416673</v>
      </c>
      <c r="I208" s="282">
        <v>82.713344391666666</v>
      </c>
      <c r="J208" s="282">
        <v>86.202973306666664</v>
      </c>
      <c r="K208" s="282">
        <v>85.645685608611117</v>
      </c>
      <c r="L208" s="282">
        <v>87.588063504861111</v>
      </c>
      <c r="M208" s="282">
        <v>90.783322107777778</v>
      </c>
      <c r="N208" s="282">
        <v>93.843289198611117</v>
      </c>
      <c r="O208" s="282">
        <v>96.268091183333325</v>
      </c>
      <c r="P208" s="282">
        <v>97.291859213333339</v>
      </c>
      <c r="Q208" s="282">
        <v>97.971595724791669</v>
      </c>
      <c r="R208" s="283">
        <v>98.23856794583331</v>
      </c>
      <c r="S208" s="284">
        <v>996.82073974590276</v>
      </c>
      <c r="T208" s="284">
        <v>513.20733647999998</v>
      </c>
      <c r="U208" s="296">
        <f t="shared" si="6"/>
        <v>79.031739745902541</v>
      </c>
      <c r="V208" s="296">
        <f t="shared" si="7"/>
        <v>13.413336479999998</v>
      </c>
      <c r="W208" s="287">
        <v>87</v>
      </c>
      <c r="X208" s="280">
        <v>85</v>
      </c>
      <c r="Y208" s="280">
        <v>88</v>
      </c>
      <c r="Z208" s="280">
        <v>90</v>
      </c>
      <c r="AA208" s="280">
        <v>91</v>
      </c>
      <c r="AB208" s="280">
        <v>94</v>
      </c>
      <c r="AC208" s="280">
        <v>98</v>
      </c>
      <c r="AD208" s="280">
        <v>103</v>
      </c>
      <c r="AE208" s="280">
        <v>106</v>
      </c>
      <c r="AF208" s="280">
        <v>108</v>
      </c>
      <c r="AG208" s="280">
        <v>110</v>
      </c>
      <c r="AH208" s="280">
        <v>114</v>
      </c>
    </row>
    <row r="209" spans="1:34" s="1" customFormat="1" ht="13" x14ac:dyDescent="0.25">
      <c r="A209" s="280" t="s">
        <v>751</v>
      </c>
      <c r="B209" s="286">
        <v>442</v>
      </c>
      <c r="C209" s="286">
        <v>727.875</v>
      </c>
      <c r="D209" s="286">
        <v>1013.7500000000001</v>
      </c>
      <c r="E209" s="286">
        <v>5</v>
      </c>
      <c r="F209" s="281">
        <v>0</v>
      </c>
      <c r="G209" s="282">
        <v>80.489678562500004</v>
      </c>
      <c r="H209" s="282">
        <v>80.107601143750003</v>
      </c>
      <c r="I209" s="282">
        <v>80.176682495833333</v>
      </c>
      <c r="J209" s="282">
        <v>81.307082806666642</v>
      </c>
      <c r="K209" s="282">
        <v>78.428542275277763</v>
      </c>
      <c r="L209" s="282">
        <v>77.90552542152777</v>
      </c>
      <c r="M209" s="282">
        <v>78.535952316111093</v>
      </c>
      <c r="N209" s="282">
        <v>79.068039198611089</v>
      </c>
      <c r="O209" s="282">
        <v>78.704216183333315</v>
      </c>
      <c r="P209" s="282">
        <v>76.868025880000005</v>
      </c>
      <c r="Q209" s="282">
        <v>74.697835308124994</v>
      </c>
      <c r="R209" s="283">
        <v>72.120453362499987</v>
      </c>
      <c r="S209" s="284">
        <v>857.91995639173615</v>
      </c>
      <c r="T209" s="284">
        <v>476.46138645916665</v>
      </c>
      <c r="U209" s="296">
        <f t="shared" si="6"/>
        <v>-59.869043608264064</v>
      </c>
      <c r="V209" s="296">
        <f t="shared" si="7"/>
        <v>-23.332613540833336</v>
      </c>
      <c r="W209" s="287">
        <v>87</v>
      </c>
      <c r="X209" s="280">
        <v>85</v>
      </c>
      <c r="Y209" s="280">
        <v>83</v>
      </c>
      <c r="Z209" s="280">
        <v>80</v>
      </c>
      <c r="AA209" s="280">
        <v>76</v>
      </c>
      <c r="AB209" s="280">
        <v>74</v>
      </c>
      <c r="AC209" s="280">
        <v>73</v>
      </c>
      <c r="AD209" s="280">
        <v>73</v>
      </c>
      <c r="AE209" s="280">
        <v>71</v>
      </c>
      <c r="AF209" s="280">
        <v>68</v>
      </c>
      <c r="AG209" s="280">
        <v>65</v>
      </c>
      <c r="AH209" s="280">
        <v>64</v>
      </c>
    </row>
    <row r="210" spans="1:34" s="1" customFormat="1" ht="13" x14ac:dyDescent="0.25">
      <c r="A210" s="280" t="s">
        <v>752</v>
      </c>
      <c r="B210" s="286">
        <v>442</v>
      </c>
      <c r="C210" s="286">
        <v>727.875</v>
      </c>
      <c r="D210" s="286">
        <v>1013.7500000000001</v>
      </c>
      <c r="E210" s="286">
        <v>5</v>
      </c>
      <c r="F210" s="281">
        <v>1</v>
      </c>
      <c r="G210" s="282">
        <v>80.489678562500004</v>
      </c>
      <c r="H210" s="282">
        <v>80.107601143750003</v>
      </c>
      <c r="I210" s="282">
        <v>80.621682495833326</v>
      </c>
      <c r="J210" s="282">
        <v>82.197082806666657</v>
      </c>
      <c r="K210" s="282">
        <v>79.763542275277771</v>
      </c>
      <c r="L210" s="282">
        <v>79.752900421527769</v>
      </c>
      <c r="M210" s="282">
        <v>80.895702316111098</v>
      </c>
      <c r="N210" s="282">
        <v>81.940164198611086</v>
      </c>
      <c r="O210" s="282">
        <v>82.138747433333307</v>
      </c>
      <c r="P210" s="282">
        <v>80.864963379999992</v>
      </c>
      <c r="Q210" s="282">
        <v>79.25717905812499</v>
      </c>
      <c r="R210" s="283">
        <v>77.242203362499993</v>
      </c>
      <c r="S210" s="284">
        <v>884.78176889173596</v>
      </c>
      <c r="T210" s="284">
        <v>483.33851145916668</v>
      </c>
      <c r="U210" s="296">
        <f t="shared" si="6"/>
        <v>-33.00723110826425</v>
      </c>
      <c r="V210" s="296">
        <f t="shared" si="7"/>
        <v>-16.455488540833301</v>
      </c>
      <c r="W210" s="287">
        <v>87</v>
      </c>
      <c r="X210" s="280">
        <v>85</v>
      </c>
      <c r="Y210" s="280">
        <v>84</v>
      </c>
      <c r="Z210" s="280">
        <v>82</v>
      </c>
      <c r="AA210" s="280">
        <v>79</v>
      </c>
      <c r="AB210" s="280">
        <v>78</v>
      </c>
      <c r="AC210" s="280">
        <v>78</v>
      </c>
      <c r="AD210" s="280">
        <v>79</v>
      </c>
      <c r="AE210" s="280">
        <v>78</v>
      </c>
      <c r="AF210" s="280">
        <v>76</v>
      </c>
      <c r="AG210" s="280">
        <v>74</v>
      </c>
      <c r="AH210" s="280">
        <v>74</v>
      </c>
    </row>
    <row r="211" spans="1:34" s="1" customFormat="1" ht="13" x14ac:dyDescent="0.25">
      <c r="A211" s="280" t="s">
        <v>753</v>
      </c>
      <c r="B211" s="286">
        <v>442</v>
      </c>
      <c r="C211" s="286">
        <v>727.875</v>
      </c>
      <c r="D211" s="286">
        <v>1013.7500000000001</v>
      </c>
      <c r="E211" s="286">
        <v>5</v>
      </c>
      <c r="F211" s="281">
        <v>2</v>
      </c>
      <c r="G211" s="282">
        <v>80.489678562500004</v>
      </c>
      <c r="H211" s="282">
        <v>80.107601143750003</v>
      </c>
      <c r="I211" s="282">
        <v>81.066682495833334</v>
      </c>
      <c r="J211" s="282">
        <v>83.087082806666658</v>
      </c>
      <c r="K211" s="282">
        <v>81.098542275277765</v>
      </c>
      <c r="L211" s="282">
        <v>81.600275421527769</v>
      </c>
      <c r="M211" s="282">
        <v>83.255452316111118</v>
      </c>
      <c r="N211" s="282">
        <v>84.812289198611097</v>
      </c>
      <c r="O211" s="282">
        <v>85.573278683333328</v>
      </c>
      <c r="P211" s="282">
        <v>84.861900879999993</v>
      </c>
      <c r="Q211" s="282">
        <v>83.816522808125001</v>
      </c>
      <c r="R211" s="283">
        <v>82.363953362499984</v>
      </c>
      <c r="S211" s="284">
        <v>911.64358139173612</v>
      </c>
      <c r="T211" s="284">
        <v>490.21563645916666</v>
      </c>
      <c r="U211" s="296">
        <f t="shared" si="6"/>
        <v>-6.1454186082640945</v>
      </c>
      <c r="V211" s="296">
        <f t="shared" si="7"/>
        <v>-9.5783635408333225</v>
      </c>
      <c r="W211" s="287">
        <v>87</v>
      </c>
      <c r="X211" s="280">
        <v>85</v>
      </c>
      <c r="Y211" s="280">
        <v>85</v>
      </c>
      <c r="Z211" s="280">
        <v>84</v>
      </c>
      <c r="AA211" s="280">
        <v>82</v>
      </c>
      <c r="AB211" s="280">
        <v>82</v>
      </c>
      <c r="AC211" s="280">
        <v>83</v>
      </c>
      <c r="AD211" s="280">
        <v>85</v>
      </c>
      <c r="AE211" s="280">
        <v>85</v>
      </c>
      <c r="AF211" s="280">
        <v>84</v>
      </c>
      <c r="AG211" s="280">
        <v>83</v>
      </c>
      <c r="AH211" s="280">
        <v>84</v>
      </c>
    </row>
    <row r="212" spans="1:34" s="1" customFormat="1" ht="13" x14ac:dyDescent="0.25">
      <c r="A212" s="280" t="s">
        <v>754</v>
      </c>
      <c r="B212" s="286">
        <v>442</v>
      </c>
      <c r="C212" s="286">
        <v>727.875</v>
      </c>
      <c r="D212" s="286">
        <v>1013.7500000000001</v>
      </c>
      <c r="E212" s="286">
        <v>5</v>
      </c>
      <c r="F212" s="281">
        <v>3</v>
      </c>
      <c r="G212" s="282">
        <v>80.489678562500004</v>
      </c>
      <c r="H212" s="282">
        <v>80.107601143750003</v>
      </c>
      <c r="I212" s="282">
        <v>81.511682495833341</v>
      </c>
      <c r="J212" s="282">
        <v>83.977082806666672</v>
      </c>
      <c r="K212" s="282">
        <v>82.433542275277773</v>
      </c>
      <c r="L212" s="282">
        <v>83.447650421527769</v>
      </c>
      <c r="M212" s="282">
        <v>85.615202316111095</v>
      </c>
      <c r="N212" s="282">
        <v>87.684414198611094</v>
      </c>
      <c r="O212" s="282">
        <v>89.007809933333334</v>
      </c>
      <c r="P212" s="282">
        <v>88.858838379999995</v>
      </c>
      <c r="Q212" s="282">
        <v>88.375866558125011</v>
      </c>
      <c r="R212" s="283">
        <v>87.485703362500004</v>
      </c>
      <c r="S212" s="284">
        <v>938.50539389173605</v>
      </c>
      <c r="T212" s="284">
        <v>497.09276145916664</v>
      </c>
      <c r="U212" s="296">
        <f t="shared" si="6"/>
        <v>20.716393891735834</v>
      </c>
      <c r="V212" s="296">
        <f t="shared" si="7"/>
        <v>-2.7012385408333444</v>
      </c>
      <c r="W212" s="287">
        <v>87</v>
      </c>
      <c r="X212" s="280">
        <v>85</v>
      </c>
      <c r="Y212" s="280">
        <v>86</v>
      </c>
      <c r="Z212" s="280">
        <v>86</v>
      </c>
      <c r="AA212" s="280">
        <v>85</v>
      </c>
      <c r="AB212" s="280">
        <v>86</v>
      </c>
      <c r="AC212" s="280">
        <v>88</v>
      </c>
      <c r="AD212" s="280">
        <v>91</v>
      </c>
      <c r="AE212" s="280">
        <v>92</v>
      </c>
      <c r="AF212" s="280">
        <v>92</v>
      </c>
      <c r="AG212" s="280">
        <v>92</v>
      </c>
      <c r="AH212" s="280">
        <v>94</v>
      </c>
    </row>
    <row r="213" spans="1:34" s="1" customFormat="1" ht="13" x14ac:dyDescent="0.25">
      <c r="A213" s="280" t="s">
        <v>755</v>
      </c>
      <c r="B213" s="286">
        <v>442</v>
      </c>
      <c r="C213" s="286">
        <v>727.875</v>
      </c>
      <c r="D213" s="286">
        <v>1013.7500000000001</v>
      </c>
      <c r="E213" s="286">
        <v>5</v>
      </c>
      <c r="F213" s="281">
        <v>4</v>
      </c>
      <c r="G213" s="282">
        <v>80.489678562500004</v>
      </c>
      <c r="H213" s="282">
        <v>80.107601143750003</v>
      </c>
      <c r="I213" s="282">
        <v>81.956682495833348</v>
      </c>
      <c r="J213" s="282">
        <v>84.867082806666673</v>
      </c>
      <c r="K213" s="282">
        <v>83.768542275277781</v>
      </c>
      <c r="L213" s="282">
        <v>85.295025421527768</v>
      </c>
      <c r="M213" s="282">
        <v>87.974952316111114</v>
      </c>
      <c r="N213" s="282">
        <v>90.556539198611105</v>
      </c>
      <c r="O213" s="282">
        <v>92.442341183333326</v>
      </c>
      <c r="P213" s="282">
        <v>92.855775879999996</v>
      </c>
      <c r="Q213" s="282">
        <v>92.935210308125008</v>
      </c>
      <c r="R213" s="283">
        <v>92.607453362499996</v>
      </c>
      <c r="S213" s="284">
        <v>965.36720639173609</v>
      </c>
      <c r="T213" s="284">
        <v>503.96988645916667</v>
      </c>
      <c r="U213" s="296">
        <f t="shared" si="6"/>
        <v>47.578206391735876</v>
      </c>
      <c r="V213" s="296">
        <f t="shared" si="7"/>
        <v>4.1758864591666907</v>
      </c>
      <c r="W213" s="287">
        <v>87</v>
      </c>
      <c r="X213" s="280">
        <v>85</v>
      </c>
      <c r="Y213" s="280">
        <v>87</v>
      </c>
      <c r="Z213" s="280">
        <v>88</v>
      </c>
      <c r="AA213" s="280">
        <v>88</v>
      </c>
      <c r="AB213" s="280">
        <v>90</v>
      </c>
      <c r="AC213" s="280">
        <v>93</v>
      </c>
      <c r="AD213" s="280">
        <v>97</v>
      </c>
      <c r="AE213" s="280">
        <v>99</v>
      </c>
      <c r="AF213" s="280">
        <v>100</v>
      </c>
      <c r="AG213" s="280">
        <v>101</v>
      </c>
      <c r="AH213" s="280">
        <v>104</v>
      </c>
    </row>
    <row r="214" spans="1:34" s="1" customFormat="1" ht="13" x14ac:dyDescent="0.25">
      <c r="A214" s="280" t="s">
        <v>756</v>
      </c>
      <c r="B214" s="286">
        <v>442</v>
      </c>
      <c r="C214" s="286">
        <v>727.875</v>
      </c>
      <c r="D214" s="286">
        <v>1013.7500000000001</v>
      </c>
      <c r="E214" s="286">
        <v>5</v>
      </c>
      <c r="F214" s="281">
        <v>5</v>
      </c>
      <c r="G214" s="282">
        <v>80.489678562500004</v>
      </c>
      <c r="H214" s="282">
        <v>80.107601143750003</v>
      </c>
      <c r="I214" s="282">
        <v>82.401682495833342</v>
      </c>
      <c r="J214" s="282">
        <v>85.757082806666673</v>
      </c>
      <c r="K214" s="282">
        <v>85.103542275277789</v>
      </c>
      <c r="L214" s="282">
        <v>87.142400421527768</v>
      </c>
      <c r="M214" s="282">
        <v>90.334702316111105</v>
      </c>
      <c r="N214" s="282">
        <v>93.428664198611102</v>
      </c>
      <c r="O214" s="282">
        <v>95.876872433333332</v>
      </c>
      <c r="P214" s="282">
        <v>96.852713379999983</v>
      </c>
      <c r="Q214" s="282">
        <v>97.494554058125004</v>
      </c>
      <c r="R214" s="283">
        <v>97.729203362500002</v>
      </c>
      <c r="S214" s="284">
        <v>992.22901889173613</v>
      </c>
      <c r="T214" s="284">
        <v>510.84701145916665</v>
      </c>
      <c r="U214" s="296">
        <f t="shared" si="6"/>
        <v>74.440018891735917</v>
      </c>
      <c r="V214" s="296">
        <f t="shared" si="7"/>
        <v>11.053011459166669</v>
      </c>
      <c r="W214" s="287">
        <v>87</v>
      </c>
      <c r="X214" s="280">
        <v>85</v>
      </c>
      <c r="Y214" s="280">
        <v>88</v>
      </c>
      <c r="Z214" s="280">
        <v>90</v>
      </c>
      <c r="AA214" s="280">
        <v>91</v>
      </c>
      <c r="AB214" s="280">
        <v>94</v>
      </c>
      <c r="AC214" s="280">
        <v>98</v>
      </c>
      <c r="AD214" s="280">
        <v>103</v>
      </c>
      <c r="AE214" s="280">
        <v>106</v>
      </c>
      <c r="AF214" s="280">
        <v>108</v>
      </c>
      <c r="AG214" s="280">
        <v>110</v>
      </c>
      <c r="AH214" s="280">
        <v>114</v>
      </c>
    </row>
    <row r="215" spans="1:34" s="1" customFormat="1" ht="13" x14ac:dyDescent="0.25">
      <c r="A215" s="280" t="s">
        <v>757</v>
      </c>
      <c r="B215" s="286">
        <v>442</v>
      </c>
      <c r="C215" s="286">
        <v>727.875</v>
      </c>
      <c r="D215" s="286">
        <v>1013.7500000000001</v>
      </c>
      <c r="E215" s="286">
        <v>1</v>
      </c>
      <c r="F215" s="281">
        <v>0</v>
      </c>
      <c r="G215" s="282">
        <v>80.489678562500004</v>
      </c>
      <c r="H215" s="282">
        <v>82.516849218749996</v>
      </c>
      <c r="I215" s="282">
        <v>82.990529162499996</v>
      </c>
      <c r="J215" s="282">
        <v>84.353748223333326</v>
      </c>
      <c r="K215" s="282">
        <v>81.363731441944438</v>
      </c>
      <c r="L215" s="282">
        <v>80.040796171527774</v>
      </c>
      <c r="M215" s="282">
        <v>80.535223149444434</v>
      </c>
      <c r="N215" s="282">
        <v>80.941414198611099</v>
      </c>
      <c r="O215" s="282">
        <v>80.88767451666665</v>
      </c>
      <c r="P215" s="282">
        <v>79.037484213333329</v>
      </c>
      <c r="Q215" s="282">
        <v>76.868001974791653</v>
      </c>
      <c r="R215" s="283">
        <v>74.402995029166661</v>
      </c>
      <c r="S215" s="284">
        <v>883.93844730006924</v>
      </c>
      <c r="T215" s="284">
        <v>491.80087736749994</v>
      </c>
      <c r="U215" s="296">
        <f t="shared" si="6"/>
        <v>-33.850552699930972</v>
      </c>
      <c r="V215" s="296">
        <f t="shared" si="7"/>
        <v>-7.9931226325000466</v>
      </c>
      <c r="W215" s="287">
        <v>87</v>
      </c>
      <c r="X215" s="280">
        <v>85</v>
      </c>
      <c r="Y215" s="280">
        <v>83</v>
      </c>
      <c r="Z215" s="280">
        <v>80</v>
      </c>
      <c r="AA215" s="280">
        <v>76</v>
      </c>
      <c r="AB215" s="280">
        <v>74</v>
      </c>
      <c r="AC215" s="280">
        <v>73</v>
      </c>
      <c r="AD215" s="280">
        <v>73</v>
      </c>
      <c r="AE215" s="280">
        <v>71</v>
      </c>
      <c r="AF215" s="280">
        <v>68</v>
      </c>
      <c r="AG215" s="280">
        <v>65</v>
      </c>
      <c r="AH215" s="280">
        <v>64</v>
      </c>
    </row>
    <row r="216" spans="1:34" s="1" customFormat="1" ht="13" x14ac:dyDescent="0.25">
      <c r="A216" s="280" t="s">
        <v>758</v>
      </c>
      <c r="B216" s="286">
        <v>442</v>
      </c>
      <c r="C216" s="286">
        <v>727.875</v>
      </c>
      <c r="D216" s="286">
        <v>1013.7500000000001</v>
      </c>
      <c r="E216" s="286">
        <v>1</v>
      </c>
      <c r="F216" s="281">
        <v>1</v>
      </c>
      <c r="G216" s="282">
        <v>80.489678562500004</v>
      </c>
      <c r="H216" s="282">
        <v>82.516849218749996</v>
      </c>
      <c r="I216" s="282">
        <v>83.435529162499989</v>
      </c>
      <c r="J216" s="282">
        <v>85.243748223333327</v>
      </c>
      <c r="K216" s="282">
        <v>82.698731441944432</v>
      </c>
      <c r="L216" s="282">
        <v>81.888171171527773</v>
      </c>
      <c r="M216" s="282">
        <v>82.894973149444439</v>
      </c>
      <c r="N216" s="282">
        <v>83.81353919861111</v>
      </c>
      <c r="O216" s="282">
        <v>84.322830766666655</v>
      </c>
      <c r="P216" s="282">
        <v>83.035671713333329</v>
      </c>
      <c r="Q216" s="282">
        <v>81.429220724791662</v>
      </c>
      <c r="R216" s="283">
        <v>79.527245029166664</v>
      </c>
      <c r="S216" s="284">
        <v>910.80650980006953</v>
      </c>
      <c r="T216" s="284">
        <v>498.67800236749997</v>
      </c>
      <c r="U216" s="296">
        <f t="shared" si="6"/>
        <v>-6.9824901999306803</v>
      </c>
      <c r="V216" s="296">
        <f t="shared" si="7"/>
        <v>-1.1159976325000116</v>
      </c>
      <c r="W216" s="287">
        <v>87</v>
      </c>
      <c r="X216" s="280">
        <v>85</v>
      </c>
      <c r="Y216" s="280">
        <v>84</v>
      </c>
      <c r="Z216" s="280">
        <v>82</v>
      </c>
      <c r="AA216" s="280">
        <v>79</v>
      </c>
      <c r="AB216" s="280">
        <v>78</v>
      </c>
      <c r="AC216" s="280">
        <v>78</v>
      </c>
      <c r="AD216" s="280">
        <v>79</v>
      </c>
      <c r="AE216" s="280">
        <v>78</v>
      </c>
      <c r="AF216" s="280">
        <v>76</v>
      </c>
      <c r="AG216" s="280">
        <v>74</v>
      </c>
      <c r="AH216" s="280">
        <v>74</v>
      </c>
    </row>
    <row r="217" spans="1:34" s="1" customFormat="1" ht="13" x14ac:dyDescent="0.25">
      <c r="A217" s="280" t="s">
        <v>759</v>
      </c>
      <c r="B217" s="286">
        <v>442</v>
      </c>
      <c r="C217" s="286">
        <v>727.875</v>
      </c>
      <c r="D217" s="286">
        <v>1013.7500000000001</v>
      </c>
      <c r="E217" s="286">
        <v>1</v>
      </c>
      <c r="F217" s="281">
        <v>2</v>
      </c>
      <c r="G217" s="282">
        <v>80.489678562500004</v>
      </c>
      <c r="H217" s="282">
        <v>82.516849218749996</v>
      </c>
      <c r="I217" s="282">
        <v>83.880529162499997</v>
      </c>
      <c r="J217" s="282">
        <v>86.133748223333328</v>
      </c>
      <c r="K217" s="282">
        <v>84.03373144194444</v>
      </c>
      <c r="L217" s="282">
        <v>83.735546171527773</v>
      </c>
      <c r="M217" s="282">
        <v>85.254723149444445</v>
      </c>
      <c r="N217" s="282">
        <v>86.685664198611107</v>
      </c>
      <c r="O217" s="282">
        <v>87.757987016666661</v>
      </c>
      <c r="P217" s="282">
        <v>87.033859213333329</v>
      </c>
      <c r="Q217" s="282">
        <v>85.990439474791671</v>
      </c>
      <c r="R217" s="283">
        <v>84.651495029166654</v>
      </c>
      <c r="S217" s="284">
        <v>937.67457230006937</v>
      </c>
      <c r="T217" s="284">
        <v>505.55512736749995</v>
      </c>
      <c r="U217" s="296">
        <f t="shared" si="6"/>
        <v>19.885572300069157</v>
      </c>
      <c r="V217" s="296">
        <f t="shared" si="7"/>
        <v>5.7611273674999666</v>
      </c>
      <c r="W217" s="287">
        <v>87</v>
      </c>
      <c r="X217" s="280">
        <v>85</v>
      </c>
      <c r="Y217" s="280">
        <v>85</v>
      </c>
      <c r="Z217" s="280">
        <v>84</v>
      </c>
      <c r="AA217" s="280">
        <v>82</v>
      </c>
      <c r="AB217" s="280">
        <v>82</v>
      </c>
      <c r="AC217" s="280">
        <v>83</v>
      </c>
      <c r="AD217" s="280">
        <v>85</v>
      </c>
      <c r="AE217" s="280">
        <v>85</v>
      </c>
      <c r="AF217" s="280">
        <v>84</v>
      </c>
      <c r="AG217" s="280">
        <v>83</v>
      </c>
      <c r="AH217" s="280">
        <v>84</v>
      </c>
    </row>
    <row r="218" spans="1:34" s="1" customFormat="1" ht="13" x14ac:dyDescent="0.25">
      <c r="A218" s="280" t="s">
        <v>760</v>
      </c>
      <c r="B218" s="286">
        <v>442</v>
      </c>
      <c r="C218" s="286">
        <v>727.875</v>
      </c>
      <c r="D218" s="286">
        <v>1013.7500000000001</v>
      </c>
      <c r="E218" s="286">
        <v>1</v>
      </c>
      <c r="F218" s="281">
        <v>3</v>
      </c>
      <c r="G218" s="282">
        <v>80.489678562500004</v>
      </c>
      <c r="H218" s="282">
        <v>82.516849218749996</v>
      </c>
      <c r="I218" s="282">
        <v>84.32552916249999</v>
      </c>
      <c r="J218" s="282">
        <v>87.023748223333328</v>
      </c>
      <c r="K218" s="282">
        <v>85.368731441944448</v>
      </c>
      <c r="L218" s="282">
        <v>85.582921171527772</v>
      </c>
      <c r="M218" s="282">
        <v>87.614473149444436</v>
      </c>
      <c r="N218" s="282">
        <v>89.557789198611104</v>
      </c>
      <c r="O218" s="282">
        <v>91.193143266666652</v>
      </c>
      <c r="P218" s="282">
        <v>91.03204671333333</v>
      </c>
      <c r="Q218" s="282">
        <v>90.551658224791666</v>
      </c>
      <c r="R218" s="283">
        <v>89.775745029166657</v>
      </c>
      <c r="S218" s="284">
        <v>964.54263480006932</v>
      </c>
      <c r="T218" s="284">
        <v>512.43225236749993</v>
      </c>
      <c r="U218" s="296">
        <f t="shared" si="6"/>
        <v>46.753634800069108</v>
      </c>
      <c r="V218" s="296">
        <f t="shared" si="7"/>
        <v>12.638252367499945</v>
      </c>
      <c r="W218" s="287">
        <v>87</v>
      </c>
      <c r="X218" s="280">
        <v>85</v>
      </c>
      <c r="Y218" s="280">
        <v>86</v>
      </c>
      <c r="Z218" s="280">
        <v>86</v>
      </c>
      <c r="AA218" s="280">
        <v>85</v>
      </c>
      <c r="AB218" s="280">
        <v>86</v>
      </c>
      <c r="AC218" s="280">
        <v>88</v>
      </c>
      <c r="AD218" s="280">
        <v>91</v>
      </c>
      <c r="AE218" s="280">
        <v>92</v>
      </c>
      <c r="AF218" s="280">
        <v>92</v>
      </c>
      <c r="AG218" s="280">
        <v>92</v>
      </c>
      <c r="AH218" s="280">
        <v>94</v>
      </c>
    </row>
    <row r="219" spans="1:34" s="1" customFormat="1" ht="13" x14ac:dyDescent="0.25">
      <c r="A219" s="280" t="s">
        <v>761</v>
      </c>
      <c r="B219" s="286">
        <v>442</v>
      </c>
      <c r="C219" s="286">
        <v>727.875</v>
      </c>
      <c r="D219" s="286">
        <v>1013.7500000000001</v>
      </c>
      <c r="E219" s="286">
        <v>1</v>
      </c>
      <c r="F219" s="281">
        <v>4</v>
      </c>
      <c r="G219" s="282">
        <v>80.489678562500004</v>
      </c>
      <c r="H219" s="282">
        <v>82.516849218749996</v>
      </c>
      <c r="I219" s="282">
        <v>84.770529162499997</v>
      </c>
      <c r="J219" s="282">
        <v>87.913748223333329</v>
      </c>
      <c r="K219" s="282">
        <v>86.703731441944441</v>
      </c>
      <c r="L219" s="282">
        <v>87.430296171527772</v>
      </c>
      <c r="M219" s="282">
        <v>89.974223149444441</v>
      </c>
      <c r="N219" s="282">
        <v>92.429914198611101</v>
      </c>
      <c r="O219" s="282">
        <v>94.628299516666658</v>
      </c>
      <c r="P219" s="282">
        <v>95.03023421333333</v>
      </c>
      <c r="Q219" s="282">
        <v>95.112876974791661</v>
      </c>
      <c r="R219" s="283">
        <v>94.899995029166661</v>
      </c>
      <c r="S219" s="284">
        <v>991.41069730006939</v>
      </c>
      <c r="T219" s="284">
        <v>519.30937736750002</v>
      </c>
      <c r="U219" s="296">
        <f t="shared" si="6"/>
        <v>73.621697300069172</v>
      </c>
      <c r="V219" s="296">
        <f t="shared" si="7"/>
        <v>19.515377367500037</v>
      </c>
      <c r="W219" s="287">
        <v>87</v>
      </c>
      <c r="X219" s="280">
        <v>85</v>
      </c>
      <c r="Y219" s="280">
        <v>87</v>
      </c>
      <c r="Z219" s="280">
        <v>88</v>
      </c>
      <c r="AA219" s="280">
        <v>88</v>
      </c>
      <c r="AB219" s="280">
        <v>90</v>
      </c>
      <c r="AC219" s="280">
        <v>93</v>
      </c>
      <c r="AD219" s="280">
        <v>97</v>
      </c>
      <c r="AE219" s="280">
        <v>99</v>
      </c>
      <c r="AF219" s="280">
        <v>100</v>
      </c>
      <c r="AG219" s="280">
        <v>101</v>
      </c>
      <c r="AH219" s="280">
        <v>104</v>
      </c>
    </row>
    <row r="220" spans="1:34" s="1" customFormat="1" ht="13" x14ac:dyDescent="0.25">
      <c r="A220" s="280" t="s">
        <v>762</v>
      </c>
      <c r="B220" s="286">
        <v>442</v>
      </c>
      <c r="C220" s="286">
        <v>727.875</v>
      </c>
      <c r="D220" s="286">
        <v>1013.7500000000001</v>
      </c>
      <c r="E220" s="286">
        <v>1</v>
      </c>
      <c r="F220" s="281">
        <v>5</v>
      </c>
      <c r="G220" s="282">
        <v>80.489678562500004</v>
      </c>
      <c r="H220" s="282">
        <v>82.516849218749996</v>
      </c>
      <c r="I220" s="282">
        <v>85.21552916249999</v>
      </c>
      <c r="J220" s="282">
        <v>88.803748223333329</v>
      </c>
      <c r="K220" s="282">
        <v>88.038731441944449</v>
      </c>
      <c r="L220" s="282">
        <v>89.277671171527771</v>
      </c>
      <c r="M220" s="282">
        <v>92.333973149444446</v>
      </c>
      <c r="N220" s="282">
        <v>95.302039198611098</v>
      </c>
      <c r="O220" s="282">
        <v>98.063455766666664</v>
      </c>
      <c r="P220" s="282">
        <v>99.02842171333333</v>
      </c>
      <c r="Q220" s="282">
        <v>99.67409572479167</v>
      </c>
      <c r="R220" s="283">
        <v>100.02424502916666</v>
      </c>
      <c r="S220" s="284">
        <v>1018.2787598000693</v>
      </c>
      <c r="T220" s="284">
        <v>526.1865023675</v>
      </c>
      <c r="U220" s="296">
        <f t="shared" si="6"/>
        <v>100.48975980006912</v>
      </c>
      <c r="V220" s="296">
        <f t="shared" si="7"/>
        <v>26.392502367500015</v>
      </c>
      <c r="W220" s="287">
        <v>87</v>
      </c>
      <c r="X220" s="280">
        <v>85</v>
      </c>
      <c r="Y220" s="280">
        <v>88</v>
      </c>
      <c r="Z220" s="280">
        <v>90</v>
      </c>
      <c r="AA220" s="280">
        <v>91</v>
      </c>
      <c r="AB220" s="280">
        <v>94</v>
      </c>
      <c r="AC220" s="280">
        <v>98</v>
      </c>
      <c r="AD220" s="280">
        <v>103</v>
      </c>
      <c r="AE220" s="280">
        <v>106</v>
      </c>
      <c r="AF220" s="280">
        <v>108</v>
      </c>
      <c r="AG220" s="280">
        <v>110</v>
      </c>
      <c r="AH220" s="280">
        <v>114</v>
      </c>
    </row>
    <row r="221" spans="1:34" s="1" customFormat="1" ht="13" x14ac:dyDescent="0.25">
      <c r="A221" s="280" t="s">
        <v>763</v>
      </c>
      <c r="B221" s="286">
        <v>442</v>
      </c>
      <c r="C221" s="286">
        <v>727.875</v>
      </c>
      <c r="D221" s="286">
        <v>1013.7500000000001</v>
      </c>
      <c r="E221" s="286">
        <v>2</v>
      </c>
      <c r="F221" s="281">
        <v>0</v>
      </c>
      <c r="G221" s="282">
        <v>80.489678562500004</v>
      </c>
      <c r="H221" s="282">
        <v>81.23898621875</v>
      </c>
      <c r="I221" s="282">
        <v>81.958621662499993</v>
      </c>
      <c r="J221" s="282">
        <v>83.19043847333333</v>
      </c>
      <c r="K221" s="282">
        <v>80.467352941944441</v>
      </c>
      <c r="L221" s="282">
        <v>79.655796171527768</v>
      </c>
      <c r="M221" s="282">
        <v>80.109181482777771</v>
      </c>
      <c r="N221" s="282">
        <v>80.513914198611104</v>
      </c>
      <c r="O221" s="282">
        <v>80.291424516666638</v>
      </c>
      <c r="P221" s="282">
        <v>78.609984213333334</v>
      </c>
      <c r="Q221" s="282">
        <v>76.406751974791646</v>
      </c>
      <c r="R221" s="283">
        <v>73.851745029166665</v>
      </c>
      <c r="S221" s="284">
        <v>876.29419688340261</v>
      </c>
      <c r="T221" s="284">
        <v>486.6203769508333</v>
      </c>
      <c r="U221" s="296">
        <f t="shared" si="6"/>
        <v>-41.494803116597609</v>
      </c>
      <c r="V221" s="296">
        <f t="shared" si="7"/>
        <v>-13.173623049166679</v>
      </c>
      <c r="W221" s="287">
        <v>87</v>
      </c>
      <c r="X221" s="280">
        <v>85</v>
      </c>
      <c r="Y221" s="280">
        <v>83</v>
      </c>
      <c r="Z221" s="280">
        <v>80</v>
      </c>
      <c r="AA221" s="280">
        <v>76</v>
      </c>
      <c r="AB221" s="280">
        <v>74</v>
      </c>
      <c r="AC221" s="280">
        <v>73</v>
      </c>
      <c r="AD221" s="280">
        <v>73</v>
      </c>
      <c r="AE221" s="280">
        <v>71</v>
      </c>
      <c r="AF221" s="280">
        <v>68</v>
      </c>
      <c r="AG221" s="280">
        <v>65</v>
      </c>
      <c r="AH221" s="280">
        <v>64</v>
      </c>
    </row>
    <row r="222" spans="1:34" s="1" customFormat="1" ht="13" x14ac:dyDescent="0.25">
      <c r="A222" s="280" t="s">
        <v>764</v>
      </c>
      <c r="B222" s="286">
        <v>442</v>
      </c>
      <c r="C222" s="286">
        <v>727.875</v>
      </c>
      <c r="D222" s="286">
        <v>1013.7500000000001</v>
      </c>
      <c r="E222" s="286">
        <v>2</v>
      </c>
      <c r="F222" s="281">
        <v>1</v>
      </c>
      <c r="G222" s="282">
        <v>80.489678562500004</v>
      </c>
      <c r="H222" s="282">
        <v>81.23898621875</v>
      </c>
      <c r="I222" s="282">
        <v>82.403621662499987</v>
      </c>
      <c r="J222" s="282">
        <v>84.080438473333331</v>
      </c>
      <c r="K222" s="282">
        <v>81.802352941944434</v>
      </c>
      <c r="L222" s="282">
        <v>81.503171171527768</v>
      </c>
      <c r="M222" s="282">
        <v>82.468931482777762</v>
      </c>
      <c r="N222" s="282">
        <v>83.386039198611115</v>
      </c>
      <c r="O222" s="282">
        <v>83.726580766666657</v>
      </c>
      <c r="P222" s="282">
        <v>82.608171713333334</v>
      </c>
      <c r="Q222" s="282">
        <v>80.967970724791655</v>
      </c>
      <c r="R222" s="283">
        <v>78.975995029166654</v>
      </c>
      <c r="S222" s="284">
        <v>903.16225938340267</v>
      </c>
      <c r="T222" s="284">
        <v>493.49750195083328</v>
      </c>
      <c r="U222" s="296">
        <f t="shared" si="6"/>
        <v>-14.626740616597544</v>
      </c>
      <c r="V222" s="296">
        <f t="shared" si="7"/>
        <v>-6.2964980491667006</v>
      </c>
      <c r="W222" s="287">
        <v>87</v>
      </c>
      <c r="X222" s="280">
        <v>85</v>
      </c>
      <c r="Y222" s="280">
        <v>84</v>
      </c>
      <c r="Z222" s="280">
        <v>82</v>
      </c>
      <c r="AA222" s="280">
        <v>79</v>
      </c>
      <c r="AB222" s="280">
        <v>78</v>
      </c>
      <c r="AC222" s="280">
        <v>78</v>
      </c>
      <c r="AD222" s="280">
        <v>79</v>
      </c>
      <c r="AE222" s="280">
        <v>78</v>
      </c>
      <c r="AF222" s="280">
        <v>76</v>
      </c>
      <c r="AG222" s="280">
        <v>74</v>
      </c>
      <c r="AH222" s="280">
        <v>74</v>
      </c>
    </row>
    <row r="223" spans="1:34" s="1" customFormat="1" ht="13" x14ac:dyDescent="0.25">
      <c r="A223" s="280" t="s">
        <v>765</v>
      </c>
      <c r="B223" s="286">
        <v>442</v>
      </c>
      <c r="C223" s="286">
        <v>727.875</v>
      </c>
      <c r="D223" s="286">
        <v>1013.7500000000001</v>
      </c>
      <c r="E223" s="286">
        <v>2</v>
      </c>
      <c r="F223" s="281">
        <v>2</v>
      </c>
      <c r="G223" s="282">
        <v>80.489678562500004</v>
      </c>
      <c r="H223" s="282">
        <v>81.23898621875</v>
      </c>
      <c r="I223" s="282">
        <v>82.848621662499994</v>
      </c>
      <c r="J223" s="282">
        <v>84.970438473333331</v>
      </c>
      <c r="K223" s="282">
        <v>83.137352941944457</v>
      </c>
      <c r="L223" s="282">
        <v>83.350546171527768</v>
      </c>
      <c r="M223" s="282">
        <v>84.828681482777782</v>
      </c>
      <c r="N223" s="282">
        <v>86.258164198611112</v>
      </c>
      <c r="O223" s="282">
        <v>87.161737016666663</v>
      </c>
      <c r="P223" s="282">
        <v>86.606359213333334</v>
      </c>
      <c r="Q223" s="282">
        <v>85.529189474791664</v>
      </c>
      <c r="R223" s="283">
        <v>84.100245029166658</v>
      </c>
      <c r="S223" s="284">
        <v>930.03032188340273</v>
      </c>
      <c r="T223" s="284">
        <v>500.37462695083332</v>
      </c>
      <c r="U223" s="296">
        <f t="shared" si="6"/>
        <v>12.24132188340252</v>
      </c>
      <c r="V223" s="296">
        <f t="shared" si="7"/>
        <v>0.58062695083333438</v>
      </c>
      <c r="W223" s="287">
        <v>87</v>
      </c>
      <c r="X223" s="280">
        <v>85</v>
      </c>
      <c r="Y223" s="280">
        <v>85</v>
      </c>
      <c r="Z223" s="280">
        <v>84</v>
      </c>
      <c r="AA223" s="280">
        <v>82</v>
      </c>
      <c r="AB223" s="280">
        <v>82</v>
      </c>
      <c r="AC223" s="280">
        <v>83</v>
      </c>
      <c r="AD223" s="280">
        <v>85</v>
      </c>
      <c r="AE223" s="280">
        <v>85</v>
      </c>
      <c r="AF223" s="280">
        <v>84</v>
      </c>
      <c r="AG223" s="280">
        <v>83</v>
      </c>
      <c r="AH223" s="280">
        <v>84</v>
      </c>
    </row>
    <row r="224" spans="1:34" s="1" customFormat="1" ht="13" x14ac:dyDescent="0.25">
      <c r="A224" s="280" t="s">
        <v>766</v>
      </c>
      <c r="B224" s="286">
        <v>442</v>
      </c>
      <c r="C224" s="286">
        <v>727.875</v>
      </c>
      <c r="D224" s="286">
        <v>1013.7500000000001</v>
      </c>
      <c r="E224" s="286">
        <v>2</v>
      </c>
      <c r="F224" s="281">
        <v>3</v>
      </c>
      <c r="G224" s="282">
        <v>80.489678562500004</v>
      </c>
      <c r="H224" s="282">
        <v>81.23898621875</v>
      </c>
      <c r="I224" s="282">
        <v>83.293621662499987</v>
      </c>
      <c r="J224" s="282">
        <v>85.860438473333332</v>
      </c>
      <c r="K224" s="282">
        <v>84.47235294194445</v>
      </c>
      <c r="L224" s="282">
        <v>85.197921171527767</v>
      </c>
      <c r="M224" s="282">
        <v>87.188431482777787</v>
      </c>
      <c r="N224" s="282">
        <v>89.130289198611095</v>
      </c>
      <c r="O224" s="282">
        <v>90.596893266666655</v>
      </c>
      <c r="P224" s="282">
        <v>90.604546713333335</v>
      </c>
      <c r="Q224" s="282">
        <v>90.090408224791659</v>
      </c>
      <c r="R224" s="283">
        <v>89.224495029166661</v>
      </c>
      <c r="S224" s="284">
        <v>956.89838438340269</v>
      </c>
      <c r="T224" s="284">
        <v>507.2517519508333</v>
      </c>
      <c r="U224" s="296">
        <f t="shared" si="6"/>
        <v>39.109384383402471</v>
      </c>
      <c r="V224" s="296">
        <f t="shared" si="7"/>
        <v>7.4577519508333125</v>
      </c>
      <c r="W224" s="287">
        <v>87</v>
      </c>
      <c r="X224" s="280">
        <v>85</v>
      </c>
      <c r="Y224" s="280">
        <v>86</v>
      </c>
      <c r="Z224" s="280">
        <v>86</v>
      </c>
      <c r="AA224" s="280">
        <v>85</v>
      </c>
      <c r="AB224" s="280">
        <v>86</v>
      </c>
      <c r="AC224" s="280">
        <v>88</v>
      </c>
      <c r="AD224" s="280">
        <v>91</v>
      </c>
      <c r="AE224" s="280">
        <v>92</v>
      </c>
      <c r="AF224" s="280">
        <v>92</v>
      </c>
      <c r="AG224" s="280">
        <v>92</v>
      </c>
      <c r="AH224" s="280">
        <v>94</v>
      </c>
    </row>
    <row r="225" spans="1:34" s="1" customFormat="1" ht="13" x14ac:dyDescent="0.25">
      <c r="A225" s="280" t="s">
        <v>767</v>
      </c>
      <c r="B225" s="286">
        <v>442</v>
      </c>
      <c r="C225" s="286">
        <v>727.875</v>
      </c>
      <c r="D225" s="286">
        <v>1013.7500000000001</v>
      </c>
      <c r="E225" s="286">
        <v>2</v>
      </c>
      <c r="F225" s="281">
        <v>4</v>
      </c>
      <c r="G225" s="282">
        <v>80.489678562500004</v>
      </c>
      <c r="H225" s="282">
        <v>81.23898621875</v>
      </c>
      <c r="I225" s="282">
        <v>83.738621662499995</v>
      </c>
      <c r="J225" s="282">
        <v>86.750438473333332</v>
      </c>
      <c r="K225" s="282">
        <v>85.807352941944458</v>
      </c>
      <c r="L225" s="282">
        <v>87.045296171527767</v>
      </c>
      <c r="M225" s="282">
        <v>89.548181482777778</v>
      </c>
      <c r="N225" s="282">
        <v>92.002414198611106</v>
      </c>
      <c r="O225" s="282">
        <v>94.03204951666666</v>
      </c>
      <c r="P225" s="282">
        <v>94.602734213333335</v>
      </c>
      <c r="Q225" s="282">
        <v>94.651626974791668</v>
      </c>
      <c r="R225" s="283">
        <v>94.348745029166665</v>
      </c>
      <c r="S225" s="284">
        <v>983.76644688340264</v>
      </c>
      <c r="T225" s="284">
        <v>514.12887695083327</v>
      </c>
      <c r="U225" s="296">
        <f t="shared" si="6"/>
        <v>65.977446883402422</v>
      </c>
      <c r="V225" s="296">
        <f t="shared" si="7"/>
        <v>14.334876950833291</v>
      </c>
      <c r="W225" s="287">
        <v>87</v>
      </c>
      <c r="X225" s="280">
        <v>85</v>
      </c>
      <c r="Y225" s="280">
        <v>87</v>
      </c>
      <c r="Z225" s="280">
        <v>88</v>
      </c>
      <c r="AA225" s="280">
        <v>88</v>
      </c>
      <c r="AB225" s="280">
        <v>90</v>
      </c>
      <c r="AC225" s="280">
        <v>93</v>
      </c>
      <c r="AD225" s="280">
        <v>97</v>
      </c>
      <c r="AE225" s="280">
        <v>99</v>
      </c>
      <c r="AF225" s="280">
        <v>100</v>
      </c>
      <c r="AG225" s="280">
        <v>101</v>
      </c>
      <c r="AH225" s="280">
        <v>104</v>
      </c>
    </row>
    <row r="226" spans="1:34" s="1" customFormat="1" ht="13" x14ac:dyDescent="0.25">
      <c r="A226" s="280" t="s">
        <v>768</v>
      </c>
      <c r="B226" s="286">
        <v>442</v>
      </c>
      <c r="C226" s="286">
        <v>727.875</v>
      </c>
      <c r="D226" s="286">
        <v>1013.7500000000001</v>
      </c>
      <c r="E226" s="286">
        <v>2</v>
      </c>
      <c r="F226" s="281">
        <v>5</v>
      </c>
      <c r="G226" s="282">
        <v>80.489678562500004</v>
      </c>
      <c r="H226" s="282">
        <v>81.23898621875</v>
      </c>
      <c r="I226" s="282">
        <v>84.183621662499988</v>
      </c>
      <c r="J226" s="282">
        <v>87.640438473333333</v>
      </c>
      <c r="K226" s="282">
        <v>87.142352941944452</v>
      </c>
      <c r="L226" s="282">
        <v>88.892671171527766</v>
      </c>
      <c r="M226" s="282">
        <v>91.907931482777784</v>
      </c>
      <c r="N226" s="282">
        <v>94.874539198611103</v>
      </c>
      <c r="O226" s="282">
        <v>97.467205766666652</v>
      </c>
      <c r="P226" s="282">
        <v>98.600921713333335</v>
      </c>
      <c r="Q226" s="282">
        <v>99.212845724791663</v>
      </c>
      <c r="R226" s="283">
        <v>99.472995029166654</v>
      </c>
      <c r="S226" s="284">
        <v>1010.6345093834029</v>
      </c>
      <c r="T226" s="284">
        <v>521.00600195083337</v>
      </c>
      <c r="U226" s="296">
        <f t="shared" si="6"/>
        <v>92.845509383402714</v>
      </c>
      <c r="V226" s="296">
        <f t="shared" si="7"/>
        <v>21.212001950833383</v>
      </c>
      <c r="W226" s="287">
        <v>87</v>
      </c>
      <c r="X226" s="280">
        <v>85</v>
      </c>
      <c r="Y226" s="280">
        <v>88</v>
      </c>
      <c r="Z226" s="280">
        <v>90</v>
      </c>
      <c r="AA226" s="280">
        <v>91</v>
      </c>
      <c r="AB226" s="280">
        <v>94</v>
      </c>
      <c r="AC226" s="280">
        <v>98</v>
      </c>
      <c r="AD226" s="280">
        <v>103</v>
      </c>
      <c r="AE226" s="280">
        <v>106</v>
      </c>
      <c r="AF226" s="280">
        <v>108</v>
      </c>
      <c r="AG226" s="280">
        <v>110</v>
      </c>
      <c r="AH226" s="280">
        <v>114</v>
      </c>
    </row>
    <row r="227" spans="1:34" s="1" customFormat="1" ht="13" x14ac:dyDescent="0.25">
      <c r="A227" s="280" t="s">
        <v>769</v>
      </c>
      <c r="B227" s="286">
        <v>442</v>
      </c>
      <c r="C227" s="286">
        <v>727.875</v>
      </c>
      <c r="D227" s="286">
        <v>1013.7500000000001</v>
      </c>
      <c r="E227" s="286">
        <v>3</v>
      </c>
      <c r="F227" s="281">
        <v>0</v>
      </c>
      <c r="G227" s="282">
        <v>80.489678562500004</v>
      </c>
      <c r="H227" s="282">
        <v>80.729468393749997</v>
      </c>
      <c r="I227" s="282">
        <v>81.166840162499994</v>
      </c>
      <c r="J227" s="282">
        <v>82.581343473333334</v>
      </c>
      <c r="K227" s="282">
        <v>79.743602941944445</v>
      </c>
      <c r="L227" s="282">
        <v>79.145796171527763</v>
      </c>
      <c r="M227" s="282">
        <v>79.694806482777764</v>
      </c>
      <c r="N227" s="282">
        <v>80.116414198611096</v>
      </c>
      <c r="O227" s="282">
        <v>79.807674516666637</v>
      </c>
      <c r="P227" s="282">
        <v>78.069984213333328</v>
      </c>
      <c r="Q227" s="282">
        <v>75.968001974791648</v>
      </c>
      <c r="R227" s="283">
        <v>73.360495029166657</v>
      </c>
      <c r="S227" s="284">
        <v>870.38442755840265</v>
      </c>
      <c r="T227" s="284">
        <v>483.06185762583334</v>
      </c>
      <c r="U227" s="296">
        <f t="shared" si="6"/>
        <v>-47.404572441597566</v>
      </c>
      <c r="V227" s="296">
        <f t="shared" si="7"/>
        <v>-16.732142374166642</v>
      </c>
      <c r="W227" s="287">
        <v>87</v>
      </c>
      <c r="X227" s="280">
        <v>85</v>
      </c>
      <c r="Y227" s="280">
        <v>83</v>
      </c>
      <c r="Z227" s="280">
        <v>80</v>
      </c>
      <c r="AA227" s="280">
        <v>76</v>
      </c>
      <c r="AB227" s="280">
        <v>74</v>
      </c>
      <c r="AC227" s="280">
        <v>73</v>
      </c>
      <c r="AD227" s="280">
        <v>73</v>
      </c>
      <c r="AE227" s="280">
        <v>71</v>
      </c>
      <c r="AF227" s="280">
        <v>68</v>
      </c>
      <c r="AG227" s="280">
        <v>65</v>
      </c>
      <c r="AH227" s="280">
        <v>64</v>
      </c>
    </row>
    <row r="228" spans="1:34" s="1" customFormat="1" ht="13" x14ac:dyDescent="0.25">
      <c r="A228" s="280" t="s">
        <v>770</v>
      </c>
      <c r="B228" s="286">
        <v>442</v>
      </c>
      <c r="C228" s="286">
        <v>727.875</v>
      </c>
      <c r="D228" s="286">
        <v>1013.7500000000001</v>
      </c>
      <c r="E228" s="286">
        <v>3</v>
      </c>
      <c r="F228" s="281">
        <v>1</v>
      </c>
      <c r="G228" s="282">
        <v>80.489678562500004</v>
      </c>
      <c r="H228" s="282">
        <v>80.729468393749997</v>
      </c>
      <c r="I228" s="282">
        <v>81.611840162500016</v>
      </c>
      <c r="J228" s="282">
        <v>83.47134347333332</v>
      </c>
      <c r="K228" s="282">
        <v>81.078602941944439</v>
      </c>
      <c r="L228" s="282">
        <v>80.993171171527763</v>
      </c>
      <c r="M228" s="282">
        <v>82.05455648277777</v>
      </c>
      <c r="N228" s="282">
        <v>82.988539198611107</v>
      </c>
      <c r="O228" s="282">
        <v>83.242830766666657</v>
      </c>
      <c r="P228" s="282">
        <v>82.068171713333328</v>
      </c>
      <c r="Q228" s="282">
        <v>80.529220724791656</v>
      </c>
      <c r="R228" s="283">
        <v>78.48474502916666</v>
      </c>
      <c r="S228" s="284">
        <v>897.25249005840271</v>
      </c>
      <c r="T228" s="284">
        <v>489.93898262583332</v>
      </c>
      <c r="U228" s="296">
        <f t="shared" si="6"/>
        <v>-20.536509941597501</v>
      </c>
      <c r="V228" s="296">
        <f t="shared" si="7"/>
        <v>-9.855017374166664</v>
      </c>
      <c r="W228" s="287">
        <v>87</v>
      </c>
      <c r="X228" s="280">
        <v>85</v>
      </c>
      <c r="Y228" s="280">
        <v>84</v>
      </c>
      <c r="Z228" s="280">
        <v>82</v>
      </c>
      <c r="AA228" s="280">
        <v>79</v>
      </c>
      <c r="AB228" s="280">
        <v>78</v>
      </c>
      <c r="AC228" s="280">
        <v>78</v>
      </c>
      <c r="AD228" s="280">
        <v>79</v>
      </c>
      <c r="AE228" s="280">
        <v>78</v>
      </c>
      <c r="AF228" s="280">
        <v>76</v>
      </c>
      <c r="AG228" s="280">
        <v>74</v>
      </c>
      <c r="AH228" s="280">
        <v>74</v>
      </c>
    </row>
    <row r="229" spans="1:34" s="1" customFormat="1" ht="13" x14ac:dyDescent="0.25">
      <c r="A229" s="280" t="s">
        <v>771</v>
      </c>
      <c r="B229" s="286">
        <v>442</v>
      </c>
      <c r="C229" s="286">
        <v>727.875</v>
      </c>
      <c r="D229" s="286">
        <v>1013.7500000000001</v>
      </c>
      <c r="E229" s="286">
        <v>3</v>
      </c>
      <c r="F229" s="281">
        <v>2</v>
      </c>
      <c r="G229" s="282">
        <v>80.489678562500004</v>
      </c>
      <c r="H229" s="282">
        <v>80.729468393749997</v>
      </c>
      <c r="I229" s="282">
        <v>82.056840162500009</v>
      </c>
      <c r="J229" s="282">
        <v>84.361343473333321</v>
      </c>
      <c r="K229" s="282">
        <v>82.413602941944447</v>
      </c>
      <c r="L229" s="282">
        <v>82.840546171527762</v>
      </c>
      <c r="M229" s="282">
        <v>84.414306482777789</v>
      </c>
      <c r="N229" s="282">
        <v>85.860664198611119</v>
      </c>
      <c r="O229" s="282">
        <v>86.677987016666663</v>
      </c>
      <c r="P229" s="282">
        <v>86.066359213333328</v>
      </c>
      <c r="Q229" s="282">
        <v>85.090439474791665</v>
      </c>
      <c r="R229" s="283">
        <v>83.608995029166664</v>
      </c>
      <c r="S229" s="284">
        <v>924.12055255840266</v>
      </c>
      <c r="T229" s="284">
        <v>496.8161076258333</v>
      </c>
      <c r="U229" s="296">
        <f t="shared" si="6"/>
        <v>6.3315525584024499</v>
      </c>
      <c r="V229" s="296">
        <f t="shared" si="7"/>
        <v>-2.9778923741666858</v>
      </c>
      <c r="W229" s="287">
        <v>87</v>
      </c>
      <c r="X229" s="280">
        <v>85</v>
      </c>
      <c r="Y229" s="280">
        <v>85</v>
      </c>
      <c r="Z229" s="280">
        <v>84</v>
      </c>
      <c r="AA229" s="280">
        <v>82</v>
      </c>
      <c r="AB229" s="280">
        <v>82</v>
      </c>
      <c r="AC229" s="280">
        <v>83</v>
      </c>
      <c r="AD229" s="280">
        <v>85</v>
      </c>
      <c r="AE229" s="280">
        <v>85</v>
      </c>
      <c r="AF229" s="280">
        <v>84</v>
      </c>
      <c r="AG229" s="280">
        <v>83</v>
      </c>
      <c r="AH229" s="280">
        <v>84</v>
      </c>
    </row>
    <row r="230" spans="1:34" s="1" customFormat="1" ht="13" x14ac:dyDescent="0.25">
      <c r="A230" s="280" t="s">
        <v>772</v>
      </c>
      <c r="B230" s="286">
        <v>442</v>
      </c>
      <c r="C230" s="286">
        <v>727.875</v>
      </c>
      <c r="D230" s="286">
        <v>1013.7500000000001</v>
      </c>
      <c r="E230" s="286">
        <v>3</v>
      </c>
      <c r="F230" s="281">
        <v>3</v>
      </c>
      <c r="G230" s="282">
        <v>80.489678562500004</v>
      </c>
      <c r="H230" s="282">
        <v>80.729468393749997</v>
      </c>
      <c r="I230" s="282">
        <v>82.501840162500002</v>
      </c>
      <c r="J230" s="282">
        <v>85.251343473333321</v>
      </c>
      <c r="K230" s="282">
        <v>83.748602941944455</v>
      </c>
      <c r="L230" s="282">
        <v>84.687921171527762</v>
      </c>
      <c r="M230" s="282">
        <v>86.77405648277778</v>
      </c>
      <c r="N230" s="282">
        <v>88.732789198611101</v>
      </c>
      <c r="O230" s="282">
        <v>90.113143266666654</v>
      </c>
      <c r="P230" s="282">
        <v>90.064546713333328</v>
      </c>
      <c r="Q230" s="282">
        <v>89.65165822479166</v>
      </c>
      <c r="R230" s="283">
        <v>88.733245029166653</v>
      </c>
      <c r="S230" s="284">
        <v>950.98861505840273</v>
      </c>
      <c r="T230" s="284">
        <v>503.69323262583328</v>
      </c>
      <c r="U230" s="296">
        <f t="shared" si="6"/>
        <v>33.199615058402514</v>
      </c>
      <c r="V230" s="296">
        <f t="shared" si="7"/>
        <v>3.8992326258332923</v>
      </c>
      <c r="W230" s="287">
        <v>87</v>
      </c>
      <c r="X230" s="280">
        <v>85</v>
      </c>
      <c r="Y230" s="280">
        <v>86</v>
      </c>
      <c r="Z230" s="280">
        <v>86</v>
      </c>
      <c r="AA230" s="280">
        <v>85</v>
      </c>
      <c r="AB230" s="280">
        <v>86</v>
      </c>
      <c r="AC230" s="280">
        <v>88</v>
      </c>
      <c r="AD230" s="280">
        <v>91</v>
      </c>
      <c r="AE230" s="280">
        <v>92</v>
      </c>
      <c r="AF230" s="280">
        <v>92</v>
      </c>
      <c r="AG230" s="280">
        <v>92</v>
      </c>
      <c r="AH230" s="280">
        <v>94</v>
      </c>
    </row>
    <row r="231" spans="1:34" s="1" customFormat="1" ht="13" x14ac:dyDescent="0.25">
      <c r="A231" s="280" t="s">
        <v>773</v>
      </c>
      <c r="B231" s="286">
        <v>442</v>
      </c>
      <c r="C231" s="286">
        <v>727.875</v>
      </c>
      <c r="D231" s="286">
        <v>1013.7500000000001</v>
      </c>
      <c r="E231" s="286">
        <v>3</v>
      </c>
      <c r="F231" s="281">
        <v>4</v>
      </c>
      <c r="G231" s="282">
        <v>80.489678562500004</v>
      </c>
      <c r="H231" s="282">
        <v>80.729468393749997</v>
      </c>
      <c r="I231" s="282">
        <v>82.94684016250001</v>
      </c>
      <c r="J231" s="282">
        <v>86.141343473333322</v>
      </c>
      <c r="K231" s="282">
        <v>85.083602941944449</v>
      </c>
      <c r="L231" s="282">
        <v>86.535296171527762</v>
      </c>
      <c r="M231" s="282">
        <v>89.133806482777786</v>
      </c>
      <c r="N231" s="282">
        <v>91.604914198611098</v>
      </c>
      <c r="O231" s="282">
        <v>93.54829951666666</v>
      </c>
      <c r="P231" s="282">
        <v>94.062734213333329</v>
      </c>
      <c r="Q231" s="282">
        <v>94.212876974791669</v>
      </c>
      <c r="R231" s="283">
        <v>93.857495029166657</v>
      </c>
      <c r="S231" s="284">
        <v>977.85667755840279</v>
      </c>
      <c r="T231" s="284">
        <v>510.57035762583331</v>
      </c>
      <c r="U231" s="296">
        <f t="shared" si="6"/>
        <v>60.067677558402579</v>
      </c>
      <c r="V231" s="296">
        <f t="shared" si="7"/>
        <v>10.776357625833327</v>
      </c>
      <c r="W231" s="287">
        <v>87</v>
      </c>
      <c r="X231" s="280">
        <v>85</v>
      </c>
      <c r="Y231" s="280">
        <v>87</v>
      </c>
      <c r="Z231" s="280">
        <v>88</v>
      </c>
      <c r="AA231" s="280">
        <v>88</v>
      </c>
      <c r="AB231" s="280">
        <v>90</v>
      </c>
      <c r="AC231" s="280">
        <v>93</v>
      </c>
      <c r="AD231" s="280">
        <v>97</v>
      </c>
      <c r="AE231" s="280">
        <v>99</v>
      </c>
      <c r="AF231" s="280">
        <v>100</v>
      </c>
      <c r="AG231" s="280">
        <v>101</v>
      </c>
      <c r="AH231" s="280">
        <v>104</v>
      </c>
    </row>
    <row r="232" spans="1:34" s="1" customFormat="1" ht="13" x14ac:dyDescent="0.25">
      <c r="A232" s="280" t="s">
        <v>774</v>
      </c>
      <c r="B232" s="286">
        <v>442</v>
      </c>
      <c r="C232" s="286">
        <v>727.875</v>
      </c>
      <c r="D232" s="286">
        <v>1013.7500000000001</v>
      </c>
      <c r="E232" s="286">
        <v>3</v>
      </c>
      <c r="F232" s="281">
        <v>5</v>
      </c>
      <c r="G232" s="282">
        <v>80.489678562500004</v>
      </c>
      <c r="H232" s="282">
        <v>80.729468393749997</v>
      </c>
      <c r="I232" s="282">
        <v>83.391840162500003</v>
      </c>
      <c r="J232" s="282">
        <v>87.031343473333322</v>
      </c>
      <c r="K232" s="282">
        <v>86.418602941944457</v>
      </c>
      <c r="L232" s="282">
        <v>88.382671171527761</v>
      </c>
      <c r="M232" s="282">
        <v>91.493556482777777</v>
      </c>
      <c r="N232" s="282">
        <v>94.477039198611095</v>
      </c>
      <c r="O232" s="282">
        <v>96.983455766666651</v>
      </c>
      <c r="P232" s="282">
        <v>98.060921713333329</v>
      </c>
      <c r="Q232" s="282">
        <v>98.774095724791664</v>
      </c>
      <c r="R232" s="283">
        <v>98.98174502916666</v>
      </c>
      <c r="S232" s="284">
        <v>1004.7247400584027</v>
      </c>
      <c r="T232" s="284">
        <v>517.44748262583335</v>
      </c>
      <c r="U232" s="296">
        <f t="shared" si="6"/>
        <v>86.93574005840253</v>
      </c>
      <c r="V232" s="296">
        <f t="shared" si="7"/>
        <v>17.653482625833362</v>
      </c>
      <c r="W232" s="287">
        <v>87</v>
      </c>
      <c r="X232" s="280">
        <v>85</v>
      </c>
      <c r="Y232" s="280">
        <v>88</v>
      </c>
      <c r="Z232" s="280">
        <v>90</v>
      </c>
      <c r="AA232" s="280">
        <v>91</v>
      </c>
      <c r="AB232" s="280">
        <v>94</v>
      </c>
      <c r="AC232" s="280">
        <v>98</v>
      </c>
      <c r="AD232" s="280">
        <v>103</v>
      </c>
      <c r="AE232" s="280">
        <v>106</v>
      </c>
      <c r="AF232" s="280">
        <v>108</v>
      </c>
      <c r="AG232" s="280">
        <v>110</v>
      </c>
      <c r="AH232" s="280">
        <v>114</v>
      </c>
    </row>
    <row r="233" spans="1:34" s="1" customFormat="1" ht="13" x14ac:dyDescent="0.25">
      <c r="A233" s="280" t="s">
        <v>775</v>
      </c>
      <c r="B233" s="286">
        <v>442</v>
      </c>
      <c r="C233" s="286">
        <v>727.875</v>
      </c>
      <c r="D233" s="286">
        <v>1013.7500000000001</v>
      </c>
      <c r="E233" s="286">
        <v>4</v>
      </c>
      <c r="F233" s="281">
        <v>0</v>
      </c>
      <c r="G233" s="282">
        <v>80.489678562500004</v>
      </c>
      <c r="H233" s="282">
        <v>80.455718393750004</v>
      </c>
      <c r="I233" s="282">
        <v>80.690232412499995</v>
      </c>
      <c r="J233" s="282">
        <v>81.97682747333333</v>
      </c>
      <c r="K233" s="282">
        <v>79.198550191944435</v>
      </c>
      <c r="L233" s="282">
        <v>78.593584338194432</v>
      </c>
      <c r="M233" s="282">
        <v>79.240118982777773</v>
      </c>
      <c r="N233" s="282">
        <v>79.748914198611104</v>
      </c>
      <c r="O233" s="282">
        <v>79.374549516666647</v>
      </c>
      <c r="P233" s="282">
        <v>77.586234213333327</v>
      </c>
      <c r="Q233" s="282">
        <v>75.450501974791649</v>
      </c>
      <c r="R233" s="283">
        <v>72.901120029166663</v>
      </c>
      <c r="S233" s="284">
        <v>865.21635172506944</v>
      </c>
      <c r="T233" s="284">
        <v>480.15503179249993</v>
      </c>
      <c r="U233" s="296">
        <f t="shared" si="6"/>
        <v>-52.572648274930771</v>
      </c>
      <c r="V233" s="296">
        <f t="shared" si="7"/>
        <v>-19.638968207500056</v>
      </c>
      <c r="W233" s="287">
        <v>87</v>
      </c>
      <c r="X233" s="280">
        <v>85</v>
      </c>
      <c r="Y233" s="280">
        <v>83</v>
      </c>
      <c r="Z233" s="280">
        <v>80</v>
      </c>
      <c r="AA233" s="280">
        <v>76</v>
      </c>
      <c r="AB233" s="280">
        <v>74</v>
      </c>
      <c r="AC233" s="280">
        <v>73</v>
      </c>
      <c r="AD233" s="280">
        <v>73</v>
      </c>
      <c r="AE233" s="280">
        <v>71</v>
      </c>
      <c r="AF233" s="280">
        <v>68</v>
      </c>
      <c r="AG233" s="280">
        <v>65</v>
      </c>
      <c r="AH233" s="280">
        <v>64</v>
      </c>
    </row>
    <row r="234" spans="1:34" s="1" customFormat="1" ht="13" x14ac:dyDescent="0.25">
      <c r="A234" s="280" t="s">
        <v>776</v>
      </c>
      <c r="B234" s="286">
        <v>442</v>
      </c>
      <c r="C234" s="286">
        <v>727.875</v>
      </c>
      <c r="D234" s="286">
        <v>1013.7500000000001</v>
      </c>
      <c r="E234" s="286">
        <v>4</v>
      </c>
      <c r="F234" s="281">
        <v>1</v>
      </c>
      <c r="G234" s="282">
        <v>80.489678562500004</v>
      </c>
      <c r="H234" s="282">
        <v>80.455718393750004</v>
      </c>
      <c r="I234" s="282">
        <v>81.135232412500002</v>
      </c>
      <c r="J234" s="282">
        <v>82.866827473333331</v>
      </c>
      <c r="K234" s="282">
        <v>80.533550191944443</v>
      </c>
      <c r="L234" s="282">
        <v>80.440959338194432</v>
      </c>
      <c r="M234" s="282">
        <v>81.599868982777764</v>
      </c>
      <c r="N234" s="282">
        <v>82.621039198611101</v>
      </c>
      <c r="O234" s="282">
        <v>82.809705766666653</v>
      </c>
      <c r="P234" s="282">
        <v>81.584421713333327</v>
      </c>
      <c r="Q234" s="282">
        <v>80.011720724791644</v>
      </c>
      <c r="R234" s="283">
        <v>78.025370029166666</v>
      </c>
      <c r="S234" s="284">
        <v>892.08441422506939</v>
      </c>
      <c r="T234" s="284">
        <v>487.03215679250002</v>
      </c>
      <c r="U234" s="296">
        <f t="shared" si="6"/>
        <v>-25.70458577493082</v>
      </c>
      <c r="V234" s="296">
        <f t="shared" si="7"/>
        <v>-12.761843207499965</v>
      </c>
      <c r="W234" s="287">
        <v>87</v>
      </c>
      <c r="X234" s="280">
        <v>85</v>
      </c>
      <c r="Y234" s="280">
        <v>84</v>
      </c>
      <c r="Z234" s="280">
        <v>82</v>
      </c>
      <c r="AA234" s="280">
        <v>79</v>
      </c>
      <c r="AB234" s="280">
        <v>78</v>
      </c>
      <c r="AC234" s="280">
        <v>78</v>
      </c>
      <c r="AD234" s="280">
        <v>79</v>
      </c>
      <c r="AE234" s="280">
        <v>78</v>
      </c>
      <c r="AF234" s="280">
        <v>76</v>
      </c>
      <c r="AG234" s="280">
        <v>74</v>
      </c>
      <c r="AH234" s="280">
        <v>74</v>
      </c>
    </row>
    <row r="235" spans="1:34" s="1" customFormat="1" ht="13" x14ac:dyDescent="0.25">
      <c r="A235" s="280" t="s">
        <v>777</v>
      </c>
      <c r="B235" s="286">
        <v>442</v>
      </c>
      <c r="C235" s="286">
        <v>727.875</v>
      </c>
      <c r="D235" s="286">
        <v>1013.7500000000001</v>
      </c>
      <c r="E235" s="286">
        <v>4</v>
      </c>
      <c r="F235" s="281">
        <v>2</v>
      </c>
      <c r="G235" s="282">
        <v>80.489678562500004</v>
      </c>
      <c r="H235" s="282">
        <v>80.455718393750004</v>
      </c>
      <c r="I235" s="282">
        <v>81.580232412499996</v>
      </c>
      <c r="J235" s="282">
        <v>83.756827473333317</v>
      </c>
      <c r="K235" s="282">
        <v>81.868550191944436</v>
      </c>
      <c r="L235" s="282">
        <v>82.288334338194431</v>
      </c>
      <c r="M235" s="282">
        <v>83.959618982777783</v>
      </c>
      <c r="N235" s="282">
        <v>85.493164198611112</v>
      </c>
      <c r="O235" s="282">
        <v>86.244862016666659</v>
      </c>
      <c r="P235" s="282">
        <v>85.582609213333328</v>
      </c>
      <c r="Q235" s="282">
        <v>84.572939474791667</v>
      </c>
      <c r="R235" s="283">
        <v>83.149620029166655</v>
      </c>
      <c r="S235" s="284">
        <v>918.95247672506923</v>
      </c>
      <c r="T235" s="284">
        <v>493.9092817925</v>
      </c>
      <c r="U235" s="296">
        <f t="shared" si="6"/>
        <v>1.1634767250690174</v>
      </c>
      <c r="V235" s="296">
        <f t="shared" si="7"/>
        <v>-5.8847182074999864</v>
      </c>
      <c r="W235" s="287">
        <v>87</v>
      </c>
      <c r="X235" s="280">
        <v>85</v>
      </c>
      <c r="Y235" s="280">
        <v>85</v>
      </c>
      <c r="Z235" s="280">
        <v>84</v>
      </c>
      <c r="AA235" s="280">
        <v>82</v>
      </c>
      <c r="AB235" s="280">
        <v>82</v>
      </c>
      <c r="AC235" s="280">
        <v>83</v>
      </c>
      <c r="AD235" s="280">
        <v>85</v>
      </c>
      <c r="AE235" s="280">
        <v>85</v>
      </c>
      <c r="AF235" s="280">
        <v>84</v>
      </c>
      <c r="AG235" s="280">
        <v>83</v>
      </c>
      <c r="AH235" s="280">
        <v>84</v>
      </c>
    </row>
    <row r="236" spans="1:34" s="1" customFormat="1" ht="13" x14ac:dyDescent="0.25">
      <c r="A236" s="280" t="s">
        <v>778</v>
      </c>
      <c r="B236" s="286">
        <v>442</v>
      </c>
      <c r="C236" s="286">
        <v>727.875</v>
      </c>
      <c r="D236" s="286">
        <v>1013.7500000000001</v>
      </c>
      <c r="E236" s="286">
        <v>4</v>
      </c>
      <c r="F236" s="281">
        <v>3</v>
      </c>
      <c r="G236" s="282">
        <v>80.489678562500004</v>
      </c>
      <c r="H236" s="282">
        <v>80.455718393750004</v>
      </c>
      <c r="I236" s="282">
        <v>82.025232412500003</v>
      </c>
      <c r="J236" s="282">
        <v>84.646827473333317</v>
      </c>
      <c r="K236" s="282">
        <v>83.203550191944458</v>
      </c>
      <c r="L236" s="282">
        <v>84.135709338194431</v>
      </c>
      <c r="M236" s="282">
        <v>86.319368982777789</v>
      </c>
      <c r="N236" s="282">
        <v>88.365289198611094</v>
      </c>
      <c r="O236" s="282">
        <v>89.68001826666665</v>
      </c>
      <c r="P236" s="282">
        <v>89.580796713333328</v>
      </c>
      <c r="Q236" s="282">
        <v>89.134158224791662</v>
      </c>
      <c r="R236" s="283">
        <v>88.273870029166659</v>
      </c>
      <c r="S236" s="284">
        <v>945.82053922506952</v>
      </c>
      <c r="T236" s="284">
        <v>500.78640679249997</v>
      </c>
      <c r="U236" s="296">
        <f t="shared" si="6"/>
        <v>28.031539225069309</v>
      </c>
      <c r="V236" s="296">
        <f t="shared" si="7"/>
        <v>0.99240679249999175</v>
      </c>
      <c r="W236" s="287">
        <v>87</v>
      </c>
      <c r="X236" s="280">
        <v>85</v>
      </c>
      <c r="Y236" s="280">
        <v>86</v>
      </c>
      <c r="Z236" s="280">
        <v>86</v>
      </c>
      <c r="AA236" s="280">
        <v>85</v>
      </c>
      <c r="AB236" s="280">
        <v>86</v>
      </c>
      <c r="AC236" s="280">
        <v>88</v>
      </c>
      <c r="AD236" s="280">
        <v>91</v>
      </c>
      <c r="AE236" s="280">
        <v>92</v>
      </c>
      <c r="AF236" s="280">
        <v>92</v>
      </c>
      <c r="AG236" s="280">
        <v>92</v>
      </c>
      <c r="AH236" s="280">
        <v>94</v>
      </c>
    </row>
    <row r="237" spans="1:34" s="1" customFormat="1" ht="13" x14ac:dyDescent="0.25">
      <c r="A237" s="280" t="s">
        <v>779</v>
      </c>
      <c r="B237" s="286">
        <v>442</v>
      </c>
      <c r="C237" s="286">
        <v>727.875</v>
      </c>
      <c r="D237" s="286">
        <v>1013.7500000000001</v>
      </c>
      <c r="E237" s="286">
        <v>4</v>
      </c>
      <c r="F237" s="281">
        <v>4</v>
      </c>
      <c r="G237" s="282">
        <v>80.489678562500004</v>
      </c>
      <c r="H237" s="282">
        <v>80.455718393750004</v>
      </c>
      <c r="I237" s="282">
        <v>82.470232412499996</v>
      </c>
      <c r="J237" s="282">
        <v>85.536827473333318</v>
      </c>
      <c r="K237" s="282">
        <v>84.538550191944452</v>
      </c>
      <c r="L237" s="282">
        <v>85.983084338194431</v>
      </c>
      <c r="M237" s="282">
        <v>88.67911898277778</v>
      </c>
      <c r="N237" s="282">
        <v>91.237414198611106</v>
      </c>
      <c r="O237" s="282">
        <v>93.115174516666656</v>
      </c>
      <c r="P237" s="282">
        <v>93.578984213333328</v>
      </c>
      <c r="Q237" s="282">
        <v>93.695376974791671</v>
      </c>
      <c r="R237" s="283">
        <v>93.398120029166662</v>
      </c>
      <c r="S237" s="284">
        <v>972.68860172506936</v>
      </c>
      <c r="T237" s="284">
        <v>507.66353179249995</v>
      </c>
      <c r="U237" s="296">
        <f t="shared" si="6"/>
        <v>54.899601725069147</v>
      </c>
      <c r="V237" s="296">
        <f t="shared" si="7"/>
        <v>7.8695317924999699</v>
      </c>
      <c r="W237" s="287">
        <v>87</v>
      </c>
      <c r="X237" s="280">
        <v>85</v>
      </c>
      <c r="Y237" s="280">
        <v>87</v>
      </c>
      <c r="Z237" s="280">
        <v>88</v>
      </c>
      <c r="AA237" s="280">
        <v>88</v>
      </c>
      <c r="AB237" s="280">
        <v>90</v>
      </c>
      <c r="AC237" s="280">
        <v>93</v>
      </c>
      <c r="AD237" s="280">
        <v>97</v>
      </c>
      <c r="AE237" s="280">
        <v>99</v>
      </c>
      <c r="AF237" s="280">
        <v>100</v>
      </c>
      <c r="AG237" s="280">
        <v>101</v>
      </c>
      <c r="AH237" s="280">
        <v>104</v>
      </c>
    </row>
    <row r="238" spans="1:34" s="1" customFormat="1" ht="13" x14ac:dyDescent="0.25">
      <c r="A238" s="280" t="s">
        <v>780</v>
      </c>
      <c r="B238" s="286">
        <v>442</v>
      </c>
      <c r="C238" s="286">
        <v>727.875</v>
      </c>
      <c r="D238" s="286">
        <v>1013.7500000000001</v>
      </c>
      <c r="E238" s="286">
        <v>4</v>
      </c>
      <c r="F238" s="281">
        <v>5</v>
      </c>
      <c r="G238" s="282">
        <v>80.489678562500004</v>
      </c>
      <c r="H238" s="282">
        <v>80.455718393750004</v>
      </c>
      <c r="I238" s="282">
        <v>82.915232412500004</v>
      </c>
      <c r="J238" s="282">
        <v>86.426827473333319</v>
      </c>
      <c r="K238" s="282">
        <v>85.873550191944446</v>
      </c>
      <c r="L238" s="282">
        <v>87.83045933819443</v>
      </c>
      <c r="M238" s="282">
        <v>91.038868982777785</v>
      </c>
      <c r="N238" s="282">
        <v>94.109539198611103</v>
      </c>
      <c r="O238" s="282">
        <v>96.550330766666661</v>
      </c>
      <c r="P238" s="282">
        <v>97.577171713333328</v>
      </c>
      <c r="Q238" s="282">
        <v>98.256595724791666</v>
      </c>
      <c r="R238" s="283">
        <v>98.522370029166666</v>
      </c>
      <c r="S238" s="284">
        <v>999.5566642250692</v>
      </c>
      <c r="T238" s="284">
        <v>514.54065679249993</v>
      </c>
      <c r="U238" s="296">
        <f t="shared" si="6"/>
        <v>81.767664225068984</v>
      </c>
      <c r="V238" s="296">
        <f t="shared" si="7"/>
        <v>14.746656792499948</v>
      </c>
      <c r="W238" s="287">
        <v>87</v>
      </c>
      <c r="X238" s="280">
        <v>85</v>
      </c>
      <c r="Y238" s="280">
        <v>88</v>
      </c>
      <c r="Z238" s="280">
        <v>90</v>
      </c>
      <c r="AA238" s="280">
        <v>91</v>
      </c>
      <c r="AB238" s="280">
        <v>94</v>
      </c>
      <c r="AC238" s="280">
        <v>98</v>
      </c>
      <c r="AD238" s="280">
        <v>103</v>
      </c>
      <c r="AE238" s="280">
        <v>106</v>
      </c>
      <c r="AF238" s="280">
        <v>108</v>
      </c>
      <c r="AG238" s="280">
        <v>110</v>
      </c>
      <c r="AH238" s="280">
        <v>114</v>
      </c>
    </row>
    <row r="239" spans="1:34" s="1" customFormat="1" ht="13" x14ac:dyDescent="0.25">
      <c r="A239" s="280" t="s">
        <v>781</v>
      </c>
      <c r="B239" s="286">
        <v>442</v>
      </c>
      <c r="C239" s="286">
        <v>727.875</v>
      </c>
      <c r="D239" s="286">
        <v>1013.7500000000001</v>
      </c>
      <c r="E239" s="286">
        <v>5</v>
      </c>
      <c r="F239" s="281">
        <v>0</v>
      </c>
      <c r="G239" s="282">
        <v>80.489678562500004</v>
      </c>
      <c r="H239" s="282">
        <v>80.283351143749996</v>
      </c>
      <c r="I239" s="282">
        <v>80.371817912500006</v>
      </c>
      <c r="J239" s="282">
        <v>81.523499473333317</v>
      </c>
      <c r="K239" s="282">
        <v>78.642708941944434</v>
      </c>
      <c r="L239" s="282">
        <v>78.133716338194432</v>
      </c>
      <c r="M239" s="282">
        <v>78.787306482777765</v>
      </c>
      <c r="N239" s="282">
        <v>79.330414198611095</v>
      </c>
      <c r="O239" s="282">
        <v>78.979674516666648</v>
      </c>
      <c r="P239" s="282">
        <v>77.142984213333335</v>
      </c>
      <c r="Q239" s="282">
        <v>74.969001974791652</v>
      </c>
      <c r="R239" s="283">
        <v>72.386995029166656</v>
      </c>
      <c r="S239" s="284">
        <v>860.55147022506935</v>
      </c>
      <c r="T239" s="284">
        <v>477.74240029249989</v>
      </c>
      <c r="U239" s="296">
        <f t="shared" si="6"/>
        <v>-57.237529774930863</v>
      </c>
      <c r="V239" s="296">
        <f t="shared" si="7"/>
        <v>-22.051599707500088</v>
      </c>
      <c r="W239" s="287">
        <v>87</v>
      </c>
      <c r="X239" s="280">
        <v>85</v>
      </c>
      <c r="Y239" s="280">
        <v>83</v>
      </c>
      <c r="Z239" s="280">
        <v>80</v>
      </c>
      <c r="AA239" s="280">
        <v>76</v>
      </c>
      <c r="AB239" s="280">
        <v>74</v>
      </c>
      <c r="AC239" s="280">
        <v>73</v>
      </c>
      <c r="AD239" s="280">
        <v>73</v>
      </c>
      <c r="AE239" s="280">
        <v>71</v>
      </c>
      <c r="AF239" s="280">
        <v>68</v>
      </c>
      <c r="AG239" s="280">
        <v>65</v>
      </c>
      <c r="AH239" s="280">
        <v>64</v>
      </c>
    </row>
    <row r="240" spans="1:34" s="1" customFormat="1" ht="13" x14ac:dyDescent="0.25">
      <c r="A240" s="280" t="s">
        <v>782</v>
      </c>
      <c r="B240" s="286">
        <v>442</v>
      </c>
      <c r="C240" s="286">
        <v>727.875</v>
      </c>
      <c r="D240" s="286">
        <v>1013.7500000000001</v>
      </c>
      <c r="E240" s="286">
        <v>5</v>
      </c>
      <c r="F240" s="281">
        <v>1</v>
      </c>
      <c r="G240" s="282">
        <v>80.489678562500004</v>
      </c>
      <c r="H240" s="282">
        <v>80.283351143749996</v>
      </c>
      <c r="I240" s="282">
        <v>80.816817912499999</v>
      </c>
      <c r="J240" s="282">
        <v>82.413499473333331</v>
      </c>
      <c r="K240" s="282">
        <v>79.977708941944442</v>
      </c>
      <c r="L240" s="282">
        <v>79.981091338194432</v>
      </c>
      <c r="M240" s="282">
        <v>81.147056482777771</v>
      </c>
      <c r="N240" s="282">
        <v>82.202539198611106</v>
      </c>
      <c r="O240" s="282">
        <v>82.414830766666654</v>
      </c>
      <c r="P240" s="282">
        <v>81.141171713333335</v>
      </c>
      <c r="Q240" s="282">
        <v>79.530220724791647</v>
      </c>
      <c r="R240" s="283">
        <v>77.511245029166659</v>
      </c>
      <c r="S240" s="284">
        <v>887.41953272506942</v>
      </c>
      <c r="T240" s="284">
        <v>484.61952529249993</v>
      </c>
      <c r="U240" s="296">
        <f t="shared" si="6"/>
        <v>-30.369467274930798</v>
      </c>
      <c r="V240" s="296">
        <f t="shared" si="7"/>
        <v>-15.174474707500053</v>
      </c>
      <c r="W240" s="287">
        <v>87</v>
      </c>
      <c r="X240" s="280">
        <v>85</v>
      </c>
      <c r="Y240" s="280">
        <v>84</v>
      </c>
      <c r="Z240" s="280">
        <v>82</v>
      </c>
      <c r="AA240" s="280">
        <v>79</v>
      </c>
      <c r="AB240" s="280">
        <v>78</v>
      </c>
      <c r="AC240" s="280">
        <v>78</v>
      </c>
      <c r="AD240" s="280">
        <v>79</v>
      </c>
      <c r="AE240" s="280">
        <v>78</v>
      </c>
      <c r="AF240" s="280">
        <v>76</v>
      </c>
      <c r="AG240" s="280">
        <v>74</v>
      </c>
      <c r="AH240" s="280">
        <v>74</v>
      </c>
    </row>
    <row r="241" spans="1:34" s="1" customFormat="1" ht="13" x14ac:dyDescent="0.25">
      <c r="A241" s="280" t="s">
        <v>783</v>
      </c>
      <c r="B241" s="286">
        <v>442</v>
      </c>
      <c r="C241" s="286">
        <v>727.875</v>
      </c>
      <c r="D241" s="286">
        <v>1013.7500000000001</v>
      </c>
      <c r="E241" s="286">
        <v>5</v>
      </c>
      <c r="F241" s="281">
        <v>2</v>
      </c>
      <c r="G241" s="282">
        <v>80.489678562500004</v>
      </c>
      <c r="H241" s="282">
        <v>80.283351143749996</v>
      </c>
      <c r="I241" s="282">
        <v>81.261817912500007</v>
      </c>
      <c r="J241" s="282">
        <v>83.303499473333332</v>
      </c>
      <c r="K241" s="282">
        <v>81.312708941944436</v>
      </c>
      <c r="L241" s="282">
        <v>81.828466338194431</v>
      </c>
      <c r="M241" s="282">
        <v>83.506806482777776</v>
      </c>
      <c r="N241" s="282">
        <v>85.074664198611117</v>
      </c>
      <c r="O241" s="282">
        <v>85.84998701666666</v>
      </c>
      <c r="P241" s="282">
        <v>85.139359213333336</v>
      </c>
      <c r="Q241" s="282">
        <v>84.09143947479167</v>
      </c>
      <c r="R241" s="283">
        <v>82.635495029166663</v>
      </c>
      <c r="S241" s="284">
        <v>914.28759522506937</v>
      </c>
      <c r="T241" s="284">
        <v>491.49665029249996</v>
      </c>
      <c r="U241" s="296">
        <f t="shared" si="6"/>
        <v>-3.5014047749308475</v>
      </c>
      <c r="V241" s="296">
        <f t="shared" si="7"/>
        <v>-8.2973497075000182</v>
      </c>
      <c r="W241" s="287">
        <v>87</v>
      </c>
      <c r="X241" s="280">
        <v>85</v>
      </c>
      <c r="Y241" s="280">
        <v>85</v>
      </c>
      <c r="Z241" s="280">
        <v>84</v>
      </c>
      <c r="AA241" s="280">
        <v>82</v>
      </c>
      <c r="AB241" s="280">
        <v>82</v>
      </c>
      <c r="AC241" s="280">
        <v>83</v>
      </c>
      <c r="AD241" s="280">
        <v>85</v>
      </c>
      <c r="AE241" s="280">
        <v>85</v>
      </c>
      <c r="AF241" s="280">
        <v>84</v>
      </c>
      <c r="AG241" s="280">
        <v>83</v>
      </c>
      <c r="AH241" s="280">
        <v>84</v>
      </c>
    </row>
    <row r="242" spans="1:34" s="1" customFormat="1" ht="13" x14ac:dyDescent="0.25">
      <c r="A242" s="280" t="s">
        <v>784</v>
      </c>
      <c r="B242" s="286">
        <v>442</v>
      </c>
      <c r="C242" s="286">
        <v>727.875</v>
      </c>
      <c r="D242" s="286">
        <v>1013.7500000000001</v>
      </c>
      <c r="E242" s="286">
        <v>5</v>
      </c>
      <c r="F242" s="281">
        <v>3</v>
      </c>
      <c r="G242" s="282">
        <v>80.489678562500004</v>
      </c>
      <c r="H242" s="282">
        <v>80.283351143749996</v>
      </c>
      <c r="I242" s="282">
        <v>81.7068179125</v>
      </c>
      <c r="J242" s="282">
        <v>84.193499473333333</v>
      </c>
      <c r="K242" s="282">
        <v>82.647708941944444</v>
      </c>
      <c r="L242" s="282">
        <v>83.675841338194445</v>
      </c>
      <c r="M242" s="282">
        <v>85.866556482777781</v>
      </c>
      <c r="N242" s="282">
        <v>87.9467891986111</v>
      </c>
      <c r="O242" s="282">
        <v>89.285143266666651</v>
      </c>
      <c r="P242" s="282">
        <v>89.137546713333336</v>
      </c>
      <c r="Q242" s="282">
        <v>88.652658224791665</v>
      </c>
      <c r="R242" s="283">
        <v>87.759745029166666</v>
      </c>
      <c r="S242" s="284">
        <v>941.15565772506943</v>
      </c>
      <c r="T242" s="284">
        <v>498.3737752925</v>
      </c>
      <c r="U242" s="296">
        <f t="shared" si="6"/>
        <v>23.366657725069217</v>
      </c>
      <c r="V242" s="296">
        <f t="shared" si="7"/>
        <v>-1.4202247074999832</v>
      </c>
      <c r="W242" s="287">
        <v>87</v>
      </c>
      <c r="X242" s="280">
        <v>85</v>
      </c>
      <c r="Y242" s="280">
        <v>86</v>
      </c>
      <c r="Z242" s="280">
        <v>86</v>
      </c>
      <c r="AA242" s="280">
        <v>85</v>
      </c>
      <c r="AB242" s="280">
        <v>86</v>
      </c>
      <c r="AC242" s="280">
        <v>88</v>
      </c>
      <c r="AD242" s="280">
        <v>91</v>
      </c>
      <c r="AE242" s="280">
        <v>92</v>
      </c>
      <c r="AF242" s="280">
        <v>92</v>
      </c>
      <c r="AG242" s="280">
        <v>92</v>
      </c>
      <c r="AH242" s="280">
        <v>94</v>
      </c>
    </row>
    <row r="243" spans="1:34" s="1" customFormat="1" ht="13" x14ac:dyDescent="0.25">
      <c r="A243" s="280" t="s">
        <v>785</v>
      </c>
      <c r="B243" s="286">
        <v>442</v>
      </c>
      <c r="C243" s="286">
        <v>727.875</v>
      </c>
      <c r="D243" s="286">
        <v>1013.7500000000001</v>
      </c>
      <c r="E243" s="286">
        <v>5</v>
      </c>
      <c r="F243" s="281">
        <v>4</v>
      </c>
      <c r="G243" s="282">
        <v>80.489678562500004</v>
      </c>
      <c r="H243" s="282">
        <v>80.283351143749996</v>
      </c>
      <c r="I243" s="282">
        <v>82.151817912499993</v>
      </c>
      <c r="J243" s="282">
        <v>85.083499473333333</v>
      </c>
      <c r="K243" s="282">
        <v>83.982708941944452</v>
      </c>
      <c r="L243" s="282">
        <v>85.52321633819443</v>
      </c>
      <c r="M243" s="282">
        <v>88.226306482777787</v>
      </c>
      <c r="N243" s="282">
        <v>90.818914198611097</v>
      </c>
      <c r="O243" s="282">
        <v>92.720299516666657</v>
      </c>
      <c r="P243" s="282">
        <v>93.135734213333336</v>
      </c>
      <c r="Q243" s="282">
        <v>93.21387697479166</v>
      </c>
      <c r="R243" s="283">
        <v>92.883995029166655</v>
      </c>
      <c r="S243" s="284">
        <v>968.02372022506927</v>
      </c>
      <c r="T243" s="284">
        <v>505.25090029249998</v>
      </c>
      <c r="U243" s="296">
        <f t="shared" si="6"/>
        <v>50.234720225069054</v>
      </c>
      <c r="V243" s="296">
        <f t="shared" si="7"/>
        <v>5.456900292499995</v>
      </c>
      <c r="W243" s="287">
        <v>87</v>
      </c>
      <c r="X243" s="280">
        <v>85</v>
      </c>
      <c r="Y243" s="280">
        <v>87</v>
      </c>
      <c r="Z243" s="280">
        <v>88</v>
      </c>
      <c r="AA243" s="280">
        <v>88</v>
      </c>
      <c r="AB243" s="280">
        <v>90</v>
      </c>
      <c r="AC243" s="280">
        <v>93</v>
      </c>
      <c r="AD243" s="280">
        <v>97</v>
      </c>
      <c r="AE243" s="280">
        <v>99</v>
      </c>
      <c r="AF243" s="280">
        <v>100</v>
      </c>
      <c r="AG243" s="280">
        <v>101</v>
      </c>
      <c r="AH243" s="280">
        <v>104</v>
      </c>
    </row>
    <row r="244" spans="1:34" s="1" customFormat="1" ht="13" x14ac:dyDescent="0.25">
      <c r="A244" s="280" t="s">
        <v>786</v>
      </c>
      <c r="B244" s="286">
        <v>442</v>
      </c>
      <c r="C244" s="286">
        <v>727.875</v>
      </c>
      <c r="D244" s="286">
        <v>1013.7500000000001</v>
      </c>
      <c r="E244" s="286">
        <v>5</v>
      </c>
      <c r="F244" s="281">
        <v>5</v>
      </c>
      <c r="G244" s="282">
        <v>80.489678562500004</v>
      </c>
      <c r="H244" s="282">
        <v>80.283351143749996</v>
      </c>
      <c r="I244" s="282">
        <v>82.596817912500001</v>
      </c>
      <c r="J244" s="282">
        <v>85.973499473333334</v>
      </c>
      <c r="K244" s="282">
        <v>85.31770894194446</v>
      </c>
      <c r="L244" s="282">
        <v>87.37059133819443</v>
      </c>
      <c r="M244" s="282">
        <v>90.586056482777778</v>
      </c>
      <c r="N244" s="282">
        <v>93.691039198611094</v>
      </c>
      <c r="O244" s="282">
        <v>96.155455766666662</v>
      </c>
      <c r="P244" s="282">
        <v>97.133921713333336</v>
      </c>
      <c r="Q244" s="282">
        <v>97.775095724791669</v>
      </c>
      <c r="R244" s="283">
        <v>98.008245029166659</v>
      </c>
      <c r="S244" s="284">
        <v>994.89178272506933</v>
      </c>
      <c r="T244" s="284">
        <v>512.12802529249996</v>
      </c>
      <c r="U244" s="296">
        <f t="shared" si="6"/>
        <v>77.102782725069119</v>
      </c>
      <c r="V244" s="296">
        <f t="shared" si="7"/>
        <v>12.334025292499973</v>
      </c>
      <c r="W244" s="287">
        <v>87</v>
      </c>
      <c r="X244" s="280">
        <v>85</v>
      </c>
      <c r="Y244" s="280">
        <v>88</v>
      </c>
      <c r="Z244" s="280">
        <v>90</v>
      </c>
      <c r="AA244" s="280">
        <v>91</v>
      </c>
      <c r="AB244" s="280">
        <v>94</v>
      </c>
      <c r="AC244" s="280">
        <v>98</v>
      </c>
      <c r="AD244" s="280">
        <v>103</v>
      </c>
      <c r="AE244" s="280">
        <v>106</v>
      </c>
      <c r="AF244" s="280">
        <v>108</v>
      </c>
      <c r="AG244" s="280">
        <v>110</v>
      </c>
      <c r="AH244" s="280">
        <v>114</v>
      </c>
    </row>
    <row r="245" spans="1:34" s="1" customFormat="1" ht="13" x14ac:dyDescent="0.25">
      <c r="A245" s="280" t="s">
        <v>787</v>
      </c>
      <c r="B245" s="286">
        <v>442</v>
      </c>
      <c r="C245" s="286">
        <v>727.875</v>
      </c>
      <c r="D245" s="286">
        <v>1013.7500000000001</v>
      </c>
      <c r="E245" s="286">
        <v>1</v>
      </c>
      <c r="F245" s="281">
        <v>0</v>
      </c>
      <c r="G245" s="282">
        <v>80.489678562500004</v>
      </c>
      <c r="H245" s="282">
        <v>82.730182552083321</v>
      </c>
      <c r="I245" s="282">
        <v>83.240789579166659</v>
      </c>
      <c r="J245" s="282">
        <v>84.62062322333334</v>
      </c>
      <c r="K245" s="282">
        <v>81.619773108611099</v>
      </c>
      <c r="L245" s="282">
        <v>80.296421171527768</v>
      </c>
      <c r="M245" s="282">
        <v>80.800639816111101</v>
      </c>
      <c r="N245" s="282">
        <v>81.218705865277755</v>
      </c>
      <c r="O245" s="282">
        <v>81.180799516666653</v>
      </c>
      <c r="P245" s="282">
        <v>79.329984213333333</v>
      </c>
      <c r="Q245" s="282">
        <v>77.156751974791646</v>
      </c>
      <c r="R245" s="283">
        <v>74.688203362499991</v>
      </c>
      <c r="S245" s="284">
        <v>886.88287438340262</v>
      </c>
      <c r="T245" s="284">
        <v>493.30842945083327</v>
      </c>
      <c r="U245" s="296">
        <f t="shared" si="6"/>
        <v>-30.906125616597592</v>
      </c>
      <c r="V245" s="296">
        <f t="shared" si="7"/>
        <v>-6.4855705491667095</v>
      </c>
      <c r="W245" s="287">
        <v>87</v>
      </c>
      <c r="X245" s="280">
        <v>85</v>
      </c>
      <c r="Y245" s="280">
        <v>83</v>
      </c>
      <c r="Z245" s="280">
        <v>80</v>
      </c>
      <c r="AA245" s="280">
        <v>76</v>
      </c>
      <c r="AB245" s="280">
        <v>74</v>
      </c>
      <c r="AC245" s="280">
        <v>73</v>
      </c>
      <c r="AD245" s="280">
        <v>73</v>
      </c>
      <c r="AE245" s="280">
        <v>71</v>
      </c>
      <c r="AF245" s="280">
        <v>68</v>
      </c>
      <c r="AG245" s="280">
        <v>65</v>
      </c>
      <c r="AH245" s="280">
        <v>64</v>
      </c>
    </row>
    <row r="246" spans="1:34" s="1" customFormat="1" ht="13" x14ac:dyDescent="0.25">
      <c r="A246" s="280" t="s">
        <v>788</v>
      </c>
      <c r="B246" s="286">
        <v>442</v>
      </c>
      <c r="C246" s="286">
        <v>727.875</v>
      </c>
      <c r="D246" s="286">
        <v>1013.7500000000001</v>
      </c>
      <c r="E246" s="286">
        <v>1</v>
      </c>
      <c r="F246" s="281">
        <v>1</v>
      </c>
      <c r="G246" s="282">
        <v>80.489678562500004</v>
      </c>
      <c r="H246" s="282">
        <v>82.730182552083321</v>
      </c>
      <c r="I246" s="282">
        <v>83.685789579166666</v>
      </c>
      <c r="J246" s="282">
        <v>85.51062322333334</v>
      </c>
      <c r="K246" s="282">
        <v>82.954773108611107</v>
      </c>
      <c r="L246" s="282">
        <v>82.143796171527768</v>
      </c>
      <c r="M246" s="282">
        <v>83.160389816111106</v>
      </c>
      <c r="N246" s="282">
        <v>84.090830865277766</v>
      </c>
      <c r="O246" s="282">
        <v>84.616580766666672</v>
      </c>
      <c r="P246" s="282">
        <v>83.329421713333332</v>
      </c>
      <c r="Q246" s="282">
        <v>81.719845724791668</v>
      </c>
      <c r="R246" s="283">
        <v>79.814953362499992</v>
      </c>
      <c r="S246" s="284">
        <v>913.7571868834026</v>
      </c>
      <c r="T246" s="284">
        <v>500.18555445083331</v>
      </c>
      <c r="U246" s="296">
        <f t="shared" si="6"/>
        <v>-4.0318131165976183</v>
      </c>
      <c r="V246" s="296">
        <f t="shared" si="7"/>
        <v>0.39155445083332552</v>
      </c>
      <c r="W246" s="287">
        <v>87</v>
      </c>
      <c r="X246" s="280">
        <v>85</v>
      </c>
      <c r="Y246" s="280">
        <v>84</v>
      </c>
      <c r="Z246" s="280">
        <v>82</v>
      </c>
      <c r="AA246" s="280">
        <v>79</v>
      </c>
      <c r="AB246" s="280">
        <v>78</v>
      </c>
      <c r="AC246" s="280">
        <v>78</v>
      </c>
      <c r="AD246" s="280">
        <v>79</v>
      </c>
      <c r="AE246" s="280">
        <v>78</v>
      </c>
      <c r="AF246" s="280">
        <v>76</v>
      </c>
      <c r="AG246" s="280">
        <v>74</v>
      </c>
      <c r="AH246" s="280">
        <v>74</v>
      </c>
    </row>
    <row r="247" spans="1:34" s="1" customFormat="1" ht="13" x14ac:dyDescent="0.25">
      <c r="A247" s="280" t="s">
        <v>789</v>
      </c>
      <c r="B247" s="286">
        <v>442</v>
      </c>
      <c r="C247" s="286">
        <v>727.875</v>
      </c>
      <c r="D247" s="286">
        <v>1013.7500000000001</v>
      </c>
      <c r="E247" s="286">
        <v>1</v>
      </c>
      <c r="F247" s="281">
        <v>2</v>
      </c>
      <c r="G247" s="282">
        <v>80.489678562500004</v>
      </c>
      <c r="H247" s="282">
        <v>82.730182552083321</v>
      </c>
      <c r="I247" s="282">
        <v>84.13078957916666</v>
      </c>
      <c r="J247" s="282">
        <v>86.400623223333341</v>
      </c>
      <c r="K247" s="282">
        <v>84.289773108611115</v>
      </c>
      <c r="L247" s="282">
        <v>83.991171171527768</v>
      </c>
      <c r="M247" s="282">
        <v>85.520139816111097</v>
      </c>
      <c r="N247" s="282">
        <v>86.962955865277777</v>
      </c>
      <c r="O247" s="282">
        <v>88.052362016666677</v>
      </c>
      <c r="P247" s="282">
        <v>87.328859213333331</v>
      </c>
      <c r="Q247" s="282">
        <v>86.282939474791661</v>
      </c>
      <c r="R247" s="283">
        <v>84.941703362500007</v>
      </c>
      <c r="S247" s="284">
        <v>940.6314993834028</v>
      </c>
      <c r="T247" s="284">
        <v>507.06267945083329</v>
      </c>
      <c r="U247" s="296">
        <f t="shared" si="6"/>
        <v>22.842499383402583</v>
      </c>
      <c r="V247" s="296">
        <f t="shared" si="7"/>
        <v>7.2686794508333037</v>
      </c>
      <c r="W247" s="287">
        <v>87</v>
      </c>
      <c r="X247" s="280">
        <v>85</v>
      </c>
      <c r="Y247" s="280">
        <v>85</v>
      </c>
      <c r="Z247" s="280">
        <v>84</v>
      </c>
      <c r="AA247" s="280">
        <v>82</v>
      </c>
      <c r="AB247" s="280">
        <v>82</v>
      </c>
      <c r="AC247" s="280">
        <v>83</v>
      </c>
      <c r="AD247" s="280">
        <v>85</v>
      </c>
      <c r="AE247" s="280">
        <v>85</v>
      </c>
      <c r="AF247" s="280">
        <v>84</v>
      </c>
      <c r="AG247" s="280">
        <v>83</v>
      </c>
      <c r="AH247" s="280">
        <v>84</v>
      </c>
    </row>
    <row r="248" spans="1:34" s="1" customFormat="1" ht="13" x14ac:dyDescent="0.25">
      <c r="A248" s="280" t="s">
        <v>790</v>
      </c>
      <c r="B248" s="286">
        <v>442</v>
      </c>
      <c r="C248" s="286">
        <v>727.875</v>
      </c>
      <c r="D248" s="286">
        <v>1013.7500000000001</v>
      </c>
      <c r="E248" s="286">
        <v>1</v>
      </c>
      <c r="F248" s="281">
        <v>3</v>
      </c>
      <c r="G248" s="282">
        <v>80.489678562500004</v>
      </c>
      <c r="H248" s="282">
        <v>82.730182552083321</v>
      </c>
      <c r="I248" s="282">
        <v>84.575789579166667</v>
      </c>
      <c r="J248" s="282">
        <v>87.290623223333341</v>
      </c>
      <c r="K248" s="282">
        <v>85.624773108611123</v>
      </c>
      <c r="L248" s="282">
        <v>85.838546171527767</v>
      </c>
      <c r="M248" s="282">
        <v>87.879889816111117</v>
      </c>
      <c r="N248" s="282">
        <v>89.835080865277774</v>
      </c>
      <c r="O248" s="282">
        <v>91.488143266666668</v>
      </c>
      <c r="P248" s="282">
        <v>91.32829671333333</v>
      </c>
      <c r="Q248" s="282">
        <v>90.846033224791668</v>
      </c>
      <c r="R248" s="283">
        <v>90.068453362500009</v>
      </c>
      <c r="S248" s="284">
        <v>967.50581188340266</v>
      </c>
      <c r="T248" s="284">
        <v>513.93980445083332</v>
      </c>
      <c r="U248" s="296">
        <f t="shared" si="6"/>
        <v>49.716811883402443</v>
      </c>
      <c r="V248" s="296">
        <f t="shared" si="7"/>
        <v>14.145804450833339</v>
      </c>
      <c r="W248" s="287">
        <v>87</v>
      </c>
      <c r="X248" s="280">
        <v>85</v>
      </c>
      <c r="Y248" s="280">
        <v>86</v>
      </c>
      <c r="Z248" s="280">
        <v>86</v>
      </c>
      <c r="AA248" s="280">
        <v>85</v>
      </c>
      <c r="AB248" s="280">
        <v>86</v>
      </c>
      <c r="AC248" s="280">
        <v>88</v>
      </c>
      <c r="AD248" s="280">
        <v>91</v>
      </c>
      <c r="AE248" s="280">
        <v>92</v>
      </c>
      <c r="AF248" s="280">
        <v>92</v>
      </c>
      <c r="AG248" s="280">
        <v>92</v>
      </c>
      <c r="AH248" s="280">
        <v>94</v>
      </c>
    </row>
    <row r="249" spans="1:34" s="1" customFormat="1" ht="13" x14ac:dyDescent="0.25">
      <c r="A249" s="280" t="s">
        <v>791</v>
      </c>
      <c r="B249" s="286">
        <v>442</v>
      </c>
      <c r="C249" s="286">
        <v>727.875</v>
      </c>
      <c r="D249" s="286">
        <v>1013.7500000000001</v>
      </c>
      <c r="E249" s="286">
        <v>1</v>
      </c>
      <c r="F249" s="281">
        <v>4</v>
      </c>
      <c r="G249" s="282">
        <v>80.489678562500004</v>
      </c>
      <c r="H249" s="282">
        <v>82.730182552083321</v>
      </c>
      <c r="I249" s="282">
        <v>85.02078957916666</v>
      </c>
      <c r="J249" s="282">
        <v>88.180623223333342</v>
      </c>
      <c r="K249" s="282">
        <v>86.959773108611117</v>
      </c>
      <c r="L249" s="282">
        <v>87.685921171527767</v>
      </c>
      <c r="M249" s="282">
        <v>90.239639816111108</v>
      </c>
      <c r="N249" s="282">
        <v>92.707205865277771</v>
      </c>
      <c r="O249" s="282">
        <v>94.923924516666673</v>
      </c>
      <c r="P249" s="282">
        <v>95.327734213333329</v>
      </c>
      <c r="Q249" s="282">
        <v>95.409126974791661</v>
      </c>
      <c r="R249" s="283">
        <v>95.195203362499996</v>
      </c>
      <c r="S249" s="284">
        <v>994.38012438340274</v>
      </c>
      <c r="T249" s="284">
        <v>520.8169294508333</v>
      </c>
      <c r="U249" s="296">
        <f t="shared" si="6"/>
        <v>76.59112438340253</v>
      </c>
      <c r="V249" s="296">
        <f t="shared" si="7"/>
        <v>21.022929450833317</v>
      </c>
      <c r="W249" s="287">
        <v>87</v>
      </c>
      <c r="X249" s="280">
        <v>85</v>
      </c>
      <c r="Y249" s="280">
        <v>87</v>
      </c>
      <c r="Z249" s="280">
        <v>88</v>
      </c>
      <c r="AA249" s="280">
        <v>88</v>
      </c>
      <c r="AB249" s="280">
        <v>90</v>
      </c>
      <c r="AC249" s="280">
        <v>93</v>
      </c>
      <c r="AD249" s="280">
        <v>97</v>
      </c>
      <c r="AE249" s="280">
        <v>99</v>
      </c>
      <c r="AF249" s="280">
        <v>100</v>
      </c>
      <c r="AG249" s="280">
        <v>101</v>
      </c>
      <c r="AH249" s="280">
        <v>104</v>
      </c>
    </row>
    <row r="250" spans="1:34" s="1" customFormat="1" ht="13" x14ac:dyDescent="0.25">
      <c r="A250" s="280" t="s">
        <v>792</v>
      </c>
      <c r="B250" s="286">
        <v>442</v>
      </c>
      <c r="C250" s="286">
        <v>727.875</v>
      </c>
      <c r="D250" s="286">
        <v>1013.7500000000001</v>
      </c>
      <c r="E250" s="286">
        <v>1</v>
      </c>
      <c r="F250" s="281">
        <v>5</v>
      </c>
      <c r="G250" s="282">
        <v>80.489678562500004</v>
      </c>
      <c r="H250" s="282">
        <v>82.730182552083321</v>
      </c>
      <c r="I250" s="282">
        <v>85.465789579166668</v>
      </c>
      <c r="J250" s="282">
        <v>89.070623223333328</v>
      </c>
      <c r="K250" s="282">
        <v>88.294773108611111</v>
      </c>
      <c r="L250" s="282">
        <v>89.533296171527766</v>
      </c>
      <c r="M250" s="282">
        <v>92.599389816111113</v>
      </c>
      <c r="N250" s="282">
        <v>95.579330865277768</v>
      </c>
      <c r="O250" s="282">
        <v>98.359705766666679</v>
      </c>
      <c r="P250" s="282">
        <v>99.327171713333328</v>
      </c>
      <c r="Q250" s="282">
        <v>99.972220724791669</v>
      </c>
      <c r="R250" s="283">
        <v>100.3219533625</v>
      </c>
      <c r="S250" s="284">
        <v>1021.2544368834027</v>
      </c>
      <c r="T250" s="284">
        <v>527.69405445083328</v>
      </c>
      <c r="U250" s="296">
        <f t="shared" si="6"/>
        <v>103.4654368834025</v>
      </c>
      <c r="V250" s="296">
        <f t="shared" si="7"/>
        <v>27.900054450833295</v>
      </c>
      <c r="W250" s="287">
        <v>87</v>
      </c>
      <c r="X250" s="280">
        <v>85</v>
      </c>
      <c r="Y250" s="280">
        <v>88</v>
      </c>
      <c r="Z250" s="280">
        <v>90</v>
      </c>
      <c r="AA250" s="280">
        <v>91</v>
      </c>
      <c r="AB250" s="280">
        <v>94</v>
      </c>
      <c r="AC250" s="280">
        <v>98</v>
      </c>
      <c r="AD250" s="280">
        <v>103</v>
      </c>
      <c r="AE250" s="280">
        <v>106</v>
      </c>
      <c r="AF250" s="280">
        <v>108</v>
      </c>
      <c r="AG250" s="280">
        <v>110</v>
      </c>
      <c r="AH250" s="280">
        <v>114</v>
      </c>
    </row>
    <row r="251" spans="1:34" s="1" customFormat="1" ht="13" x14ac:dyDescent="0.25">
      <c r="A251" s="280" t="s">
        <v>793</v>
      </c>
      <c r="B251" s="286">
        <v>442</v>
      </c>
      <c r="C251" s="286">
        <v>727.875</v>
      </c>
      <c r="D251" s="286">
        <v>1013.7500000000001</v>
      </c>
      <c r="E251" s="286">
        <v>2</v>
      </c>
      <c r="F251" s="281">
        <v>0</v>
      </c>
      <c r="G251" s="282">
        <v>80.489678562500004</v>
      </c>
      <c r="H251" s="282">
        <v>81.435861218749992</v>
      </c>
      <c r="I251" s="282">
        <v>82.186356037500019</v>
      </c>
      <c r="J251" s="282">
        <v>83.447521806666671</v>
      </c>
      <c r="K251" s="282">
        <v>80.719123775277765</v>
      </c>
      <c r="L251" s="282">
        <v>79.910171171527764</v>
      </c>
      <c r="M251" s="282">
        <v>80.372775232777769</v>
      </c>
      <c r="N251" s="282">
        <v>80.787247531944431</v>
      </c>
      <c r="O251" s="282">
        <v>80.579028683333334</v>
      </c>
      <c r="P251" s="282">
        <v>78.898525879999994</v>
      </c>
      <c r="Q251" s="282">
        <v>76.691231141458317</v>
      </c>
      <c r="R251" s="283">
        <v>74.131849195833311</v>
      </c>
      <c r="S251" s="284">
        <v>879.15969167506921</v>
      </c>
      <c r="T251" s="284">
        <v>488.07180924249991</v>
      </c>
      <c r="U251" s="296">
        <f t="shared" si="6"/>
        <v>-38.629308324931003</v>
      </c>
      <c r="V251" s="296">
        <f t="shared" si="7"/>
        <v>-11.722190757500073</v>
      </c>
      <c r="W251" s="287">
        <v>87</v>
      </c>
      <c r="X251" s="280">
        <v>85</v>
      </c>
      <c r="Y251" s="280">
        <v>83</v>
      </c>
      <c r="Z251" s="280">
        <v>80</v>
      </c>
      <c r="AA251" s="280">
        <v>76</v>
      </c>
      <c r="AB251" s="280">
        <v>74</v>
      </c>
      <c r="AC251" s="280">
        <v>73</v>
      </c>
      <c r="AD251" s="280">
        <v>73</v>
      </c>
      <c r="AE251" s="280">
        <v>71</v>
      </c>
      <c r="AF251" s="280">
        <v>68</v>
      </c>
      <c r="AG251" s="280">
        <v>65</v>
      </c>
      <c r="AH251" s="280">
        <v>64</v>
      </c>
    </row>
    <row r="252" spans="1:34" s="1" customFormat="1" ht="13" x14ac:dyDescent="0.25">
      <c r="A252" s="280" t="s">
        <v>794</v>
      </c>
      <c r="B252" s="286">
        <v>442</v>
      </c>
      <c r="C252" s="286">
        <v>727.875</v>
      </c>
      <c r="D252" s="286">
        <v>1013.7500000000001</v>
      </c>
      <c r="E252" s="286">
        <v>2</v>
      </c>
      <c r="F252" s="281">
        <v>1</v>
      </c>
      <c r="G252" s="282">
        <v>80.489678562500004</v>
      </c>
      <c r="H252" s="282">
        <v>81.435861218749992</v>
      </c>
      <c r="I252" s="282">
        <v>82.631356037500026</v>
      </c>
      <c r="J252" s="282">
        <v>84.337521806666672</v>
      </c>
      <c r="K252" s="282">
        <v>82.054123775277773</v>
      </c>
      <c r="L252" s="282">
        <v>81.757546171527764</v>
      </c>
      <c r="M252" s="282">
        <v>82.732525232777789</v>
      </c>
      <c r="N252" s="282">
        <v>83.659372531944442</v>
      </c>
      <c r="O252" s="282">
        <v>84.014809933333339</v>
      </c>
      <c r="P252" s="282">
        <v>82.897963379999993</v>
      </c>
      <c r="Q252" s="282">
        <v>81.254324891458324</v>
      </c>
      <c r="R252" s="283">
        <v>79.258599195833312</v>
      </c>
      <c r="S252" s="284">
        <v>906.03400417506941</v>
      </c>
      <c r="T252" s="284">
        <v>494.94893424250006</v>
      </c>
      <c r="U252" s="296">
        <f t="shared" si="6"/>
        <v>-11.754995824930802</v>
      </c>
      <c r="V252" s="296">
        <f t="shared" si="7"/>
        <v>-4.8450657574999241</v>
      </c>
      <c r="W252" s="287">
        <v>87</v>
      </c>
      <c r="X252" s="280">
        <v>85</v>
      </c>
      <c r="Y252" s="280">
        <v>84</v>
      </c>
      <c r="Z252" s="280">
        <v>82</v>
      </c>
      <c r="AA252" s="280">
        <v>79</v>
      </c>
      <c r="AB252" s="280">
        <v>78</v>
      </c>
      <c r="AC252" s="280">
        <v>78</v>
      </c>
      <c r="AD252" s="280">
        <v>79</v>
      </c>
      <c r="AE252" s="280">
        <v>78</v>
      </c>
      <c r="AF252" s="280">
        <v>76</v>
      </c>
      <c r="AG252" s="280">
        <v>74</v>
      </c>
      <c r="AH252" s="280">
        <v>74</v>
      </c>
    </row>
    <row r="253" spans="1:34" s="1" customFormat="1" ht="13" x14ac:dyDescent="0.25">
      <c r="A253" s="280" t="s">
        <v>795</v>
      </c>
      <c r="B253" s="286">
        <v>442</v>
      </c>
      <c r="C253" s="286">
        <v>727.875</v>
      </c>
      <c r="D253" s="286">
        <v>1013.7500000000001</v>
      </c>
      <c r="E253" s="286">
        <v>2</v>
      </c>
      <c r="F253" s="281">
        <v>2</v>
      </c>
      <c r="G253" s="282">
        <v>80.489678562500004</v>
      </c>
      <c r="H253" s="282">
        <v>81.435861218749992</v>
      </c>
      <c r="I253" s="282">
        <v>83.07635603750002</v>
      </c>
      <c r="J253" s="282">
        <v>85.227521806666672</v>
      </c>
      <c r="K253" s="282">
        <v>83.389123775277781</v>
      </c>
      <c r="L253" s="282">
        <v>83.604921171527764</v>
      </c>
      <c r="M253" s="282">
        <v>85.092275232777766</v>
      </c>
      <c r="N253" s="282">
        <v>86.531497531944439</v>
      </c>
      <c r="O253" s="282">
        <v>87.450591183333344</v>
      </c>
      <c r="P253" s="282">
        <v>86.897400879999992</v>
      </c>
      <c r="Q253" s="282">
        <v>85.817418641458318</v>
      </c>
      <c r="R253" s="283">
        <v>84.385349195833314</v>
      </c>
      <c r="S253" s="284">
        <v>932.90831667506927</v>
      </c>
      <c r="T253" s="284">
        <v>501.82605924249992</v>
      </c>
      <c r="U253" s="296">
        <f t="shared" si="6"/>
        <v>15.119316675069058</v>
      </c>
      <c r="V253" s="296">
        <f t="shared" si="7"/>
        <v>2.0320592424999404</v>
      </c>
      <c r="W253" s="287">
        <v>87</v>
      </c>
      <c r="X253" s="280">
        <v>85</v>
      </c>
      <c r="Y253" s="280">
        <v>85</v>
      </c>
      <c r="Z253" s="280">
        <v>84</v>
      </c>
      <c r="AA253" s="280">
        <v>82</v>
      </c>
      <c r="AB253" s="280">
        <v>82</v>
      </c>
      <c r="AC253" s="280">
        <v>83</v>
      </c>
      <c r="AD253" s="280">
        <v>85</v>
      </c>
      <c r="AE253" s="280">
        <v>85</v>
      </c>
      <c r="AF253" s="280">
        <v>84</v>
      </c>
      <c r="AG253" s="280">
        <v>83</v>
      </c>
      <c r="AH253" s="280">
        <v>84</v>
      </c>
    </row>
    <row r="254" spans="1:34" s="1" customFormat="1" ht="13" x14ac:dyDescent="0.25">
      <c r="A254" s="280" t="s">
        <v>796</v>
      </c>
      <c r="B254" s="286">
        <v>442</v>
      </c>
      <c r="C254" s="286">
        <v>727.875</v>
      </c>
      <c r="D254" s="286">
        <v>1013.7500000000001</v>
      </c>
      <c r="E254" s="286">
        <v>2</v>
      </c>
      <c r="F254" s="281">
        <v>3</v>
      </c>
      <c r="G254" s="282">
        <v>80.489678562500004</v>
      </c>
      <c r="H254" s="282">
        <v>81.435861218749992</v>
      </c>
      <c r="I254" s="282">
        <v>83.521356037500027</v>
      </c>
      <c r="J254" s="282">
        <v>86.117521806666673</v>
      </c>
      <c r="K254" s="282">
        <v>84.724123775277789</v>
      </c>
      <c r="L254" s="282">
        <v>85.452296171527763</v>
      </c>
      <c r="M254" s="282">
        <v>87.452025232777785</v>
      </c>
      <c r="N254" s="282">
        <v>89.403622531944436</v>
      </c>
      <c r="O254" s="282">
        <v>90.886372433333349</v>
      </c>
      <c r="P254" s="282">
        <v>90.896838379999991</v>
      </c>
      <c r="Q254" s="282">
        <v>90.380512391458325</v>
      </c>
      <c r="R254" s="283">
        <v>89.512099195833315</v>
      </c>
      <c r="S254" s="284">
        <v>959.78262917506947</v>
      </c>
      <c r="T254" s="284">
        <v>508.70318424250007</v>
      </c>
      <c r="U254" s="296">
        <f t="shared" si="6"/>
        <v>41.993629175069259</v>
      </c>
      <c r="V254" s="296">
        <f t="shared" si="7"/>
        <v>8.9091842425000891</v>
      </c>
      <c r="W254" s="287">
        <v>87</v>
      </c>
      <c r="X254" s="280">
        <v>85</v>
      </c>
      <c r="Y254" s="280">
        <v>86</v>
      </c>
      <c r="Z254" s="280">
        <v>86</v>
      </c>
      <c r="AA254" s="280">
        <v>85</v>
      </c>
      <c r="AB254" s="280">
        <v>86</v>
      </c>
      <c r="AC254" s="280">
        <v>88</v>
      </c>
      <c r="AD254" s="280">
        <v>91</v>
      </c>
      <c r="AE254" s="280">
        <v>92</v>
      </c>
      <c r="AF254" s="280">
        <v>92</v>
      </c>
      <c r="AG254" s="280">
        <v>92</v>
      </c>
      <c r="AH254" s="280">
        <v>94</v>
      </c>
    </row>
    <row r="255" spans="1:34" s="1" customFormat="1" ht="13" x14ac:dyDescent="0.25">
      <c r="A255" s="280" t="s">
        <v>797</v>
      </c>
      <c r="B255" s="286">
        <v>442</v>
      </c>
      <c r="C255" s="286">
        <v>727.875</v>
      </c>
      <c r="D255" s="286">
        <v>1013.7500000000001</v>
      </c>
      <c r="E255" s="286">
        <v>2</v>
      </c>
      <c r="F255" s="281">
        <v>4</v>
      </c>
      <c r="G255" s="282">
        <v>80.489678562500004</v>
      </c>
      <c r="H255" s="282">
        <v>81.435861218749992</v>
      </c>
      <c r="I255" s="282">
        <v>83.96635603750002</v>
      </c>
      <c r="J255" s="282">
        <v>87.007521806666674</v>
      </c>
      <c r="K255" s="282">
        <v>86.059123775277783</v>
      </c>
      <c r="L255" s="282">
        <v>87.299671171527763</v>
      </c>
      <c r="M255" s="282">
        <v>89.811775232777777</v>
      </c>
      <c r="N255" s="282">
        <v>92.275747531944447</v>
      </c>
      <c r="O255" s="282">
        <v>94.32215368333334</v>
      </c>
      <c r="P255" s="282">
        <v>94.89627587999999</v>
      </c>
      <c r="Q255" s="282">
        <v>94.943606141458318</v>
      </c>
      <c r="R255" s="283">
        <v>94.638849195833316</v>
      </c>
      <c r="S255" s="284">
        <v>986.65694167506945</v>
      </c>
      <c r="T255" s="284">
        <v>515.58030924249999</v>
      </c>
      <c r="U255" s="296">
        <f t="shared" si="6"/>
        <v>68.867941675069233</v>
      </c>
      <c r="V255" s="296">
        <f t="shared" si="7"/>
        <v>15.78630924250001</v>
      </c>
      <c r="W255" s="287">
        <v>87</v>
      </c>
      <c r="X255" s="280">
        <v>85</v>
      </c>
      <c r="Y255" s="280">
        <v>87</v>
      </c>
      <c r="Z255" s="280">
        <v>88</v>
      </c>
      <c r="AA255" s="280">
        <v>88</v>
      </c>
      <c r="AB255" s="280">
        <v>90</v>
      </c>
      <c r="AC255" s="280">
        <v>93</v>
      </c>
      <c r="AD255" s="280">
        <v>97</v>
      </c>
      <c r="AE255" s="280">
        <v>99</v>
      </c>
      <c r="AF255" s="280">
        <v>100</v>
      </c>
      <c r="AG255" s="280">
        <v>101</v>
      </c>
      <c r="AH255" s="280">
        <v>104</v>
      </c>
    </row>
    <row r="256" spans="1:34" s="1" customFormat="1" ht="13" x14ac:dyDescent="0.25">
      <c r="A256" s="280" t="s">
        <v>798</v>
      </c>
      <c r="B256" s="286">
        <v>442</v>
      </c>
      <c r="C256" s="286">
        <v>727.875</v>
      </c>
      <c r="D256" s="286">
        <v>1013.7500000000001</v>
      </c>
      <c r="E256" s="286">
        <v>2</v>
      </c>
      <c r="F256" s="281">
        <v>5</v>
      </c>
      <c r="G256" s="282">
        <v>80.489678562500004</v>
      </c>
      <c r="H256" s="282">
        <v>81.435861218749992</v>
      </c>
      <c r="I256" s="282">
        <v>84.411356037500028</v>
      </c>
      <c r="J256" s="282">
        <v>87.897521806666674</v>
      </c>
      <c r="K256" s="282">
        <v>87.394123775277777</v>
      </c>
      <c r="L256" s="282">
        <v>89.147046171527762</v>
      </c>
      <c r="M256" s="282">
        <v>92.171525232777782</v>
      </c>
      <c r="N256" s="282">
        <v>95.147872531944444</v>
      </c>
      <c r="O256" s="282">
        <v>97.757934933333345</v>
      </c>
      <c r="P256" s="282">
        <v>98.895713379999989</v>
      </c>
      <c r="Q256" s="282">
        <v>99.506699891458325</v>
      </c>
      <c r="R256" s="283">
        <v>99.765599195833317</v>
      </c>
      <c r="S256" s="284">
        <v>1013.5312541750693</v>
      </c>
      <c r="T256" s="284">
        <v>522.45743424249997</v>
      </c>
      <c r="U256" s="296">
        <f t="shared" si="6"/>
        <v>95.742254175069093</v>
      </c>
      <c r="V256" s="296">
        <f t="shared" si="7"/>
        <v>22.663434242499989</v>
      </c>
      <c r="W256" s="287">
        <v>87</v>
      </c>
      <c r="X256" s="280">
        <v>85</v>
      </c>
      <c r="Y256" s="280">
        <v>88</v>
      </c>
      <c r="Z256" s="280">
        <v>90</v>
      </c>
      <c r="AA256" s="280">
        <v>91</v>
      </c>
      <c r="AB256" s="280">
        <v>94</v>
      </c>
      <c r="AC256" s="280">
        <v>98</v>
      </c>
      <c r="AD256" s="280">
        <v>103</v>
      </c>
      <c r="AE256" s="280">
        <v>106</v>
      </c>
      <c r="AF256" s="280">
        <v>108</v>
      </c>
      <c r="AG256" s="280">
        <v>110</v>
      </c>
      <c r="AH256" s="280">
        <v>114</v>
      </c>
    </row>
    <row r="257" spans="1:34" s="1" customFormat="1" ht="13" x14ac:dyDescent="0.25">
      <c r="A257" s="280" t="s">
        <v>799</v>
      </c>
      <c r="B257" s="286">
        <v>442</v>
      </c>
      <c r="C257" s="286">
        <v>727.875</v>
      </c>
      <c r="D257" s="286">
        <v>1013.7500000000001</v>
      </c>
      <c r="E257" s="286">
        <v>3</v>
      </c>
      <c r="F257" s="281">
        <v>0</v>
      </c>
      <c r="G257" s="282">
        <v>80.489678562500004</v>
      </c>
      <c r="H257" s="282">
        <v>80.913773949305551</v>
      </c>
      <c r="I257" s="282">
        <v>81.374982523611109</v>
      </c>
      <c r="J257" s="282">
        <v>82.819815695555562</v>
      </c>
      <c r="K257" s="282">
        <v>79.988672386388885</v>
      </c>
      <c r="L257" s="282">
        <v>79.395448949305546</v>
      </c>
      <c r="M257" s="282">
        <v>79.954563427222212</v>
      </c>
      <c r="N257" s="282">
        <v>80.386066976388875</v>
      </c>
      <c r="O257" s="282">
        <v>80.090799516666664</v>
      </c>
      <c r="P257" s="282">
        <v>78.353525880000007</v>
      </c>
      <c r="Q257" s="282">
        <v>76.248418641458315</v>
      </c>
      <c r="R257" s="283">
        <v>73.636050584722213</v>
      </c>
      <c r="S257" s="284">
        <v>873.16211853062487</v>
      </c>
      <c r="T257" s="284">
        <v>484.44725693138889</v>
      </c>
      <c r="U257" s="296">
        <f t="shared" si="6"/>
        <v>-44.626881469375348</v>
      </c>
      <c r="V257" s="296">
        <f t="shared" si="7"/>
        <v>-15.34674306861109</v>
      </c>
      <c r="W257" s="287">
        <v>87</v>
      </c>
      <c r="X257" s="280">
        <v>85</v>
      </c>
      <c r="Y257" s="280">
        <v>83</v>
      </c>
      <c r="Z257" s="280">
        <v>80</v>
      </c>
      <c r="AA257" s="280">
        <v>76</v>
      </c>
      <c r="AB257" s="280">
        <v>74</v>
      </c>
      <c r="AC257" s="280">
        <v>73</v>
      </c>
      <c r="AD257" s="280">
        <v>73</v>
      </c>
      <c r="AE257" s="280">
        <v>71</v>
      </c>
      <c r="AF257" s="280">
        <v>68</v>
      </c>
      <c r="AG257" s="280">
        <v>65</v>
      </c>
      <c r="AH257" s="280">
        <v>64</v>
      </c>
    </row>
    <row r="258" spans="1:34" s="1" customFormat="1" ht="13" x14ac:dyDescent="0.25">
      <c r="A258" s="280" t="s">
        <v>800</v>
      </c>
      <c r="B258" s="286">
        <v>442</v>
      </c>
      <c r="C258" s="286">
        <v>727.875</v>
      </c>
      <c r="D258" s="286">
        <v>1013.7500000000001</v>
      </c>
      <c r="E258" s="286">
        <v>3</v>
      </c>
      <c r="F258" s="281">
        <v>1</v>
      </c>
      <c r="G258" s="282">
        <v>80.489678562500004</v>
      </c>
      <c r="H258" s="282">
        <v>80.913773949305551</v>
      </c>
      <c r="I258" s="282">
        <v>81.819982523611117</v>
      </c>
      <c r="J258" s="282">
        <v>83.709815695555562</v>
      </c>
      <c r="K258" s="282">
        <v>81.323672386388878</v>
      </c>
      <c r="L258" s="282">
        <v>81.242823949305546</v>
      </c>
      <c r="M258" s="282">
        <v>82.314313427222203</v>
      </c>
      <c r="N258" s="282">
        <v>83.2581919763889</v>
      </c>
      <c r="O258" s="282">
        <v>83.526580766666669</v>
      </c>
      <c r="P258" s="282">
        <v>82.35296338000002</v>
      </c>
      <c r="Q258" s="282">
        <v>80.811512391458322</v>
      </c>
      <c r="R258" s="283">
        <v>78.7628005847222</v>
      </c>
      <c r="S258" s="284">
        <v>900.03643103062495</v>
      </c>
      <c r="T258" s="284">
        <v>491.32438193138887</v>
      </c>
      <c r="U258" s="296">
        <f t="shared" si="6"/>
        <v>-17.752568969375261</v>
      </c>
      <c r="V258" s="296">
        <f t="shared" si="7"/>
        <v>-8.469618068611112</v>
      </c>
      <c r="W258" s="287">
        <v>87</v>
      </c>
      <c r="X258" s="280">
        <v>85</v>
      </c>
      <c r="Y258" s="280">
        <v>84</v>
      </c>
      <c r="Z258" s="280">
        <v>82</v>
      </c>
      <c r="AA258" s="280">
        <v>79</v>
      </c>
      <c r="AB258" s="280">
        <v>78</v>
      </c>
      <c r="AC258" s="280">
        <v>78</v>
      </c>
      <c r="AD258" s="280">
        <v>79</v>
      </c>
      <c r="AE258" s="280">
        <v>78</v>
      </c>
      <c r="AF258" s="280">
        <v>76</v>
      </c>
      <c r="AG258" s="280">
        <v>74</v>
      </c>
      <c r="AH258" s="280">
        <v>74</v>
      </c>
    </row>
    <row r="259" spans="1:34" s="1" customFormat="1" ht="13" x14ac:dyDescent="0.25">
      <c r="A259" s="280" t="s">
        <v>801</v>
      </c>
      <c r="B259" s="286">
        <v>442</v>
      </c>
      <c r="C259" s="286">
        <v>727.875</v>
      </c>
      <c r="D259" s="286">
        <v>1013.7500000000001</v>
      </c>
      <c r="E259" s="286">
        <v>3</v>
      </c>
      <c r="F259" s="281">
        <v>2</v>
      </c>
      <c r="G259" s="282">
        <v>80.489678562500004</v>
      </c>
      <c r="H259" s="282">
        <v>80.913773949305551</v>
      </c>
      <c r="I259" s="282">
        <v>82.264982523611124</v>
      </c>
      <c r="J259" s="282">
        <v>84.599815695555563</v>
      </c>
      <c r="K259" s="282">
        <v>82.658672386388872</v>
      </c>
      <c r="L259" s="282">
        <v>83.090198949305545</v>
      </c>
      <c r="M259" s="282">
        <v>84.674063427222222</v>
      </c>
      <c r="N259" s="282">
        <v>86.130316976388897</v>
      </c>
      <c r="O259" s="282">
        <v>86.962362016666674</v>
      </c>
      <c r="P259" s="282">
        <v>86.352400880000019</v>
      </c>
      <c r="Q259" s="282">
        <v>85.374606141458329</v>
      </c>
      <c r="R259" s="283">
        <v>83.889550584722201</v>
      </c>
      <c r="S259" s="284">
        <v>926.91074353062504</v>
      </c>
      <c r="T259" s="284">
        <v>498.20150693138885</v>
      </c>
      <c r="U259" s="296">
        <f t="shared" si="6"/>
        <v>9.1217435306248262</v>
      </c>
      <c r="V259" s="296">
        <f t="shared" si="7"/>
        <v>-1.5924930686111338</v>
      </c>
      <c r="W259" s="287">
        <v>87</v>
      </c>
      <c r="X259" s="280">
        <v>85</v>
      </c>
      <c r="Y259" s="280">
        <v>85</v>
      </c>
      <c r="Z259" s="280">
        <v>84</v>
      </c>
      <c r="AA259" s="280">
        <v>82</v>
      </c>
      <c r="AB259" s="280">
        <v>82</v>
      </c>
      <c r="AC259" s="280">
        <v>83</v>
      </c>
      <c r="AD259" s="280">
        <v>85</v>
      </c>
      <c r="AE259" s="280">
        <v>85</v>
      </c>
      <c r="AF259" s="280">
        <v>84</v>
      </c>
      <c r="AG259" s="280">
        <v>83</v>
      </c>
      <c r="AH259" s="280">
        <v>84</v>
      </c>
    </row>
    <row r="260" spans="1:34" s="1" customFormat="1" ht="13" x14ac:dyDescent="0.25">
      <c r="A260" s="280" t="s">
        <v>802</v>
      </c>
      <c r="B260" s="286">
        <v>442</v>
      </c>
      <c r="C260" s="286">
        <v>727.875</v>
      </c>
      <c r="D260" s="286">
        <v>1013.7500000000001</v>
      </c>
      <c r="E260" s="286">
        <v>3</v>
      </c>
      <c r="F260" s="281">
        <v>3</v>
      </c>
      <c r="G260" s="282">
        <v>80.489678562500004</v>
      </c>
      <c r="H260" s="282">
        <v>80.913773949305551</v>
      </c>
      <c r="I260" s="282">
        <v>82.709982523611117</v>
      </c>
      <c r="J260" s="282">
        <v>85.489815695555563</v>
      </c>
      <c r="K260" s="282">
        <v>83.993672386388894</v>
      </c>
      <c r="L260" s="282">
        <v>84.937573949305531</v>
      </c>
      <c r="M260" s="282">
        <v>87.033813427222228</v>
      </c>
      <c r="N260" s="282">
        <v>89.002441976388894</v>
      </c>
      <c r="O260" s="282">
        <v>90.398143266666665</v>
      </c>
      <c r="P260" s="282">
        <v>90.35183837999999</v>
      </c>
      <c r="Q260" s="282">
        <v>89.937699891458323</v>
      </c>
      <c r="R260" s="283">
        <v>89.016300584722202</v>
      </c>
      <c r="S260" s="284">
        <v>953.78505603062513</v>
      </c>
      <c r="T260" s="284">
        <v>505.07863193138894</v>
      </c>
      <c r="U260" s="296">
        <f t="shared" si="6"/>
        <v>35.996056030624914</v>
      </c>
      <c r="V260" s="296">
        <f t="shared" si="7"/>
        <v>5.284631931388958</v>
      </c>
      <c r="W260" s="287">
        <v>87</v>
      </c>
      <c r="X260" s="280">
        <v>85</v>
      </c>
      <c r="Y260" s="280">
        <v>86</v>
      </c>
      <c r="Z260" s="280">
        <v>86</v>
      </c>
      <c r="AA260" s="280">
        <v>85</v>
      </c>
      <c r="AB260" s="280">
        <v>86</v>
      </c>
      <c r="AC260" s="280">
        <v>88</v>
      </c>
      <c r="AD260" s="280">
        <v>91</v>
      </c>
      <c r="AE260" s="280">
        <v>92</v>
      </c>
      <c r="AF260" s="280">
        <v>92</v>
      </c>
      <c r="AG260" s="280">
        <v>92</v>
      </c>
      <c r="AH260" s="280">
        <v>94</v>
      </c>
    </row>
    <row r="261" spans="1:34" s="1" customFormat="1" ht="13" x14ac:dyDescent="0.25">
      <c r="A261" s="280" t="s">
        <v>803</v>
      </c>
      <c r="B261" s="286">
        <v>442</v>
      </c>
      <c r="C261" s="286">
        <v>727.875</v>
      </c>
      <c r="D261" s="286">
        <v>1013.7500000000001</v>
      </c>
      <c r="E261" s="286">
        <v>3</v>
      </c>
      <c r="F261" s="281">
        <v>4</v>
      </c>
      <c r="G261" s="282">
        <v>80.489678562500004</v>
      </c>
      <c r="H261" s="282">
        <v>80.913773949305551</v>
      </c>
      <c r="I261" s="282">
        <v>83.154982523611125</v>
      </c>
      <c r="J261" s="282">
        <v>86.379815695555564</v>
      </c>
      <c r="K261" s="282">
        <v>85.328672386388888</v>
      </c>
      <c r="L261" s="282">
        <v>86.78494894930553</v>
      </c>
      <c r="M261" s="282">
        <v>89.393563427222219</v>
      </c>
      <c r="N261" s="282">
        <v>91.874566976388891</v>
      </c>
      <c r="O261" s="282">
        <v>93.83392451666667</v>
      </c>
      <c r="P261" s="282">
        <v>94.351275879999989</v>
      </c>
      <c r="Q261" s="282">
        <v>94.500793641458316</v>
      </c>
      <c r="R261" s="283">
        <v>94.143050584722204</v>
      </c>
      <c r="S261" s="284">
        <v>980.65936853062499</v>
      </c>
      <c r="T261" s="284">
        <v>511.95575693138886</v>
      </c>
      <c r="U261" s="296">
        <f t="shared" ref="U261:U324" si="8">S261-S$3</f>
        <v>62.870368530624773</v>
      </c>
      <c r="V261" s="296">
        <f t="shared" ref="V261:V324" si="9">T261-T$3</f>
        <v>12.161756931388879</v>
      </c>
      <c r="W261" s="287">
        <v>87</v>
      </c>
      <c r="X261" s="280">
        <v>85</v>
      </c>
      <c r="Y261" s="280">
        <v>87</v>
      </c>
      <c r="Z261" s="280">
        <v>88</v>
      </c>
      <c r="AA261" s="280">
        <v>88</v>
      </c>
      <c r="AB261" s="280">
        <v>90</v>
      </c>
      <c r="AC261" s="280">
        <v>93</v>
      </c>
      <c r="AD261" s="280">
        <v>97</v>
      </c>
      <c r="AE261" s="280">
        <v>99</v>
      </c>
      <c r="AF261" s="280">
        <v>100</v>
      </c>
      <c r="AG261" s="280">
        <v>101</v>
      </c>
      <c r="AH261" s="280">
        <v>104</v>
      </c>
    </row>
    <row r="262" spans="1:34" s="1" customFormat="1" ht="13" x14ac:dyDescent="0.25">
      <c r="A262" s="280" t="s">
        <v>804</v>
      </c>
      <c r="B262" s="286">
        <v>442</v>
      </c>
      <c r="C262" s="286">
        <v>727.875</v>
      </c>
      <c r="D262" s="286">
        <v>1013.7500000000001</v>
      </c>
      <c r="E262" s="286">
        <v>3</v>
      </c>
      <c r="F262" s="281">
        <v>5</v>
      </c>
      <c r="G262" s="282">
        <v>80.489678562500004</v>
      </c>
      <c r="H262" s="282">
        <v>80.913773949305551</v>
      </c>
      <c r="I262" s="282">
        <v>83.599982523611118</v>
      </c>
      <c r="J262" s="282">
        <v>87.269815695555565</v>
      </c>
      <c r="K262" s="282">
        <v>86.663672386388896</v>
      </c>
      <c r="L262" s="282">
        <v>88.632323949305544</v>
      </c>
      <c r="M262" s="282">
        <v>91.753313427222224</v>
      </c>
      <c r="N262" s="282">
        <v>94.746691976388888</v>
      </c>
      <c r="O262" s="282">
        <v>97.269705766666675</v>
      </c>
      <c r="P262" s="282">
        <v>98.350713379999988</v>
      </c>
      <c r="Q262" s="282">
        <v>99.063887391458323</v>
      </c>
      <c r="R262" s="283">
        <v>99.269800584722205</v>
      </c>
      <c r="S262" s="284">
        <v>1007.5336810306251</v>
      </c>
      <c r="T262" s="284">
        <v>518.8328819313889</v>
      </c>
      <c r="U262" s="296">
        <f t="shared" si="8"/>
        <v>89.744681030624861</v>
      </c>
      <c r="V262" s="296">
        <f t="shared" si="9"/>
        <v>19.038881931388914</v>
      </c>
      <c r="W262" s="287">
        <v>87</v>
      </c>
      <c r="X262" s="280">
        <v>85</v>
      </c>
      <c r="Y262" s="280">
        <v>88</v>
      </c>
      <c r="Z262" s="280">
        <v>90</v>
      </c>
      <c r="AA262" s="280">
        <v>91</v>
      </c>
      <c r="AB262" s="280">
        <v>94</v>
      </c>
      <c r="AC262" s="280">
        <v>98</v>
      </c>
      <c r="AD262" s="280">
        <v>103</v>
      </c>
      <c r="AE262" s="280">
        <v>106</v>
      </c>
      <c r="AF262" s="280">
        <v>108</v>
      </c>
      <c r="AG262" s="280">
        <v>110</v>
      </c>
      <c r="AH262" s="280">
        <v>114</v>
      </c>
    </row>
    <row r="263" spans="1:34" s="1" customFormat="1" ht="13" x14ac:dyDescent="0.25">
      <c r="A263" s="280" t="s">
        <v>805</v>
      </c>
      <c r="B263" s="286">
        <v>442</v>
      </c>
      <c r="C263" s="286">
        <v>727.875</v>
      </c>
      <c r="D263" s="286">
        <v>1013.7500000000001</v>
      </c>
      <c r="E263" s="286">
        <v>4</v>
      </c>
      <c r="F263" s="281">
        <v>0</v>
      </c>
      <c r="G263" s="282">
        <v>80.489678562500004</v>
      </c>
      <c r="H263" s="282">
        <v>80.637489227083321</v>
      </c>
      <c r="I263" s="282">
        <v>80.892120433333332</v>
      </c>
      <c r="J263" s="282">
        <v>82.200681639999985</v>
      </c>
      <c r="K263" s="282">
        <v>79.424906525277763</v>
      </c>
      <c r="L263" s="282">
        <v>78.83598017152778</v>
      </c>
      <c r="M263" s="282">
        <v>79.495665857777766</v>
      </c>
      <c r="N263" s="282">
        <v>80.015164198611089</v>
      </c>
      <c r="O263" s="282">
        <v>79.653664099999986</v>
      </c>
      <c r="P263" s="282">
        <v>77.865296713333336</v>
      </c>
      <c r="Q263" s="282">
        <v>75.726126974791654</v>
      </c>
      <c r="R263" s="283">
        <v>73.172422112499987</v>
      </c>
      <c r="S263" s="284">
        <v>867.91951795423597</v>
      </c>
      <c r="T263" s="284">
        <v>481.48684385499996</v>
      </c>
      <c r="U263" s="296">
        <f t="shared" si="8"/>
        <v>-49.869482045764244</v>
      </c>
      <c r="V263" s="296">
        <f t="shared" si="9"/>
        <v>-18.307156145000022</v>
      </c>
      <c r="W263" s="287">
        <v>87</v>
      </c>
      <c r="X263" s="280">
        <v>85</v>
      </c>
      <c r="Y263" s="280">
        <v>83</v>
      </c>
      <c r="Z263" s="280">
        <v>80</v>
      </c>
      <c r="AA263" s="280">
        <v>76</v>
      </c>
      <c r="AB263" s="280">
        <v>74</v>
      </c>
      <c r="AC263" s="280">
        <v>73</v>
      </c>
      <c r="AD263" s="280">
        <v>73</v>
      </c>
      <c r="AE263" s="280">
        <v>71</v>
      </c>
      <c r="AF263" s="280">
        <v>68</v>
      </c>
      <c r="AG263" s="280">
        <v>65</v>
      </c>
      <c r="AH263" s="280">
        <v>64</v>
      </c>
    </row>
    <row r="264" spans="1:34" s="1" customFormat="1" ht="13" x14ac:dyDescent="0.25">
      <c r="A264" s="280" t="s">
        <v>806</v>
      </c>
      <c r="B264" s="286">
        <v>442</v>
      </c>
      <c r="C264" s="286">
        <v>727.875</v>
      </c>
      <c r="D264" s="286">
        <v>1013.7500000000001</v>
      </c>
      <c r="E264" s="286">
        <v>4</v>
      </c>
      <c r="F264" s="281">
        <v>1</v>
      </c>
      <c r="G264" s="282">
        <v>80.489678562500004</v>
      </c>
      <c r="H264" s="282">
        <v>80.637489227083321</v>
      </c>
      <c r="I264" s="282">
        <v>81.337120433333325</v>
      </c>
      <c r="J264" s="282">
        <v>83.09068164</v>
      </c>
      <c r="K264" s="282">
        <v>80.759906525277771</v>
      </c>
      <c r="L264" s="282">
        <v>80.683355171527779</v>
      </c>
      <c r="M264" s="282">
        <v>81.855415857777771</v>
      </c>
      <c r="N264" s="282">
        <v>82.8872891986111</v>
      </c>
      <c r="O264" s="282">
        <v>83.089445350000005</v>
      </c>
      <c r="P264" s="282">
        <v>81.864734213333335</v>
      </c>
      <c r="Q264" s="282">
        <v>80.289220724791647</v>
      </c>
      <c r="R264" s="283">
        <v>78.299172112499988</v>
      </c>
      <c r="S264" s="284">
        <v>894.79383045423606</v>
      </c>
      <c r="T264" s="284">
        <v>488.36396885499994</v>
      </c>
      <c r="U264" s="296">
        <f t="shared" si="8"/>
        <v>-22.995169545764156</v>
      </c>
      <c r="V264" s="296">
        <f t="shared" si="9"/>
        <v>-11.430031145000044</v>
      </c>
      <c r="W264" s="287">
        <v>87</v>
      </c>
      <c r="X264" s="280">
        <v>85</v>
      </c>
      <c r="Y264" s="280">
        <v>84</v>
      </c>
      <c r="Z264" s="280">
        <v>82</v>
      </c>
      <c r="AA264" s="280">
        <v>79</v>
      </c>
      <c r="AB264" s="280">
        <v>78</v>
      </c>
      <c r="AC264" s="280">
        <v>78</v>
      </c>
      <c r="AD264" s="280">
        <v>79</v>
      </c>
      <c r="AE264" s="280">
        <v>78</v>
      </c>
      <c r="AF264" s="280">
        <v>76</v>
      </c>
      <c r="AG264" s="280">
        <v>74</v>
      </c>
      <c r="AH264" s="280">
        <v>74</v>
      </c>
    </row>
    <row r="265" spans="1:34" s="1" customFormat="1" ht="13" x14ac:dyDescent="0.25">
      <c r="A265" s="280" t="s">
        <v>807</v>
      </c>
      <c r="B265" s="286">
        <v>442</v>
      </c>
      <c r="C265" s="286">
        <v>727.875</v>
      </c>
      <c r="D265" s="286">
        <v>1013.7500000000001</v>
      </c>
      <c r="E265" s="286">
        <v>4</v>
      </c>
      <c r="F265" s="281">
        <v>2</v>
      </c>
      <c r="G265" s="282">
        <v>80.489678562500004</v>
      </c>
      <c r="H265" s="282">
        <v>80.637489227083321</v>
      </c>
      <c r="I265" s="282">
        <v>81.782120433333347</v>
      </c>
      <c r="J265" s="282">
        <v>83.98068164</v>
      </c>
      <c r="K265" s="282">
        <v>82.094906525277764</v>
      </c>
      <c r="L265" s="282">
        <v>82.530730171527779</v>
      </c>
      <c r="M265" s="282">
        <v>84.215165857777762</v>
      </c>
      <c r="N265" s="282">
        <v>85.759414198611097</v>
      </c>
      <c r="O265" s="282">
        <v>86.525226600000011</v>
      </c>
      <c r="P265" s="282">
        <v>85.864171713333334</v>
      </c>
      <c r="Q265" s="282">
        <v>84.852314474791669</v>
      </c>
      <c r="R265" s="283">
        <v>83.425922112500004</v>
      </c>
      <c r="S265" s="284">
        <v>921.66814295423603</v>
      </c>
      <c r="T265" s="284">
        <v>495.24109385499997</v>
      </c>
      <c r="U265" s="296">
        <f t="shared" si="8"/>
        <v>3.8791429542358173</v>
      </c>
      <c r="V265" s="296">
        <f t="shared" si="9"/>
        <v>-4.5529061450000086</v>
      </c>
      <c r="W265" s="287">
        <v>87</v>
      </c>
      <c r="X265" s="280">
        <v>85</v>
      </c>
      <c r="Y265" s="280">
        <v>85</v>
      </c>
      <c r="Z265" s="280">
        <v>84</v>
      </c>
      <c r="AA265" s="280">
        <v>82</v>
      </c>
      <c r="AB265" s="280">
        <v>82</v>
      </c>
      <c r="AC265" s="280">
        <v>83</v>
      </c>
      <c r="AD265" s="280">
        <v>85</v>
      </c>
      <c r="AE265" s="280">
        <v>85</v>
      </c>
      <c r="AF265" s="280">
        <v>84</v>
      </c>
      <c r="AG265" s="280">
        <v>83</v>
      </c>
      <c r="AH265" s="280">
        <v>84</v>
      </c>
    </row>
    <row r="266" spans="1:34" s="1" customFormat="1" ht="13" x14ac:dyDescent="0.25">
      <c r="A266" s="280" t="s">
        <v>808</v>
      </c>
      <c r="B266" s="286">
        <v>442</v>
      </c>
      <c r="C266" s="286">
        <v>727.875</v>
      </c>
      <c r="D266" s="286">
        <v>1013.7500000000001</v>
      </c>
      <c r="E266" s="286">
        <v>4</v>
      </c>
      <c r="F266" s="281">
        <v>3</v>
      </c>
      <c r="G266" s="282">
        <v>80.489678562500004</v>
      </c>
      <c r="H266" s="282">
        <v>80.637489227083321</v>
      </c>
      <c r="I266" s="282">
        <v>82.22712043333334</v>
      </c>
      <c r="J266" s="282">
        <v>84.870681640000001</v>
      </c>
      <c r="K266" s="282">
        <v>83.429906525277786</v>
      </c>
      <c r="L266" s="282">
        <v>84.378105171527764</v>
      </c>
      <c r="M266" s="282">
        <v>86.574915857777768</v>
      </c>
      <c r="N266" s="282">
        <v>88.631539198611094</v>
      </c>
      <c r="O266" s="282">
        <v>89.961007850000016</v>
      </c>
      <c r="P266" s="282">
        <v>89.863609213333334</v>
      </c>
      <c r="Q266" s="282">
        <v>89.415408224791662</v>
      </c>
      <c r="R266" s="283">
        <v>88.552672112500005</v>
      </c>
      <c r="S266" s="284">
        <v>948.54245545423601</v>
      </c>
      <c r="T266" s="284">
        <v>502.1182188549999</v>
      </c>
      <c r="U266" s="296">
        <f t="shared" si="8"/>
        <v>30.753455454235791</v>
      </c>
      <c r="V266" s="296">
        <f t="shared" si="9"/>
        <v>2.3242188549999128</v>
      </c>
      <c r="W266" s="287">
        <v>87</v>
      </c>
      <c r="X266" s="280">
        <v>85</v>
      </c>
      <c r="Y266" s="280">
        <v>86</v>
      </c>
      <c r="Z266" s="280">
        <v>86</v>
      </c>
      <c r="AA266" s="280">
        <v>85</v>
      </c>
      <c r="AB266" s="280">
        <v>86</v>
      </c>
      <c r="AC266" s="280">
        <v>88</v>
      </c>
      <c r="AD266" s="280">
        <v>91</v>
      </c>
      <c r="AE266" s="280">
        <v>92</v>
      </c>
      <c r="AF266" s="280">
        <v>92</v>
      </c>
      <c r="AG266" s="280">
        <v>92</v>
      </c>
      <c r="AH266" s="280">
        <v>94</v>
      </c>
    </row>
    <row r="267" spans="1:34" s="1" customFormat="1" ht="13" x14ac:dyDescent="0.25">
      <c r="A267" s="280" t="s">
        <v>809</v>
      </c>
      <c r="B267" s="286">
        <v>442</v>
      </c>
      <c r="C267" s="286">
        <v>727.875</v>
      </c>
      <c r="D267" s="286">
        <v>1013.7500000000001</v>
      </c>
      <c r="E267" s="286">
        <v>4</v>
      </c>
      <c r="F267" s="281">
        <v>4</v>
      </c>
      <c r="G267" s="282">
        <v>80.489678562500004</v>
      </c>
      <c r="H267" s="282">
        <v>80.637489227083321</v>
      </c>
      <c r="I267" s="282">
        <v>82.672120433333347</v>
      </c>
      <c r="J267" s="282">
        <v>85.760681640000001</v>
      </c>
      <c r="K267" s="282">
        <v>84.76490652527778</v>
      </c>
      <c r="L267" s="282">
        <v>86.225480171527764</v>
      </c>
      <c r="M267" s="282">
        <v>88.934665857777787</v>
      </c>
      <c r="N267" s="282">
        <v>91.503664198611105</v>
      </c>
      <c r="O267" s="282">
        <v>93.396789100000021</v>
      </c>
      <c r="P267" s="282">
        <v>93.863046713333333</v>
      </c>
      <c r="Q267" s="282">
        <v>93.978501974791669</v>
      </c>
      <c r="R267" s="283">
        <v>93.679422112500006</v>
      </c>
      <c r="S267" s="284">
        <v>975.41676795423609</v>
      </c>
      <c r="T267" s="284">
        <v>508.99534385499999</v>
      </c>
      <c r="U267" s="296">
        <f t="shared" si="8"/>
        <v>57.627767954235878</v>
      </c>
      <c r="V267" s="296">
        <f t="shared" si="9"/>
        <v>9.2013438550000046</v>
      </c>
      <c r="W267" s="287">
        <v>87</v>
      </c>
      <c r="X267" s="280">
        <v>85</v>
      </c>
      <c r="Y267" s="280">
        <v>87</v>
      </c>
      <c r="Z267" s="280">
        <v>88</v>
      </c>
      <c r="AA267" s="280">
        <v>88</v>
      </c>
      <c r="AB267" s="280">
        <v>90</v>
      </c>
      <c r="AC267" s="280">
        <v>93</v>
      </c>
      <c r="AD267" s="280">
        <v>97</v>
      </c>
      <c r="AE267" s="280">
        <v>99</v>
      </c>
      <c r="AF267" s="280">
        <v>100</v>
      </c>
      <c r="AG267" s="280">
        <v>101</v>
      </c>
      <c r="AH267" s="280">
        <v>104</v>
      </c>
    </row>
    <row r="268" spans="1:34" s="1" customFormat="1" ht="13" x14ac:dyDescent="0.25">
      <c r="A268" s="280" t="s">
        <v>810</v>
      </c>
      <c r="B268" s="286">
        <v>442</v>
      </c>
      <c r="C268" s="286">
        <v>727.875</v>
      </c>
      <c r="D268" s="286">
        <v>1013.7500000000001</v>
      </c>
      <c r="E268" s="286">
        <v>4</v>
      </c>
      <c r="F268" s="281">
        <v>5</v>
      </c>
      <c r="G268" s="282">
        <v>80.489678562500004</v>
      </c>
      <c r="H268" s="282">
        <v>80.637489227083321</v>
      </c>
      <c r="I268" s="282">
        <v>83.117120433333341</v>
      </c>
      <c r="J268" s="282">
        <v>86.650681640000002</v>
      </c>
      <c r="K268" s="282">
        <v>86.099906525277788</v>
      </c>
      <c r="L268" s="282">
        <v>88.072855171527763</v>
      </c>
      <c r="M268" s="282">
        <v>91.294415857777778</v>
      </c>
      <c r="N268" s="282">
        <v>94.375789198611102</v>
      </c>
      <c r="O268" s="282">
        <v>96.832570350000012</v>
      </c>
      <c r="P268" s="282">
        <v>97.862484213333332</v>
      </c>
      <c r="Q268" s="282">
        <v>98.541595724791662</v>
      </c>
      <c r="R268" s="283">
        <v>98.806172112500008</v>
      </c>
      <c r="S268" s="284">
        <v>1002.2910804542361</v>
      </c>
      <c r="T268" s="284">
        <v>515.87246885499997</v>
      </c>
      <c r="U268" s="296">
        <f t="shared" si="8"/>
        <v>84.502080454235852</v>
      </c>
      <c r="V268" s="296">
        <f t="shared" si="9"/>
        <v>16.078468854999983</v>
      </c>
      <c r="W268" s="287">
        <v>87</v>
      </c>
      <c r="X268" s="280">
        <v>85</v>
      </c>
      <c r="Y268" s="280">
        <v>88</v>
      </c>
      <c r="Z268" s="280">
        <v>90</v>
      </c>
      <c r="AA268" s="280">
        <v>91</v>
      </c>
      <c r="AB268" s="280">
        <v>94</v>
      </c>
      <c r="AC268" s="280">
        <v>98</v>
      </c>
      <c r="AD268" s="280">
        <v>103</v>
      </c>
      <c r="AE268" s="280">
        <v>106</v>
      </c>
      <c r="AF268" s="280">
        <v>108</v>
      </c>
      <c r="AG268" s="280">
        <v>110</v>
      </c>
      <c r="AH268" s="280">
        <v>114</v>
      </c>
    </row>
    <row r="269" spans="1:34" s="1" customFormat="1" ht="13" x14ac:dyDescent="0.25">
      <c r="A269" s="280" t="s">
        <v>811</v>
      </c>
      <c r="B269" s="286">
        <v>442</v>
      </c>
      <c r="C269" s="286">
        <v>727.875</v>
      </c>
      <c r="D269" s="286">
        <v>1013.7500000000001</v>
      </c>
      <c r="E269" s="286">
        <v>5</v>
      </c>
      <c r="F269" s="281">
        <v>0</v>
      </c>
      <c r="G269" s="282">
        <v>80.489678562500004</v>
      </c>
      <c r="H269" s="282">
        <v>80.45910114374999</v>
      </c>
      <c r="I269" s="282">
        <v>80.566953329166651</v>
      </c>
      <c r="J269" s="282">
        <v>81.739916139999991</v>
      </c>
      <c r="K269" s="282">
        <v>78.854973858611103</v>
      </c>
      <c r="L269" s="282">
        <v>78.361549671527754</v>
      </c>
      <c r="M269" s="282">
        <v>79.038660649444438</v>
      </c>
      <c r="N269" s="282">
        <v>79.592789198611101</v>
      </c>
      <c r="O269" s="282">
        <v>79.255132849999981</v>
      </c>
      <c r="P269" s="282">
        <v>77.417942546666666</v>
      </c>
      <c r="Q269" s="282">
        <v>75.240168641458325</v>
      </c>
      <c r="R269" s="283">
        <v>72.65353669583331</v>
      </c>
      <c r="S269" s="284">
        <v>863.18072472506935</v>
      </c>
      <c r="T269" s="284">
        <v>479.02115479249994</v>
      </c>
      <c r="U269" s="296">
        <f t="shared" si="8"/>
        <v>-54.608275274930861</v>
      </c>
      <c r="V269" s="296">
        <f t="shared" si="9"/>
        <v>-20.77284520750004</v>
      </c>
      <c r="W269" s="287">
        <v>87</v>
      </c>
      <c r="X269" s="280">
        <v>85</v>
      </c>
      <c r="Y269" s="280">
        <v>83</v>
      </c>
      <c r="Z269" s="280">
        <v>80</v>
      </c>
      <c r="AA269" s="280">
        <v>76</v>
      </c>
      <c r="AB269" s="280">
        <v>74</v>
      </c>
      <c r="AC269" s="280">
        <v>73</v>
      </c>
      <c r="AD269" s="280">
        <v>73</v>
      </c>
      <c r="AE269" s="280">
        <v>71</v>
      </c>
      <c r="AF269" s="280">
        <v>68</v>
      </c>
      <c r="AG269" s="280">
        <v>65</v>
      </c>
      <c r="AH269" s="280">
        <v>64</v>
      </c>
    </row>
    <row r="270" spans="1:34" s="1" customFormat="1" ht="13" x14ac:dyDescent="0.25">
      <c r="A270" s="280" t="s">
        <v>812</v>
      </c>
      <c r="B270" s="286">
        <v>442</v>
      </c>
      <c r="C270" s="286">
        <v>727.875</v>
      </c>
      <c r="D270" s="286">
        <v>1013.7500000000001</v>
      </c>
      <c r="E270" s="286">
        <v>5</v>
      </c>
      <c r="F270" s="281">
        <v>1</v>
      </c>
      <c r="G270" s="282">
        <v>80.489678562500004</v>
      </c>
      <c r="H270" s="282">
        <v>80.45910114374999</v>
      </c>
      <c r="I270" s="282">
        <v>81.011953329166658</v>
      </c>
      <c r="J270" s="282">
        <v>82.629916139999992</v>
      </c>
      <c r="K270" s="282">
        <v>80.189973858611111</v>
      </c>
      <c r="L270" s="282">
        <v>80.208924671527754</v>
      </c>
      <c r="M270" s="282">
        <v>81.398410649444443</v>
      </c>
      <c r="N270" s="282">
        <v>82.464914198611098</v>
      </c>
      <c r="O270" s="282">
        <v>82.690914100000001</v>
      </c>
      <c r="P270" s="282">
        <v>81.417380046666651</v>
      </c>
      <c r="Q270" s="282">
        <v>79.803262391458318</v>
      </c>
      <c r="R270" s="283">
        <v>77.780286695833311</v>
      </c>
      <c r="S270" s="284">
        <v>890.05503722506933</v>
      </c>
      <c r="T270" s="284">
        <v>485.89827979249992</v>
      </c>
      <c r="U270" s="296">
        <f t="shared" si="8"/>
        <v>-27.733962774930887</v>
      </c>
      <c r="V270" s="296">
        <f t="shared" si="9"/>
        <v>-13.895720207500062</v>
      </c>
      <c r="W270" s="287">
        <v>87</v>
      </c>
      <c r="X270" s="280">
        <v>85</v>
      </c>
      <c r="Y270" s="280">
        <v>84</v>
      </c>
      <c r="Z270" s="280">
        <v>82</v>
      </c>
      <c r="AA270" s="280">
        <v>79</v>
      </c>
      <c r="AB270" s="280">
        <v>78</v>
      </c>
      <c r="AC270" s="280">
        <v>78</v>
      </c>
      <c r="AD270" s="280">
        <v>79</v>
      </c>
      <c r="AE270" s="280">
        <v>78</v>
      </c>
      <c r="AF270" s="280">
        <v>76</v>
      </c>
      <c r="AG270" s="280">
        <v>74</v>
      </c>
      <c r="AH270" s="280">
        <v>74</v>
      </c>
    </row>
    <row r="271" spans="1:34" s="1" customFormat="1" ht="13" x14ac:dyDescent="0.25">
      <c r="A271" s="280" t="s">
        <v>813</v>
      </c>
      <c r="B271" s="286">
        <v>442</v>
      </c>
      <c r="C271" s="286">
        <v>727.875</v>
      </c>
      <c r="D271" s="286">
        <v>1013.7500000000001</v>
      </c>
      <c r="E271" s="286">
        <v>5</v>
      </c>
      <c r="F271" s="281">
        <v>2</v>
      </c>
      <c r="G271" s="282">
        <v>80.489678562500004</v>
      </c>
      <c r="H271" s="282">
        <v>80.45910114374999</v>
      </c>
      <c r="I271" s="282">
        <v>81.456953329166652</v>
      </c>
      <c r="J271" s="282">
        <v>83.519916140000007</v>
      </c>
      <c r="K271" s="282">
        <v>81.524973858611105</v>
      </c>
      <c r="L271" s="282">
        <v>82.056299671527754</v>
      </c>
      <c r="M271" s="282">
        <v>83.758160649444434</v>
      </c>
      <c r="N271" s="282">
        <v>85.337039198611109</v>
      </c>
      <c r="O271" s="282">
        <v>86.12669535000002</v>
      </c>
      <c r="P271" s="282">
        <v>85.416817546666678</v>
      </c>
      <c r="Q271" s="282">
        <v>84.36635614145834</v>
      </c>
      <c r="R271" s="283">
        <v>82.907036695833312</v>
      </c>
      <c r="S271" s="284">
        <v>916.92934972506953</v>
      </c>
      <c r="T271" s="284">
        <v>492.77540479250001</v>
      </c>
      <c r="U271" s="296">
        <f t="shared" si="8"/>
        <v>-0.85965027493068646</v>
      </c>
      <c r="V271" s="296">
        <f t="shared" si="9"/>
        <v>-7.0185952074999705</v>
      </c>
      <c r="W271" s="287">
        <v>87</v>
      </c>
      <c r="X271" s="280">
        <v>85</v>
      </c>
      <c r="Y271" s="280">
        <v>85</v>
      </c>
      <c r="Z271" s="280">
        <v>84</v>
      </c>
      <c r="AA271" s="280">
        <v>82</v>
      </c>
      <c r="AB271" s="280">
        <v>82</v>
      </c>
      <c r="AC271" s="280">
        <v>83</v>
      </c>
      <c r="AD271" s="280">
        <v>85</v>
      </c>
      <c r="AE271" s="280">
        <v>85</v>
      </c>
      <c r="AF271" s="280">
        <v>84</v>
      </c>
      <c r="AG271" s="280">
        <v>83</v>
      </c>
      <c r="AH271" s="280">
        <v>84</v>
      </c>
    </row>
    <row r="272" spans="1:34" s="1" customFormat="1" ht="13" x14ac:dyDescent="0.25">
      <c r="A272" s="280" t="s">
        <v>814</v>
      </c>
      <c r="B272" s="286">
        <v>442</v>
      </c>
      <c r="C272" s="286">
        <v>727.875</v>
      </c>
      <c r="D272" s="286">
        <v>1013.7500000000001</v>
      </c>
      <c r="E272" s="286">
        <v>5</v>
      </c>
      <c r="F272" s="281">
        <v>3</v>
      </c>
      <c r="G272" s="282">
        <v>80.489678562500004</v>
      </c>
      <c r="H272" s="282">
        <v>80.45910114374999</v>
      </c>
      <c r="I272" s="282">
        <v>81.901953329166673</v>
      </c>
      <c r="J272" s="282">
        <v>84.409916140000007</v>
      </c>
      <c r="K272" s="282">
        <v>82.859973858611113</v>
      </c>
      <c r="L272" s="282">
        <v>83.903674671527739</v>
      </c>
      <c r="M272" s="282">
        <v>86.11791064944444</v>
      </c>
      <c r="N272" s="282">
        <v>88.209164198611106</v>
      </c>
      <c r="O272" s="282">
        <v>89.562476600000011</v>
      </c>
      <c r="P272" s="282">
        <v>89.416255046666649</v>
      </c>
      <c r="Q272" s="282">
        <v>88.929449891458319</v>
      </c>
      <c r="R272" s="283">
        <v>88.033786695833314</v>
      </c>
      <c r="S272" s="284">
        <v>943.80366222506916</v>
      </c>
      <c r="T272" s="284">
        <v>499.65252979249988</v>
      </c>
      <c r="U272" s="296">
        <f t="shared" si="8"/>
        <v>26.014662225068946</v>
      </c>
      <c r="V272" s="296">
        <f t="shared" si="9"/>
        <v>-0.14147020750010597</v>
      </c>
      <c r="W272" s="287">
        <v>87</v>
      </c>
      <c r="X272" s="280">
        <v>85</v>
      </c>
      <c r="Y272" s="280">
        <v>86</v>
      </c>
      <c r="Z272" s="280">
        <v>86</v>
      </c>
      <c r="AA272" s="280">
        <v>85</v>
      </c>
      <c r="AB272" s="280">
        <v>86</v>
      </c>
      <c r="AC272" s="280">
        <v>88</v>
      </c>
      <c r="AD272" s="280">
        <v>91</v>
      </c>
      <c r="AE272" s="280">
        <v>92</v>
      </c>
      <c r="AF272" s="280">
        <v>92</v>
      </c>
      <c r="AG272" s="280">
        <v>92</v>
      </c>
      <c r="AH272" s="280">
        <v>94</v>
      </c>
    </row>
    <row r="273" spans="1:34" s="1" customFormat="1" ht="13" x14ac:dyDescent="0.25">
      <c r="A273" s="280" t="s">
        <v>815</v>
      </c>
      <c r="B273" s="286">
        <v>442</v>
      </c>
      <c r="C273" s="286">
        <v>727.875</v>
      </c>
      <c r="D273" s="286">
        <v>1013.7500000000001</v>
      </c>
      <c r="E273" s="286">
        <v>5</v>
      </c>
      <c r="F273" s="281">
        <v>4</v>
      </c>
      <c r="G273" s="282">
        <v>80.489678562500004</v>
      </c>
      <c r="H273" s="282">
        <v>80.45910114374999</v>
      </c>
      <c r="I273" s="282">
        <v>82.346953329166666</v>
      </c>
      <c r="J273" s="282">
        <v>85.299916140000008</v>
      </c>
      <c r="K273" s="282">
        <v>84.194973858611121</v>
      </c>
      <c r="L273" s="282">
        <v>85.751049671527738</v>
      </c>
      <c r="M273" s="282">
        <v>88.477660649444445</v>
      </c>
      <c r="N273" s="282">
        <v>91.081289198611103</v>
      </c>
      <c r="O273" s="282">
        <v>92.998257850000016</v>
      </c>
      <c r="P273" s="282">
        <v>93.415692546666648</v>
      </c>
      <c r="Q273" s="282">
        <v>93.492543641458326</v>
      </c>
      <c r="R273" s="283">
        <v>93.160536695833315</v>
      </c>
      <c r="S273" s="284">
        <v>970.67797472506936</v>
      </c>
      <c r="T273" s="284">
        <v>506.52965479250003</v>
      </c>
      <c r="U273" s="296">
        <f t="shared" si="8"/>
        <v>52.888974725069147</v>
      </c>
      <c r="V273" s="296">
        <f t="shared" si="9"/>
        <v>6.7356547925000427</v>
      </c>
      <c r="W273" s="287">
        <v>87</v>
      </c>
      <c r="X273" s="280">
        <v>85</v>
      </c>
      <c r="Y273" s="280">
        <v>87</v>
      </c>
      <c r="Z273" s="280">
        <v>88</v>
      </c>
      <c r="AA273" s="280">
        <v>88</v>
      </c>
      <c r="AB273" s="280">
        <v>90</v>
      </c>
      <c r="AC273" s="280">
        <v>93</v>
      </c>
      <c r="AD273" s="280">
        <v>97</v>
      </c>
      <c r="AE273" s="280">
        <v>99</v>
      </c>
      <c r="AF273" s="280">
        <v>100</v>
      </c>
      <c r="AG273" s="280">
        <v>101</v>
      </c>
      <c r="AH273" s="280">
        <v>104</v>
      </c>
    </row>
    <row r="274" spans="1:34" s="1" customFormat="1" ht="13" x14ac:dyDescent="0.25">
      <c r="A274" s="280" t="s">
        <v>816</v>
      </c>
      <c r="B274" s="286">
        <v>442</v>
      </c>
      <c r="C274" s="286">
        <v>727.875</v>
      </c>
      <c r="D274" s="286">
        <v>1013.7500000000001</v>
      </c>
      <c r="E274" s="286">
        <v>5</v>
      </c>
      <c r="F274" s="281">
        <v>5</v>
      </c>
      <c r="G274" s="282">
        <v>80.489678562500004</v>
      </c>
      <c r="H274" s="282">
        <v>80.45910114374999</v>
      </c>
      <c r="I274" s="282">
        <v>82.791953329166674</v>
      </c>
      <c r="J274" s="282">
        <v>86.189916139999994</v>
      </c>
      <c r="K274" s="282">
        <v>85.529973858611115</v>
      </c>
      <c r="L274" s="282">
        <v>87.598424671527738</v>
      </c>
      <c r="M274" s="282">
        <v>90.837410649444436</v>
      </c>
      <c r="N274" s="282">
        <v>93.9534141986111</v>
      </c>
      <c r="O274" s="282">
        <v>96.434039100000021</v>
      </c>
      <c r="P274" s="282">
        <v>97.415130046666647</v>
      </c>
      <c r="Q274" s="282">
        <v>98.055637391458319</v>
      </c>
      <c r="R274" s="283">
        <v>98.287286695833316</v>
      </c>
      <c r="S274" s="284">
        <v>997.55228722506934</v>
      </c>
      <c r="T274" s="284">
        <v>513.40677979249995</v>
      </c>
      <c r="U274" s="296">
        <f t="shared" si="8"/>
        <v>79.763287225069121</v>
      </c>
      <c r="V274" s="296">
        <f t="shared" si="9"/>
        <v>13.612779792499964</v>
      </c>
      <c r="W274" s="287">
        <v>87</v>
      </c>
      <c r="X274" s="280">
        <v>85</v>
      </c>
      <c r="Y274" s="280">
        <v>88</v>
      </c>
      <c r="Z274" s="280">
        <v>90</v>
      </c>
      <c r="AA274" s="280">
        <v>91</v>
      </c>
      <c r="AB274" s="280">
        <v>94</v>
      </c>
      <c r="AC274" s="280">
        <v>98</v>
      </c>
      <c r="AD274" s="280">
        <v>103</v>
      </c>
      <c r="AE274" s="280">
        <v>106</v>
      </c>
      <c r="AF274" s="280">
        <v>108</v>
      </c>
      <c r="AG274" s="280">
        <v>110</v>
      </c>
      <c r="AH274" s="280">
        <v>114</v>
      </c>
    </row>
    <row r="275" spans="1:34" s="1" customFormat="1" ht="13" x14ac:dyDescent="0.25">
      <c r="A275" s="280" t="s">
        <v>817</v>
      </c>
      <c r="B275" s="286">
        <v>442</v>
      </c>
      <c r="C275" s="286">
        <v>727.875</v>
      </c>
      <c r="D275" s="286">
        <v>1013.7500000000001</v>
      </c>
      <c r="E275" s="286">
        <v>1</v>
      </c>
      <c r="F275" s="281">
        <v>0</v>
      </c>
      <c r="G275" s="282">
        <v>80.489678562500004</v>
      </c>
      <c r="H275" s="282">
        <v>82.943515885416659</v>
      </c>
      <c r="I275" s="282">
        <v>83.491049995833336</v>
      </c>
      <c r="J275" s="282">
        <v>84.887498223333338</v>
      </c>
      <c r="K275" s="282">
        <v>81.875814775277775</v>
      </c>
      <c r="L275" s="282">
        <v>80.552046171527763</v>
      </c>
      <c r="M275" s="282">
        <v>81.066056482777768</v>
      </c>
      <c r="N275" s="282">
        <v>81.495997531944425</v>
      </c>
      <c r="O275" s="282">
        <v>81.473924516666656</v>
      </c>
      <c r="P275" s="282">
        <v>79.622484213333337</v>
      </c>
      <c r="Q275" s="282">
        <v>77.445501974791654</v>
      </c>
      <c r="R275" s="283">
        <v>74.97341169583332</v>
      </c>
      <c r="S275" s="284">
        <v>889.827301466736</v>
      </c>
      <c r="T275" s="284">
        <v>494.81598153416661</v>
      </c>
      <c r="U275" s="296">
        <f t="shared" si="8"/>
        <v>-27.961698533264212</v>
      </c>
      <c r="V275" s="296">
        <f t="shared" si="9"/>
        <v>-4.9780184658333724</v>
      </c>
      <c r="W275" s="287">
        <v>87</v>
      </c>
      <c r="X275" s="280">
        <v>85</v>
      </c>
      <c r="Y275" s="280">
        <v>83</v>
      </c>
      <c r="Z275" s="280">
        <v>80</v>
      </c>
      <c r="AA275" s="280">
        <v>76</v>
      </c>
      <c r="AB275" s="280">
        <v>74</v>
      </c>
      <c r="AC275" s="280">
        <v>73</v>
      </c>
      <c r="AD275" s="280">
        <v>73</v>
      </c>
      <c r="AE275" s="280">
        <v>71</v>
      </c>
      <c r="AF275" s="280">
        <v>68</v>
      </c>
      <c r="AG275" s="280">
        <v>65</v>
      </c>
      <c r="AH275" s="280">
        <v>64</v>
      </c>
    </row>
    <row r="276" spans="1:34" s="1" customFormat="1" ht="13" x14ac:dyDescent="0.25">
      <c r="A276" s="280" t="s">
        <v>818</v>
      </c>
      <c r="B276" s="286">
        <v>442</v>
      </c>
      <c r="C276" s="286">
        <v>727.875</v>
      </c>
      <c r="D276" s="286">
        <v>1013.7500000000001</v>
      </c>
      <c r="E276" s="286">
        <v>1</v>
      </c>
      <c r="F276" s="281">
        <v>1</v>
      </c>
      <c r="G276" s="282">
        <v>80.489678562500004</v>
      </c>
      <c r="H276" s="282">
        <v>82.943515885416659</v>
      </c>
      <c r="I276" s="282">
        <v>83.936049995833329</v>
      </c>
      <c r="J276" s="282">
        <v>85.777498223333339</v>
      </c>
      <c r="K276" s="282">
        <v>83.210814775277782</v>
      </c>
      <c r="L276" s="282">
        <v>82.399421171527763</v>
      </c>
      <c r="M276" s="282">
        <v>83.425806482777787</v>
      </c>
      <c r="N276" s="282">
        <v>84.368122531944437</v>
      </c>
      <c r="O276" s="282">
        <v>84.910330766666675</v>
      </c>
      <c r="P276" s="282">
        <v>83.623171713333335</v>
      </c>
      <c r="Q276" s="282">
        <v>82.010470724791659</v>
      </c>
      <c r="R276" s="283">
        <v>80.102661695833319</v>
      </c>
      <c r="S276" s="284">
        <v>916.70786396673611</v>
      </c>
      <c r="T276" s="284">
        <v>501.69310653416665</v>
      </c>
      <c r="U276" s="296">
        <f t="shared" si="8"/>
        <v>-1.0811360332641016</v>
      </c>
      <c r="V276" s="296">
        <f t="shared" si="9"/>
        <v>1.8991065341666626</v>
      </c>
      <c r="W276" s="287">
        <v>87</v>
      </c>
      <c r="X276" s="280">
        <v>85</v>
      </c>
      <c r="Y276" s="280">
        <v>84</v>
      </c>
      <c r="Z276" s="280">
        <v>82</v>
      </c>
      <c r="AA276" s="280">
        <v>79</v>
      </c>
      <c r="AB276" s="280">
        <v>78</v>
      </c>
      <c r="AC276" s="280">
        <v>78</v>
      </c>
      <c r="AD276" s="280">
        <v>79</v>
      </c>
      <c r="AE276" s="280">
        <v>78</v>
      </c>
      <c r="AF276" s="280">
        <v>76</v>
      </c>
      <c r="AG276" s="280">
        <v>74</v>
      </c>
      <c r="AH276" s="280">
        <v>74</v>
      </c>
    </row>
    <row r="277" spans="1:34" s="1" customFormat="1" ht="13" x14ac:dyDescent="0.25">
      <c r="A277" s="280" t="s">
        <v>819</v>
      </c>
      <c r="B277" s="286">
        <v>442</v>
      </c>
      <c r="C277" s="286">
        <v>727.875</v>
      </c>
      <c r="D277" s="286">
        <v>1013.7500000000001</v>
      </c>
      <c r="E277" s="286">
        <v>1</v>
      </c>
      <c r="F277" s="281">
        <v>2</v>
      </c>
      <c r="G277" s="282">
        <v>80.489678562500004</v>
      </c>
      <c r="H277" s="282">
        <v>82.943515885416659</v>
      </c>
      <c r="I277" s="282">
        <v>84.381049995833337</v>
      </c>
      <c r="J277" s="282">
        <v>86.66749822333334</v>
      </c>
      <c r="K277" s="282">
        <v>84.54581477527779</v>
      </c>
      <c r="L277" s="282">
        <v>84.246796171527762</v>
      </c>
      <c r="M277" s="282">
        <v>85.785556482777778</v>
      </c>
      <c r="N277" s="282">
        <v>87.240247531944448</v>
      </c>
      <c r="O277" s="282">
        <v>88.346737016666665</v>
      </c>
      <c r="P277" s="282">
        <v>87.623859213333333</v>
      </c>
      <c r="Q277" s="282">
        <v>86.575439474791665</v>
      </c>
      <c r="R277" s="283">
        <v>85.231911695833318</v>
      </c>
      <c r="S277" s="284">
        <v>943.58842646673611</v>
      </c>
      <c r="T277" s="284">
        <v>508.57023153416668</v>
      </c>
      <c r="U277" s="296">
        <f t="shared" si="8"/>
        <v>25.799426466735895</v>
      </c>
      <c r="V277" s="296">
        <f t="shared" si="9"/>
        <v>8.7762315341666977</v>
      </c>
      <c r="W277" s="287">
        <v>87</v>
      </c>
      <c r="X277" s="280">
        <v>85</v>
      </c>
      <c r="Y277" s="280">
        <v>85</v>
      </c>
      <c r="Z277" s="280">
        <v>84</v>
      </c>
      <c r="AA277" s="280">
        <v>82</v>
      </c>
      <c r="AB277" s="280">
        <v>82</v>
      </c>
      <c r="AC277" s="280">
        <v>83</v>
      </c>
      <c r="AD277" s="280">
        <v>85</v>
      </c>
      <c r="AE277" s="280">
        <v>85</v>
      </c>
      <c r="AF277" s="280">
        <v>84</v>
      </c>
      <c r="AG277" s="280">
        <v>83</v>
      </c>
      <c r="AH277" s="280">
        <v>84</v>
      </c>
    </row>
    <row r="278" spans="1:34" s="1" customFormat="1" ht="13" x14ac:dyDescent="0.25">
      <c r="A278" s="280" t="s">
        <v>820</v>
      </c>
      <c r="B278" s="286">
        <v>442</v>
      </c>
      <c r="C278" s="286">
        <v>727.875</v>
      </c>
      <c r="D278" s="286">
        <v>1013.7500000000001</v>
      </c>
      <c r="E278" s="286">
        <v>1</v>
      </c>
      <c r="F278" s="281">
        <v>3</v>
      </c>
      <c r="G278" s="282">
        <v>80.489678562500004</v>
      </c>
      <c r="H278" s="282">
        <v>82.943515885416659</v>
      </c>
      <c r="I278" s="282">
        <v>84.82604999583333</v>
      </c>
      <c r="J278" s="282">
        <v>87.55749822333334</v>
      </c>
      <c r="K278" s="282">
        <v>85.880814775277784</v>
      </c>
      <c r="L278" s="282">
        <v>86.094171171527762</v>
      </c>
      <c r="M278" s="282">
        <v>88.145306482777798</v>
      </c>
      <c r="N278" s="282">
        <v>90.112372531944445</v>
      </c>
      <c r="O278" s="282">
        <v>91.78314326666667</v>
      </c>
      <c r="P278" s="282">
        <v>91.624546713333331</v>
      </c>
      <c r="Q278" s="282">
        <v>91.14040822479167</v>
      </c>
      <c r="R278" s="283">
        <v>90.361161695833317</v>
      </c>
      <c r="S278" s="284">
        <v>970.46898896673611</v>
      </c>
      <c r="T278" s="284">
        <v>515.44735653416672</v>
      </c>
      <c r="U278" s="296">
        <f t="shared" si="8"/>
        <v>52.679988966735891</v>
      </c>
      <c r="V278" s="296">
        <f t="shared" si="9"/>
        <v>15.653356534166733</v>
      </c>
      <c r="W278" s="287">
        <v>87</v>
      </c>
      <c r="X278" s="280">
        <v>85</v>
      </c>
      <c r="Y278" s="280">
        <v>86</v>
      </c>
      <c r="Z278" s="280">
        <v>86</v>
      </c>
      <c r="AA278" s="280">
        <v>85</v>
      </c>
      <c r="AB278" s="280">
        <v>86</v>
      </c>
      <c r="AC278" s="280">
        <v>88</v>
      </c>
      <c r="AD278" s="280">
        <v>91</v>
      </c>
      <c r="AE278" s="280">
        <v>92</v>
      </c>
      <c r="AF278" s="280">
        <v>92</v>
      </c>
      <c r="AG278" s="280">
        <v>92</v>
      </c>
      <c r="AH278" s="280">
        <v>94</v>
      </c>
    </row>
    <row r="279" spans="1:34" s="1" customFormat="1" ht="13" x14ac:dyDescent="0.25">
      <c r="A279" s="280" t="s">
        <v>821</v>
      </c>
      <c r="B279" s="286">
        <v>442</v>
      </c>
      <c r="C279" s="286">
        <v>727.875</v>
      </c>
      <c r="D279" s="286">
        <v>1013.7500000000001</v>
      </c>
      <c r="E279" s="286">
        <v>1</v>
      </c>
      <c r="F279" s="281">
        <v>4</v>
      </c>
      <c r="G279" s="282">
        <v>80.489678562500004</v>
      </c>
      <c r="H279" s="282">
        <v>82.943515885416659</v>
      </c>
      <c r="I279" s="282">
        <v>85.271049995833337</v>
      </c>
      <c r="J279" s="282">
        <v>88.447498223333341</v>
      </c>
      <c r="K279" s="282">
        <v>87.215814775277792</v>
      </c>
      <c r="L279" s="282">
        <v>87.941546171527762</v>
      </c>
      <c r="M279" s="282">
        <v>90.505056482777803</v>
      </c>
      <c r="N279" s="282">
        <v>92.984497531944442</v>
      </c>
      <c r="O279" s="282">
        <v>95.219549516666675</v>
      </c>
      <c r="P279" s="282">
        <v>95.625234213333329</v>
      </c>
      <c r="Q279" s="282">
        <v>95.705376974791662</v>
      </c>
      <c r="R279" s="283">
        <v>95.490411695833316</v>
      </c>
      <c r="S279" s="284">
        <v>997.3495514667361</v>
      </c>
      <c r="T279" s="284">
        <v>522.32448153416669</v>
      </c>
      <c r="U279" s="296">
        <f t="shared" si="8"/>
        <v>79.560551466735888</v>
      </c>
      <c r="V279" s="296">
        <f t="shared" si="9"/>
        <v>22.530481534166711</v>
      </c>
      <c r="W279" s="287">
        <v>87</v>
      </c>
      <c r="X279" s="280">
        <v>85</v>
      </c>
      <c r="Y279" s="280">
        <v>87</v>
      </c>
      <c r="Z279" s="280">
        <v>88</v>
      </c>
      <c r="AA279" s="280">
        <v>88</v>
      </c>
      <c r="AB279" s="280">
        <v>90</v>
      </c>
      <c r="AC279" s="280">
        <v>93</v>
      </c>
      <c r="AD279" s="280">
        <v>97</v>
      </c>
      <c r="AE279" s="280">
        <v>99</v>
      </c>
      <c r="AF279" s="280">
        <v>100</v>
      </c>
      <c r="AG279" s="280">
        <v>101</v>
      </c>
      <c r="AH279" s="280">
        <v>104</v>
      </c>
    </row>
    <row r="280" spans="1:34" s="1" customFormat="1" ht="13" x14ac:dyDescent="0.25">
      <c r="A280" s="280" t="s">
        <v>822</v>
      </c>
      <c r="B280" s="286">
        <v>442</v>
      </c>
      <c r="C280" s="286">
        <v>727.875</v>
      </c>
      <c r="D280" s="286">
        <v>1013.7500000000001</v>
      </c>
      <c r="E280" s="286">
        <v>1</v>
      </c>
      <c r="F280" s="281">
        <v>5</v>
      </c>
      <c r="G280" s="282">
        <v>80.489678562500004</v>
      </c>
      <c r="H280" s="282">
        <v>82.943515885416659</v>
      </c>
      <c r="I280" s="282">
        <v>85.71604999583333</v>
      </c>
      <c r="J280" s="282">
        <v>89.337498223333327</v>
      </c>
      <c r="K280" s="282">
        <v>88.550814775277786</v>
      </c>
      <c r="L280" s="282">
        <v>89.788921171527761</v>
      </c>
      <c r="M280" s="282">
        <v>92.864806482777794</v>
      </c>
      <c r="N280" s="282">
        <v>95.856622531944438</v>
      </c>
      <c r="O280" s="282">
        <v>98.655955766666665</v>
      </c>
      <c r="P280" s="282">
        <v>99.625921713333327</v>
      </c>
      <c r="Q280" s="282">
        <v>100.27034572479167</v>
      </c>
      <c r="R280" s="283">
        <v>100.61966169583332</v>
      </c>
      <c r="S280" s="284">
        <v>1024.2301139667361</v>
      </c>
      <c r="T280" s="284">
        <v>529.20160653416667</v>
      </c>
      <c r="U280" s="296">
        <f t="shared" si="8"/>
        <v>106.44111396673588</v>
      </c>
      <c r="V280" s="296">
        <f t="shared" si="9"/>
        <v>29.407606534166689</v>
      </c>
      <c r="W280" s="287">
        <v>87</v>
      </c>
      <c r="X280" s="280">
        <v>85</v>
      </c>
      <c r="Y280" s="280">
        <v>88</v>
      </c>
      <c r="Z280" s="280">
        <v>90</v>
      </c>
      <c r="AA280" s="280">
        <v>91</v>
      </c>
      <c r="AB280" s="280">
        <v>94</v>
      </c>
      <c r="AC280" s="280">
        <v>98</v>
      </c>
      <c r="AD280" s="280">
        <v>103</v>
      </c>
      <c r="AE280" s="280">
        <v>106</v>
      </c>
      <c r="AF280" s="280">
        <v>108</v>
      </c>
      <c r="AG280" s="280">
        <v>110</v>
      </c>
      <c r="AH280" s="280">
        <v>114</v>
      </c>
    </row>
    <row r="281" spans="1:34" s="1" customFormat="1" ht="13" x14ac:dyDescent="0.25">
      <c r="A281" s="280" t="s">
        <v>823</v>
      </c>
      <c r="B281" s="286">
        <v>442</v>
      </c>
      <c r="C281" s="286">
        <v>727.875</v>
      </c>
      <c r="D281" s="286">
        <v>1013.7500000000001</v>
      </c>
      <c r="E281" s="286">
        <v>2</v>
      </c>
      <c r="F281" s="281">
        <v>0</v>
      </c>
      <c r="G281" s="282">
        <v>80.489678562500004</v>
      </c>
      <c r="H281" s="282">
        <v>81.631102968749985</v>
      </c>
      <c r="I281" s="282">
        <v>82.414090412500002</v>
      </c>
      <c r="J281" s="282">
        <v>83.704605140000012</v>
      </c>
      <c r="K281" s="282">
        <v>80.970894608611118</v>
      </c>
      <c r="L281" s="282">
        <v>80.164546171527761</v>
      </c>
      <c r="M281" s="282">
        <v>80.636368982777768</v>
      </c>
      <c r="N281" s="282">
        <v>81.060580865277757</v>
      </c>
      <c r="O281" s="282">
        <v>80.866632849999988</v>
      </c>
      <c r="P281" s="282">
        <v>79.187067546666654</v>
      </c>
      <c r="Q281" s="282">
        <v>76.975710308124988</v>
      </c>
      <c r="R281" s="283">
        <v>74.411953362499986</v>
      </c>
      <c r="S281" s="284">
        <v>882.02355321673599</v>
      </c>
      <c r="T281" s="284">
        <v>489.52160828416663</v>
      </c>
      <c r="U281" s="296">
        <f t="shared" si="8"/>
        <v>-35.765446783264224</v>
      </c>
      <c r="V281" s="296">
        <f t="shared" si="9"/>
        <v>-10.272391715833351</v>
      </c>
      <c r="W281" s="287">
        <v>87</v>
      </c>
      <c r="X281" s="280">
        <v>85</v>
      </c>
      <c r="Y281" s="280">
        <v>83</v>
      </c>
      <c r="Z281" s="280">
        <v>80</v>
      </c>
      <c r="AA281" s="280">
        <v>76</v>
      </c>
      <c r="AB281" s="280">
        <v>74</v>
      </c>
      <c r="AC281" s="280">
        <v>73</v>
      </c>
      <c r="AD281" s="280">
        <v>73</v>
      </c>
      <c r="AE281" s="280">
        <v>71</v>
      </c>
      <c r="AF281" s="280">
        <v>68</v>
      </c>
      <c r="AG281" s="280">
        <v>65</v>
      </c>
      <c r="AH281" s="280">
        <v>64</v>
      </c>
    </row>
    <row r="282" spans="1:34" s="1" customFormat="1" ht="13" x14ac:dyDescent="0.25">
      <c r="A282" s="280" t="s">
        <v>824</v>
      </c>
      <c r="B282" s="286">
        <v>442</v>
      </c>
      <c r="C282" s="286">
        <v>727.875</v>
      </c>
      <c r="D282" s="286">
        <v>1013.7500000000001</v>
      </c>
      <c r="E282" s="286">
        <v>2</v>
      </c>
      <c r="F282" s="281">
        <v>1</v>
      </c>
      <c r="G282" s="282">
        <v>80.489678562500004</v>
      </c>
      <c r="H282" s="282">
        <v>81.631102968749985</v>
      </c>
      <c r="I282" s="282">
        <v>82.859090412500009</v>
      </c>
      <c r="J282" s="282">
        <v>84.594605140000013</v>
      </c>
      <c r="K282" s="282">
        <v>82.305894608611112</v>
      </c>
      <c r="L282" s="282">
        <v>82.011921171527774</v>
      </c>
      <c r="M282" s="282">
        <v>82.996118982777773</v>
      </c>
      <c r="N282" s="282">
        <v>83.932705865277768</v>
      </c>
      <c r="O282" s="282">
        <v>84.303039100000007</v>
      </c>
      <c r="P282" s="282">
        <v>83.18775504666668</v>
      </c>
      <c r="Q282" s="282">
        <v>81.540679058124994</v>
      </c>
      <c r="R282" s="283">
        <v>79.541203362499985</v>
      </c>
      <c r="S282" s="284">
        <v>908.9041157167361</v>
      </c>
      <c r="T282" s="284">
        <v>496.39873328416667</v>
      </c>
      <c r="U282" s="296">
        <f t="shared" si="8"/>
        <v>-8.8848842832641139</v>
      </c>
      <c r="V282" s="296">
        <f t="shared" si="9"/>
        <v>-3.3952667158333156</v>
      </c>
      <c r="W282" s="287">
        <v>87</v>
      </c>
      <c r="X282" s="280">
        <v>85</v>
      </c>
      <c r="Y282" s="280">
        <v>84</v>
      </c>
      <c r="Z282" s="280">
        <v>82</v>
      </c>
      <c r="AA282" s="280">
        <v>79</v>
      </c>
      <c r="AB282" s="280">
        <v>78</v>
      </c>
      <c r="AC282" s="280">
        <v>78</v>
      </c>
      <c r="AD282" s="280">
        <v>79</v>
      </c>
      <c r="AE282" s="280">
        <v>78</v>
      </c>
      <c r="AF282" s="280">
        <v>76</v>
      </c>
      <c r="AG282" s="280">
        <v>74</v>
      </c>
      <c r="AH282" s="280">
        <v>74</v>
      </c>
    </row>
    <row r="283" spans="1:34" s="1" customFormat="1" ht="13" x14ac:dyDescent="0.25">
      <c r="A283" s="280" t="s">
        <v>825</v>
      </c>
      <c r="B283" s="286">
        <v>442</v>
      </c>
      <c r="C283" s="286">
        <v>727.875</v>
      </c>
      <c r="D283" s="286">
        <v>1013.7500000000001</v>
      </c>
      <c r="E283" s="286">
        <v>2</v>
      </c>
      <c r="F283" s="281">
        <v>2</v>
      </c>
      <c r="G283" s="282">
        <v>80.489678562500004</v>
      </c>
      <c r="H283" s="282">
        <v>81.631102968749985</v>
      </c>
      <c r="I283" s="282">
        <v>83.304090412500003</v>
      </c>
      <c r="J283" s="282">
        <v>85.484605140000014</v>
      </c>
      <c r="K283" s="282">
        <v>83.64089460861112</v>
      </c>
      <c r="L283" s="282">
        <v>83.859296171527774</v>
      </c>
      <c r="M283" s="282">
        <v>85.355868982777764</v>
      </c>
      <c r="N283" s="282">
        <v>86.804830865277765</v>
      </c>
      <c r="O283" s="282">
        <v>87.739445349999997</v>
      </c>
      <c r="P283" s="282">
        <v>87.188442546666678</v>
      </c>
      <c r="Q283" s="282">
        <v>86.105647808125013</v>
      </c>
      <c r="R283" s="283">
        <v>84.670453362499998</v>
      </c>
      <c r="S283" s="284">
        <v>935.78467821673598</v>
      </c>
      <c r="T283" s="284">
        <v>503.27585828416659</v>
      </c>
      <c r="U283" s="296">
        <f t="shared" si="8"/>
        <v>17.995678216735769</v>
      </c>
      <c r="V283" s="296">
        <f t="shared" si="9"/>
        <v>3.4818582841666057</v>
      </c>
      <c r="W283" s="287">
        <v>87</v>
      </c>
      <c r="X283" s="280">
        <v>85</v>
      </c>
      <c r="Y283" s="280">
        <v>85</v>
      </c>
      <c r="Z283" s="280">
        <v>84</v>
      </c>
      <c r="AA283" s="280">
        <v>82</v>
      </c>
      <c r="AB283" s="280">
        <v>82</v>
      </c>
      <c r="AC283" s="280">
        <v>83</v>
      </c>
      <c r="AD283" s="280">
        <v>85</v>
      </c>
      <c r="AE283" s="280">
        <v>85</v>
      </c>
      <c r="AF283" s="280">
        <v>84</v>
      </c>
      <c r="AG283" s="280">
        <v>83</v>
      </c>
      <c r="AH283" s="280">
        <v>84</v>
      </c>
    </row>
    <row r="284" spans="1:34" s="1" customFormat="1" ht="13" x14ac:dyDescent="0.25">
      <c r="A284" s="280" t="s">
        <v>826</v>
      </c>
      <c r="B284" s="286">
        <v>442</v>
      </c>
      <c r="C284" s="286">
        <v>727.875</v>
      </c>
      <c r="D284" s="286">
        <v>1013.7500000000001</v>
      </c>
      <c r="E284" s="286">
        <v>2</v>
      </c>
      <c r="F284" s="281">
        <v>3</v>
      </c>
      <c r="G284" s="282">
        <v>80.489678562500004</v>
      </c>
      <c r="H284" s="282">
        <v>81.631102968749985</v>
      </c>
      <c r="I284" s="282">
        <v>83.74909041250001</v>
      </c>
      <c r="J284" s="282">
        <v>86.374605140000014</v>
      </c>
      <c r="K284" s="282">
        <v>84.975894608611128</v>
      </c>
      <c r="L284" s="282">
        <v>85.706671171527773</v>
      </c>
      <c r="M284" s="282">
        <v>87.715618982777784</v>
      </c>
      <c r="N284" s="282">
        <v>89.676955865277776</v>
      </c>
      <c r="O284" s="282">
        <v>91.175851600000001</v>
      </c>
      <c r="P284" s="282">
        <v>91.189130046666676</v>
      </c>
      <c r="Q284" s="282">
        <v>90.670616558125005</v>
      </c>
      <c r="R284" s="283">
        <v>89.799703362499997</v>
      </c>
      <c r="S284" s="284">
        <v>962.66524071673621</v>
      </c>
      <c r="T284" s="284">
        <v>510.15298328416668</v>
      </c>
      <c r="U284" s="296">
        <f t="shared" si="8"/>
        <v>44.876240716735992</v>
      </c>
      <c r="V284" s="296">
        <f t="shared" si="9"/>
        <v>10.358983284166698</v>
      </c>
      <c r="W284" s="287">
        <v>87</v>
      </c>
      <c r="X284" s="280">
        <v>85</v>
      </c>
      <c r="Y284" s="280">
        <v>86</v>
      </c>
      <c r="Z284" s="280">
        <v>86</v>
      </c>
      <c r="AA284" s="280">
        <v>85</v>
      </c>
      <c r="AB284" s="280">
        <v>86</v>
      </c>
      <c r="AC284" s="280">
        <v>88</v>
      </c>
      <c r="AD284" s="280">
        <v>91</v>
      </c>
      <c r="AE284" s="280">
        <v>92</v>
      </c>
      <c r="AF284" s="280">
        <v>92</v>
      </c>
      <c r="AG284" s="280">
        <v>92</v>
      </c>
      <c r="AH284" s="280">
        <v>94</v>
      </c>
    </row>
    <row r="285" spans="1:34" s="1" customFormat="1" ht="13" x14ac:dyDescent="0.25">
      <c r="A285" s="280" t="s">
        <v>827</v>
      </c>
      <c r="B285" s="286">
        <v>442</v>
      </c>
      <c r="C285" s="286">
        <v>727.875</v>
      </c>
      <c r="D285" s="286">
        <v>1013.7500000000001</v>
      </c>
      <c r="E285" s="286">
        <v>2</v>
      </c>
      <c r="F285" s="281">
        <v>4</v>
      </c>
      <c r="G285" s="282">
        <v>80.489678562500004</v>
      </c>
      <c r="H285" s="282">
        <v>81.631102968749985</v>
      </c>
      <c r="I285" s="282">
        <v>84.194090412500003</v>
      </c>
      <c r="J285" s="282">
        <v>87.264605140000015</v>
      </c>
      <c r="K285" s="282">
        <v>86.310894608611122</v>
      </c>
      <c r="L285" s="282">
        <v>87.554046171527773</v>
      </c>
      <c r="M285" s="282">
        <v>90.075368982777789</v>
      </c>
      <c r="N285" s="282">
        <v>92.549080865277773</v>
      </c>
      <c r="O285" s="282">
        <v>94.612257850000006</v>
      </c>
      <c r="P285" s="282">
        <v>95.189817546666674</v>
      </c>
      <c r="Q285" s="282">
        <v>95.23558530812501</v>
      </c>
      <c r="R285" s="283">
        <v>94.928953362499996</v>
      </c>
      <c r="S285" s="284">
        <v>989.54580321673609</v>
      </c>
      <c r="T285" s="284">
        <v>517.03010828416666</v>
      </c>
      <c r="U285" s="296">
        <f t="shared" si="8"/>
        <v>71.756803216735875</v>
      </c>
      <c r="V285" s="296">
        <f t="shared" si="9"/>
        <v>17.236108284166676</v>
      </c>
      <c r="W285" s="287">
        <v>87</v>
      </c>
      <c r="X285" s="280">
        <v>85</v>
      </c>
      <c r="Y285" s="280">
        <v>87</v>
      </c>
      <c r="Z285" s="280">
        <v>88</v>
      </c>
      <c r="AA285" s="280">
        <v>88</v>
      </c>
      <c r="AB285" s="280">
        <v>90</v>
      </c>
      <c r="AC285" s="280">
        <v>93</v>
      </c>
      <c r="AD285" s="280">
        <v>97</v>
      </c>
      <c r="AE285" s="280">
        <v>99</v>
      </c>
      <c r="AF285" s="280">
        <v>100</v>
      </c>
      <c r="AG285" s="280">
        <v>101</v>
      </c>
      <c r="AH285" s="280">
        <v>104</v>
      </c>
    </row>
    <row r="286" spans="1:34" s="1" customFormat="1" ht="13" x14ac:dyDescent="0.25">
      <c r="A286" s="280" t="s">
        <v>828</v>
      </c>
      <c r="B286" s="286">
        <v>442</v>
      </c>
      <c r="C286" s="286">
        <v>727.875</v>
      </c>
      <c r="D286" s="286">
        <v>1013.7500000000001</v>
      </c>
      <c r="E286" s="286">
        <v>2</v>
      </c>
      <c r="F286" s="281">
        <v>5</v>
      </c>
      <c r="G286" s="282">
        <v>80.489678562500004</v>
      </c>
      <c r="H286" s="282">
        <v>81.631102968749985</v>
      </c>
      <c r="I286" s="282">
        <v>84.639090412500011</v>
      </c>
      <c r="J286" s="282">
        <v>88.154605140000015</v>
      </c>
      <c r="K286" s="282">
        <v>87.64589460861113</v>
      </c>
      <c r="L286" s="282">
        <v>89.401421171527772</v>
      </c>
      <c r="M286" s="282">
        <v>92.43511898277778</v>
      </c>
      <c r="N286" s="282">
        <v>95.42120586527777</v>
      </c>
      <c r="O286" s="282">
        <v>98.048664099999996</v>
      </c>
      <c r="P286" s="282">
        <v>99.190505046666672</v>
      </c>
      <c r="Q286" s="282">
        <v>99.800554058125002</v>
      </c>
      <c r="R286" s="283">
        <v>100.05820336250001</v>
      </c>
      <c r="S286" s="284">
        <v>1016.4263657167361</v>
      </c>
      <c r="T286" s="284">
        <v>523.90723328416664</v>
      </c>
      <c r="U286" s="296">
        <f t="shared" si="8"/>
        <v>98.637365716735872</v>
      </c>
      <c r="V286" s="296">
        <f t="shared" si="9"/>
        <v>24.113233284166654</v>
      </c>
      <c r="W286" s="287">
        <v>87</v>
      </c>
      <c r="X286" s="280">
        <v>85</v>
      </c>
      <c r="Y286" s="280">
        <v>88</v>
      </c>
      <c r="Z286" s="280">
        <v>90</v>
      </c>
      <c r="AA286" s="280">
        <v>91</v>
      </c>
      <c r="AB286" s="280">
        <v>94</v>
      </c>
      <c r="AC286" s="280">
        <v>98</v>
      </c>
      <c r="AD286" s="280">
        <v>103</v>
      </c>
      <c r="AE286" s="280">
        <v>106</v>
      </c>
      <c r="AF286" s="280">
        <v>108</v>
      </c>
      <c r="AG286" s="280">
        <v>110</v>
      </c>
      <c r="AH286" s="280">
        <v>114</v>
      </c>
    </row>
    <row r="287" spans="1:34" s="1" customFormat="1" ht="13" x14ac:dyDescent="0.25">
      <c r="A287" s="280" t="s">
        <v>829</v>
      </c>
      <c r="B287" s="286">
        <v>442</v>
      </c>
      <c r="C287" s="286">
        <v>727.875</v>
      </c>
      <c r="D287" s="286">
        <v>1013.7500000000001</v>
      </c>
      <c r="E287" s="286">
        <v>3</v>
      </c>
      <c r="F287" s="281">
        <v>0</v>
      </c>
      <c r="G287" s="282">
        <v>80.489678562500004</v>
      </c>
      <c r="H287" s="282">
        <v>81.098079504861104</v>
      </c>
      <c r="I287" s="282">
        <v>81.58312488472221</v>
      </c>
      <c r="J287" s="282">
        <v>83.058287917777776</v>
      </c>
      <c r="K287" s="282">
        <v>80.233741830833324</v>
      </c>
      <c r="L287" s="282">
        <v>79.645101727083315</v>
      </c>
      <c r="M287" s="282">
        <v>80.214320371666659</v>
      </c>
      <c r="N287" s="282">
        <v>80.655719754166626</v>
      </c>
      <c r="O287" s="282">
        <v>80.373924516666662</v>
      </c>
      <c r="P287" s="282">
        <v>78.637067546666657</v>
      </c>
      <c r="Q287" s="282">
        <v>76.528835308124997</v>
      </c>
      <c r="R287" s="283">
        <v>73.911606140277769</v>
      </c>
      <c r="S287" s="284">
        <v>875.9398095028472</v>
      </c>
      <c r="T287" s="284">
        <v>485.83265623694439</v>
      </c>
      <c r="U287" s="296">
        <f t="shared" si="8"/>
        <v>-41.849190497153018</v>
      </c>
      <c r="V287" s="296">
        <f t="shared" si="9"/>
        <v>-13.961343763055595</v>
      </c>
      <c r="W287" s="287">
        <v>87</v>
      </c>
      <c r="X287" s="280">
        <v>85</v>
      </c>
      <c r="Y287" s="280">
        <v>83</v>
      </c>
      <c r="Z287" s="280">
        <v>80</v>
      </c>
      <c r="AA287" s="280">
        <v>76</v>
      </c>
      <c r="AB287" s="280">
        <v>74</v>
      </c>
      <c r="AC287" s="280">
        <v>73</v>
      </c>
      <c r="AD287" s="280">
        <v>73</v>
      </c>
      <c r="AE287" s="280">
        <v>71</v>
      </c>
      <c r="AF287" s="280">
        <v>68</v>
      </c>
      <c r="AG287" s="280">
        <v>65</v>
      </c>
      <c r="AH287" s="280">
        <v>64</v>
      </c>
    </row>
    <row r="288" spans="1:34" s="1" customFormat="1" ht="13" x14ac:dyDescent="0.25">
      <c r="A288" s="280" t="s">
        <v>830</v>
      </c>
      <c r="B288" s="286">
        <v>442</v>
      </c>
      <c r="C288" s="286">
        <v>727.875</v>
      </c>
      <c r="D288" s="286">
        <v>1013.7500000000001</v>
      </c>
      <c r="E288" s="286">
        <v>3</v>
      </c>
      <c r="F288" s="281">
        <v>1</v>
      </c>
      <c r="G288" s="282">
        <v>80.489678562500004</v>
      </c>
      <c r="H288" s="282">
        <v>81.098079504861104</v>
      </c>
      <c r="I288" s="282">
        <v>82.028124884722217</v>
      </c>
      <c r="J288" s="282">
        <v>83.948287917777776</v>
      </c>
      <c r="K288" s="282">
        <v>81.568741830833332</v>
      </c>
      <c r="L288" s="282">
        <v>81.492476727083314</v>
      </c>
      <c r="M288" s="282">
        <v>82.574070371666664</v>
      </c>
      <c r="N288" s="282">
        <v>83.527844754166651</v>
      </c>
      <c r="O288" s="282">
        <v>83.810330766666667</v>
      </c>
      <c r="P288" s="282">
        <v>82.637755046666641</v>
      </c>
      <c r="Q288" s="282">
        <v>81.093804058124988</v>
      </c>
      <c r="R288" s="283">
        <v>79.040856140277768</v>
      </c>
      <c r="S288" s="284">
        <v>902.82037200284708</v>
      </c>
      <c r="T288" s="284">
        <v>492.70978123694442</v>
      </c>
      <c r="U288" s="296">
        <f t="shared" si="8"/>
        <v>-14.968627997153135</v>
      </c>
      <c r="V288" s="296">
        <f t="shared" si="9"/>
        <v>-7.08421876305556</v>
      </c>
      <c r="W288" s="287">
        <v>87</v>
      </c>
      <c r="X288" s="280">
        <v>85</v>
      </c>
      <c r="Y288" s="280">
        <v>84</v>
      </c>
      <c r="Z288" s="280">
        <v>82</v>
      </c>
      <c r="AA288" s="280">
        <v>79</v>
      </c>
      <c r="AB288" s="280">
        <v>78</v>
      </c>
      <c r="AC288" s="280">
        <v>78</v>
      </c>
      <c r="AD288" s="280">
        <v>79</v>
      </c>
      <c r="AE288" s="280">
        <v>78</v>
      </c>
      <c r="AF288" s="280">
        <v>76</v>
      </c>
      <c r="AG288" s="280">
        <v>74</v>
      </c>
      <c r="AH288" s="280">
        <v>74</v>
      </c>
    </row>
    <row r="289" spans="1:34" s="1" customFormat="1" ht="13" x14ac:dyDescent="0.25">
      <c r="A289" s="280" t="s">
        <v>831</v>
      </c>
      <c r="B289" s="286">
        <v>442</v>
      </c>
      <c r="C289" s="286">
        <v>727.875</v>
      </c>
      <c r="D289" s="286">
        <v>1013.7500000000001</v>
      </c>
      <c r="E289" s="286">
        <v>3</v>
      </c>
      <c r="F289" s="281">
        <v>2</v>
      </c>
      <c r="G289" s="282">
        <v>80.489678562500004</v>
      </c>
      <c r="H289" s="282">
        <v>81.098079504861104</v>
      </c>
      <c r="I289" s="282">
        <v>82.47312488472221</v>
      </c>
      <c r="J289" s="282">
        <v>84.838287917777777</v>
      </c>
      <c r="K289" s="282">
        <v>82.903741830833326</v>
      </c>
      <c r="L289" s="282">
        <v>83.339851727083314</v>
      </c>
      <c r="M289" s="282">
        <v>84.93382037166667</v>
      </c>
      <c r="N289" s="282">
        <v>86.399969754166662</v>
      </c>
      <c r="O289" s="282">
        <v>87.246737016666671</v>
      </c>
      <c r="P289" s="282">
        <v>86.638442546666653</v>
      </c>
      <c r="Q289" s="282">
        <v>85.658772808125008</v>
      </c>
      <c r="R289" s="283">
        <v>84.170106140277767</v>
      </c>
      <c r="S289" s="284">
        <v>929.70093450284719</v>
      </c>
      <c r="T289" s="284">
        <v>499.58690623694446</v>
      </c>
      <c r="U289" s="296">
        <f t="shared" si="8"/>
        <v>11.911934502846975</v>
      </c>
      <c r="V289" s="296">
        <f t="shared" si="9"/>
        <v>-0.20709376305552496</v>
      </c>
      <c r="W289" s="287">
        <v>87</v>
      </c>
      <c r="X289" s="280">
        <v>85</v>
      </c>
      <c r="Y289" s="280">
        <v>85</v>
      </c>
      <c r="Z289" s="280">
        <v>84</v>
      </c>
      <c r="AA289" s="280">
        <v>82</v>
      </c>
      <c r="AB289" s="280">
        <v>82</v>
      </c>
      <c r="AC289" s="280">
        <v>83</v>
      </c>
      <c r="AD289" s="280">
        <v>85</v>
      </c>
      <c r="AE289" s="280">
        <v>85</v>
      </c>
      <c r="AF289" s="280">
        <v>84</v>
      </c>
      <c r="AG289" s="280">
        <v>83</v>
      </c>
      <c r="AH289" s="280">
        <v>84</v>
      </c>
    </row>
    <row r="290" spans="1:34" s="1" customFormat="1" ht="13" x14ac:dyDescent="0.25">
      <c r="A290" s="280" t="s">
        <v>832</v>
      </c>
      <c r="B290" s="286">
        <v>442</v>
      </c>
      <c r="C290" s="286">
        <v>727.875</v>
      </c>
      <c r="D290" s="286">
        <v>1013.7500000000001</v>
      </c>
      <c r="E290" s="286">
        <v>3</v>
      </c>
      <c r="F290" s="281">
        <v>3</v>
      </c>
      <c r="G290" s="282">
        <v>80.489678562500004</v>
      </c>
      <c r="H290" s="282">
        <v>81.098079504861104</v>
      </c>
      <c r="I290" s="282">
        <v>82.918124884722218</v>
      </c>
      <c r="J290" s="282">
        <v>85.728287917777777</v>
      </c>
      <c r="K290" s="282">
        <v>84.238741830833348</v>
      </c>
      <c r="L290" s="282">
        <v>85.187226727083313</v>
      </c>
      <c r="M290" s="282">
        <v>87.293570371666675</v>
      </c>
      <c r="N290" s="282">
        <v>89.272094754166659</v>
      </c>
      <c r="O290" s="282">
        <v>90.683143266666676</v>
      </c>
      <c r="P290" s="282">
        <v>90.639130046666651</v>
      </c>
      <c r="Q290" s="282">
        <v>90.223741558125013</v>
      </c>
      <c r="R290" s="283">
        <v>89.299356140277766</v>
      </c>
      <c r="S290" s="284">
        <v>956.58149700284719</v>
      </c>
      <c r="T290" s="284">
        <v>506.46403123694449</v>
      </c>
      <c r="U290" s="296">
        <f t="shared" si="8"/>
        <v>38.792497002846972</v>
      </c>
      <c r="V290" s="296">
        <f t="shared" si="9"/>
        <v>6.6700312369445101</v>
      </c>
      <c r="W290" s="287">
        <v>87</v>
      </c>
      <c r="X290" s="280">
        <v>85</v>
      </c>
      <c r="Y290" s="280">
        <v>86</v>
      </c>
      <c r="Z290" s="280">
        <v>86</v>
      </c>
      <c r="AA290" s="280">
        <v>85</v>
      </c>
      <c r="AB290" s="280">
        <v>86</v>
      </c>
      <c r="AC290" s="280">
        <v>88</v>
      </c>
      <c r="AD290" s="280">
        <v>91</v>
      </c>
      <c r="AE290" s="280">
        <v>92</v>
      </c>
      <c r="AF290" s="280">
        <v>92</v>
      </c>
      <c r="AG290" s="280">
        <v>92</v>
      </c>
      <c r="AH290" s="280">
        <v>94</v>
      </c>
    </row>
    <row r="291" spans="1:34" s="1" customFormat="1" ht="13" x14ac:dyDescent="0.25">
      <c r="A291" s="280" t="s">
        <v>833</v>
      </c>
      <c r="B291" s="286">
        <v>442</v>
      </c>
      <c r="C291" s="286">
        <v>727.875</v>
      </c>
      <c r="D291" s="286">
        <v>1013.7500000000001</v>
      </c>
      <c r="E291" s="286">
        <v>3</v>
      </c>
      <c r="F291" s="281">
        <v>4</v>
      </c>
      <c r="G291" s="282">
        <v>80.489678562500004</v>
      </c>
      <c r="H291" s="282">
        <v>81.098079504861104</v>
      </c>
      <c r="I291" s="282">
        <v>83.363124884722211</v>
      </c>
      <c r="J291" s="282">
        <v>86.618287917777778</v>
      </c>
      <c r="K291" s="282">
        <v>85.573741830833342</v>
      </c>
      <c r="L291" s="282">
        <v>87.034601727083313</v>
      </c>
      <c r="M291" s="282">
        <v>89.653320371666666</v>
      </c>
      <c r="N291" s="282">
        <v>92.144219754166656</v>
      </c>
      <c r="O291" s="282">
        <v>94.119549516666666</v>
      </c>
      <c r="P291" s="282">
        <v>94.639817546666649</v>
      </c>
      <c r="Q291" s="282">
        <v>94.788710308125005</v>
      </c>
      <c r="R291" s="283">
        <v>94.428606140277765</v>
      </c>
      <c r="S291" s="284">
        <v>983.4620595028473</v>
      </c>
      <c r="T291" s="284">
        <v>513.34115623694447</v>
      </c>
      <c r="U291" s="296">
        <f t="shared" si="8"/>
        <v>65.673059502847082</v>
      </c>
      <c r="V291" s="296">
        <f t="shared" si="9"/>
        <v>13.547156236944488</v>
      </c>
      <c r="W291" s="287">
        <v>87</v>
      </c>
      <c r="X291" s="280">
        <v>85</v>
      </c>
      <c r="Y291" s="280">
        <v>87</v>
      </c>
      <c r="Z291" s="280">
        <v>88</v>
      </c>
      <c r="AA291" s="280">
        <v>88</v>
      </c>
      <c r="AB291" s="280">
        <v>90</v>
      </c>
      <c r="AC291" s="280">
        <v>93</v>
      </c>
      <c r="AD291" s="280">
        <v>97</v>
      </c>
      <c r="AE291" s="280">
        <v>99</v>
      </c>
      <c r="AF291" s="280">
        <v>100</v>
      </c>
      <c r="AG291" s="280">
        <v>101</v>
      </c>
      <c r="AH291" s="280">
        <v>104</v>
      </c>
    </row>
    <row r="292" spans="1:34" s="1" customFormat="1" ht="13" x14ac:dyDescent="0.25">
      <c r="A292" s="280" t="s">
        <v>834</v>
      </c>
      <c r="B292" s="286">
        <v>442</v>
      </c>
      <c r="C292" s="286">
        <v>727.875</v>
      </c>
      <c r="D292" s="286">
        <v>1013.7500000000001</v>
      </c>
      <c r="E292" s="286">
        <v>3</v>
      </c>
      <c r="F292" s="281">
        <v>5</v>
      </c>
      <c r="G292" s="282">
        <v>80.489678562500004</v>
      </c>
      <c r="H292" s="282">
        <v>81.098079504861104</v>
      </c>
      <c r="I292" s="282">
        <v>83.808124884722218</v>
      </c>
      <c r="J292" s="282">
        <v>87.508287917777778</v>
      </c>
      <c r="K292" s="282">
        <v>86.90874183083335</v>
      </c>
      <c r="L292" s="282">
        <v>88.881976727083327</v>
      </c>
      <c r="M292" s="282">
        <v>92.013070371666672</v>
      </c>
      <c r="N292" s="282">
        <v>95.016344754166667</v>
      </c>
      <c r="O292" s="282">
        <v>97.555955766666671</v>
      </c>
      <c r="P292" s="282">
        <v>98.640505046666647</v>
      </c>
      <c r="Q292" s="282">
        <v>99.35367905812501</v>
      </c>
      <c r="R292" s="283">
        <v>99.557856140277764</v>
      </c>
      <c r="S292" s="284">
        <v>1010.3426220028472</v>
      </c>
      <c r="T292" s="284">
        <v>520.21828123694445</v>
      </c>
      <c r="U292" s="296">
        <f t="shared" si="8"/>
        <v>92.553622002846964</v>
      </c>
      <c r="V292" s="296">
        <f t="shared" si="9"/>
        <v>20.424281236944466</v>
      </c>
      <c r="W292" s="287">
        <v>87</v>
      </c>
      <c r="X292" s="280">
        <v>85</v>
      </c>
      <c r="Y292" s="280">
        <v>88</v>
      </c>
      <c r="Z292" s="280">
        <v>90</v>
      </c>
      <c r="AA292" s="280">
        <v>91</v>
      </c>
      <c r="AB292" s="280">
        <v>94</v>
      </c>
      <c r="AC292" s="280">
        <v>98</v>
      </c>
      <c r="AD292" s="280">
        <v>103</v>
      </c>
      <c r="AE292" s="280">
        <v>106</v>
      </c>
      <c r="AF292" s="280">
        <v>108</v>
      </c>
      <c r="AG292" s="280">
        <v>110</v>
      </c>
      <c r="AH292" s="280">
        <v>114</v>
      </c>
    </row>
    <row r="293" spans="1:34" s="1" customFormat="1" ht="13" x14ac:dyDescent="0.25">
      <c r="A293" s="280" t="s">
        <v>835</v>
      </c>
      <c r="B293" s="286">
        <v>442</v>
      </c>
      <c r="C293" s="286">
        <v>727.875</v>
      </c>
      <c r="D293" s="286">
        <v>1013.7500000000001</v>
      </c>
      <c r="E293" s="286">
        <v>4</v>
      </c>
      <c r="F293" s="281">
        <v>0</v>
      </c>
      <c r="G293" s="282">
        <v>80.489678562500004</v>
      </c>
      <c r="H293" s="282">
        <v>80.815892810416656</v>
      </c>
      <c r="I293" s="282">
        <v>81.092375204166657</v>
      </c>
      <c r="J293" s="282">
        <v>82.424535806666654</v>
      </c>
      <c r="K293" s="282">
        <v>79.650114858611104</v>
      </c>
      <c r="L293" s="282">
        <v>79.078376004861099</v>
      </c>
      <c r="M293" s="282">
        <v>79.751212732777773</v>
      </c>
      <c r="N293" s="282">
        <v>80.281414198611103</v>
      </c>
      <c r="O293" s="282">
        <v>79.932778683333311</v>
      </c>
      <c r="P293" s="282">
        <v>78.144359213333331</v>
      </c>
      <c r="Q293" s="282">
        <v>76.001751974791645</v>
      </c>
      <c r="R293" s="283">
        <v>73.443724195833312</v>
      </c>
      <c r="S293" s="284">
        <v>870.61653568340273</v>
      </c>
      <c r="T293" s="284">
        <v>482.81250741749994</v>
      </c>
      <c r="U293" s="296">
        <f t="shared" si="8"/>
        <v>-47.172464316597484</v>
      </c>
      <c r="V293" s="296">
        <f t="shared" si="9"/>
        <v>-16.981492582500039</v>
      </c>
      <c r="W293" s="287">
        <v>87</v>
      </c>
      <c r="X293" s="280">
        <v>85</v>
      </c>
      <c r="Y293" s="280">
        <v>83</v>
      </c>
      <c r="Z293" s="280">
        <v>80</v>
      </c>
      <c r="AA293" s="280">
        <v>76</v>
      </c>
      <c r="AB293" s="280">
        <v>74</v>
      </c>
      <c r="AC293" s="280">
        <v>73</v>
      </c>
      <c r="AD293" s="280">
        <v>73</v>
      </c>
      <c r="AE293" s="280">
        <v>71</v>
      </c>
      <c r="AF293" s="280">
        <v>68</v>
      </c>
      <c r="AG293" s="280">
        <v>65</v>
      </c>
      <c r="AH293" s="280">
        <v>64</v>
      </c>
    </row>
    <row r="294" spans="1:34" s="1" customFormat="1" ht="13" x14ac:dyDescent="0.25">
      <c r="A294" s="280" t="s">
        <v>836</v>
      </c>
      <c r="B294" s="286">
        <v>442</v>
      </c>
      <c r="C294" s="286">
        <v>727.875</v>
      </c>
      <c r="D294" s="286">
        <v>1013.7500000000001</v>
      </c>
      <c r="E294" s="286">
        <v>4</v>
      </c>
      <c r="F294" s="281">
        <v>1</v>
      </c>
      <c r="G294" s="282">
        <v>80.489678562500004</v>
      </c>
      <c r="H294" s="282">
        <v>80.815892810416656</v>
      </c>
      <c r="I294" s="282">
        <v>81.537375204166651</v>
      </c>
      <c r="J294" s="282">
        <v>83.314535806666669</v>
      </c>
      <c r="K294" s="282">
        <v>80.985114858611112</v>
      </c>
      <c r="L294" s="282">
        <v>80.925751004861098</v>
      </c>
      <c r="M294" s="282">
        <v>82.110962732777764</v>
      </c>
      <c r="N294" s="282">
        <v>83.153539198611114</v>
      </c>
      <c r="O294" s="282">
        <v>83.369184933333329</v>
      </c>
      <c r="P294" s="282">
        <v>82.145046713333329</v>
      </c>
      <c r="Q294" s="282">
        <v>80.566720724791651</v>
      </c>
      <c r="R294" s="283">
        <v>78.572974195833311</v>
      </c>
      <c r="S294" s="284">
        <v>897.49709818340273</v>
      </c>
      <c r="T294" s="284">
        <v>489.68963241749992</v>
      </c>
      <c r="U294" s="296">
        <f t="shared" si="8"/>
        <v>-20.291901816597488</v>
      </c>
      <c r="V294" s="296">
        <f t="shared" si="9"/>
        <v>-10.104367582500061</v>
      </c>
      <c r="W294" s="287">
        <v>87</v>
      </c>
      <c r="X294" s="280">
        <v>85</v>
      </c>
      <c r="Y294" s="280">
        <v>84</v>
      </c>
      <c r="Z294" s="280">
        <v>82</v>
      </c>
      <c r="AA294" s="280">
        <v>79</v>
      </c>
      <c r="AB294" s="280">
        <v>78</v>
      </c>
      <c r="AC294" s="280">
        <v>78</v>
      </c>
      <c r="AD294" s="280">
        <v>79</v>
      </c>
      <c r="AE294" s="280">
        <v>78</v>
      </c>
      <c r="AF294" s="280">
        <v>76</v>
      </c>
      <c r="AG294" s="280">
        <v>74</v>
      </c>
      <c r="AH294" s="280">
        <v>74</v>
      </c>
    </row>
    <row r="295" spans="1:34" s="1" customFormat="1" ht="13" x14ac:dyDescent="0.25">
      <c r="A295" s="280" t="s">
        <v>837</v>
      </c>
      <c r="B295" s="286">
        <v>442</v>
      </c>
      <c r="C295" s="286">
        <v>727.875</v>
      </c>
      <c r="D295" s="286">
        <v>1013.7500000000001</v>
      </c>
      <c r="E295" s="286">
        <v>4</v>
      </c>
      <c r="F295" s="281">
        <v>2</v>
      </c>
      <c r="G295" s="282">
        <v>80.489678562500004</v>
      </c>
      <c r="H295" s="282">
        <v>80.815892810416656</v>
      </c>
      <c r="I295" s="282">
        <v>81.982375204166672</v>
      </c>
      <c r="J295" s="282">
        <v>84.204535806666669</v>
      </c>
      <c r="K295" s="282">
        <v>82.320114858611106</v>
      </c>
      <c r="L295" s="282">
        <v>82.773126004861098</v>
      </c>
      <c r="M295" s="282">
        <v>84.47071273277777</v>
      </c>
      <c r="N295" s="282">
        <v>86.025664198611111</v>
      </c>
      <c r="O295" s="282">
        <v>86.805591183333334</v>
      </c>
      <c r="P295" s="282">
        <v>86.145734213333327</v>
      </c>
      <c r="Q295" s="282">
        <v>85.131689474791671</v>
      </c>
      <c r="R295" s="283">
        <v>83.70222419583331</v>
      </c>
      <c r="S295" s="284">
        <v>924.37766068340272</v>
      </c>
      <c r="T295" s="284">
        <v>496.56675741749996</v>
      </c>
      <c r="U295" s="296">
        <f t="shared" si="8"/>
        <v>6.5886606834025088</v>
      </c>
      <c r="V295" s="296">
        <f t="shared" si="9"/>
        <v>-3.2272425825000255</v>
      </c>
      <c r="W295" s="287">
        <v>87</v>
      </c>
      <c r="X295" s="280">
        <v>85</v>
      </c>
      <c r="Y295" s="280">
        <v>85</v>
      </c>
      <c r="Z295" s="280">
        <v>84</v>
      </c>
      <c r="AA295" s="280">
        <v>82</v>
      </c>
      <c r="AB295" s="280">
        <v>82</v>
      </c>
      <c r="AC295" s="280">
        <v>83</v>
      </c>
      <c r="AD295" s="280">
        <v>85</v>
      </c>
      <c r="AE295" s="280">
        <v>85</v>
      </c>
      <c r="AF295" s="280">
        <v>84</v>
      </c>
      <c r="AG295" s="280">
        <v>83</v>
      </c>
      <c r="AH295" s="280">
        <v>84</v>
      </c>
    </row>
    <row r="296" spans="1:34" s="1" customFormat="1" ht="13" x14ac:dyDescent="0.25">
      <c r="A296" s="280" t="s">
        <v>838</v>
      </c>
      <c r="B296" s="286">
        <v>442</v>
      </c>
      <c r="C296" s="286">
        <v>727.875</v>
      </c>
      <c r="D296" s="286">
        <v>1013.7500000000001</v>
      </c>
      <c r="E296" s="286">
        <v>4</v>
      </c>
      <c r="F296" s="281">
        <v>3</v>
      </c>
      <c r="G296" s="282">
        <v>80.489678562500004</v>
      </c>
      <c r="H296" s="282">
        <v>80.815892810416656</v>
      </c>
      <c r="I296" s="282">
        <v>82.427375204166665</v>
      </c>
      <c r="J296" s="282">
        <v>85.09453580666667</v>
      </c>
      <c r="K296" s="282">
        <v>83.655114858611128</v>
      </c>
      <c r="L296" s="282">
        <v>84.620501004861097</v>
      </c>
      <c r="M296" s="282">
        <v>86.830462732777775</v>
      </c>
      <c r="N296" s="282">
        <v>88.897789198611108</v>
      </c>
      <c r="O296" s="282">
        <v>90.241997433333324</v>
      </c>
      <c r="P296" s="282">
        <v>90.146421713333339</v>
      </c>
      <c r="Q296" s="282">
        <v>89.696658224791662</v>
      </c>
      <c r="R296" s="283">
        <v>88.831474195833323</v>
      </c>
      <c r="S296" s="284">
        <v>951.25822318340261</v>
      </c>
      <c r="T296" s="284">
        <v>503.44388241749999</v>
      </c>
      <c r="U296" s="296">
        <f t="shared" si="8"/>
        <v>33.469223183402391</v>
      </c>
      <c r="V296" s="296">
        <f t="shared" si="9"/>
        <v>3.6498824175000095</v>
      </c>
      <c r="W296" s="287">
        <v>87</v>
      </c>
      <c r="X296" s="280">
        <v>85</v>
      </c>
      <c r="Y296" s="280">
        <v>86</v>
      </c>
      <c r="Z296" s="280">
        <v>86</v>
      </c>
      <c r="AA296" s="280">
        <v>85</v>
      </c>
      <c r="AB296" s="280">
        <v>86</v>
      </c>
      <c r="AC296" s="280">
        <v>88</v>
      </c>
      <c r="AD296" s="280">
        <v>91</v>
      </c>
      <c r="AE296" s="280">
        <v>92</v>
      </c>
      <c r="AF296" s="280">
        <v>92</v>
      </c>
      <c r="AG296" s="280">
        <v>92</v>
      </c>
      <c r="AH296" s="280">
        <v>94</v>
      </c>
    </row>
    <row r="297" spans="1:34" s="1" customFormat="1" ht="13" x14ac:dyDescent="0.25">
      <c r="A297" s="280" t="s">
        <v>839</v>
      </c>
      <c r="B297" s="286">
        <v>442</v>
      </c>
      <c r="C297" s="286">
        <v>727.875</v>
      </c>
      <c r="D297" s="286">
        <v>1013.7500000000001</v>
      </c>
      <c r="E297" s="286">
        <v>4</v>
      </c>
      <c r="F297" s="281">
        <v>4</v>
      </c>
      <c r="G297" s="282">
        <v>80.489678562500004</v>
      </c>
      <c r="H297" s="282">
        <v>80.815892810416656</v>
      </c>
      <c r="I297" s="282">
        <v>82.872375204166673</v>
      </c>
      <c r="J297" s="282">
        <v>85.984535806666671</v>
      </c>
      <c r="K297" s="282">
        <v>84.990114858611122</v>
      </c>
      <c r="L297" s="282">
        <v>86.467876004861111</v>
      </c>
      <c r="M297" s="282">
        <v>89.190212732777781</v>
      </c>
      <c r="N297" s="282">
        <v>91.769914198611119</v>
      </c>
      <c r="O297" s="282">
        <v>93.678403683333329</v>
      </c>
      <c r="P297" s="282">
        <v>94.147109213333337</v>
      </c>
      <c r="Q297" s="282">
        <v>94.261626974791668</v>
      </c>
      <c r="R297" s="283">
        <v>93.960724195833322</v>
      </c>
      <c r="S297" s="284">
        <v>978.13878568340283</v>
      </c>
      <c r="T297" s="284">
        <v>510.32100741750003</v>
      </c>
      <c r="U297" s="296">
        <f t="shared" si="8"/>
        <v>60.349785683402615</v>
      </c>
      <c r="V297" s="296">
        <f t="shared" si="9"/>
        <v>10.527007417500045</v>
      </c>
      <c r="W297" s="287">
        <v>87</v>
      </c>
      <c r="X297" s="280">
        <v>85</v>
      </c>
      <c r="Y297" s="280">
        <v>87</v>
      </c>
      <c r="Z297" s="280">
        <v>88</v>
      </c>
      <c r="AA297" s="280">
        <v>88</v>
      </c>
      <c r="AB297" s="280">
        <v>90</v>
      </c>
      <c r="AC297" s="280">
        <v>93</v>
      </c>
      <c r="AD297" s="280">
        <v>97</v>
      </c>
      <c r="AE297" s="280">
        <v>99</v>
      </c>
      <c r="AF297" s="280">
        <v>100</v>
      </c>
      <c r="AG297" s="280">
        <v>101</v>
      </c>
      <c r="AH297" s="280">
        <v>104</v>
      </c>
    </row>
    <row r="298" spans="1:34" s="1" customFormat="1" ht="13" x14ac:dyDescent="0.25">
      <c r="A298" s="280" t="s">
        <v>840</v>
      </c>
      <c r="B298" s="286">
        <v>442</v>
      </c>
      <c r="C298" s="286">
        <v>727.875</v>
      </c>
      <c r="D298" s="286">
        <v>1013.7500000000001</v>
      </c>
      <c r="E298" s="286">
        <v>4</v>
      </c>
      <c r="F298" s="281">
        <v>5</v>
      </c>
      <c r="G298" s="282">
        <v>80.489678562500004</v>
      </c>
      <c r="H298" s="282">
        <v>80.815892810416656</v>
      </c>
      <c r="I298" s="282">
        <v>83.317375204166666</v>
      </c>
      <c r="J298" s="282">
        <v>86.874535806666671</v>
      </c>
      <c r="K298" s="282">
        <v>86.32511485861113</v>
      </c>
      <c r="L298" s="282">
        <v>88.315251004861111</v>
      </c>
      <c r="M298" s="282">
        <v>91.549962732777786</v>
      </c>
      <c r="N298" s="282">
        <v>94.642039198611116</v>
      </c>
      <c r="O298" s="282">
        <v>97.114809933333333</v>
      </c>
      <c r="P298" s="282">
        <v>98.147796713333335</v>
      </c>
      <c r="Q298" s="282">
        <v>98.826595724791659</v>
      </c>
      <c r="R298" s="283">
        <v>99.089974195833321</v>
      </c>
      <c r="S298" s="284">
        <v>1005.0193481834028</v>
      </c>
      <c r="T298" s="284">
        <v>517.19813241750001</v>
      </c>
      <c r="U298" s="296">
        <f t="shared" si="8"/>
        <v>87.230348183402612</v>
      </c>
      <c r="V298" s="296">
        <f t="shared" si="9"/>
        <v>17.404132417500023</v>
      </c>
      <c r="W298" s="287">
        <v>87</v>
      </c>
      <c r="X298" s="280">
        <v>85</v>
      </c>
      <c r="Y298" s="280">
        <v>88</v>
      </c>
      <c r="Z298" s="280">
        <v>90</v>
      </c>
      <c r="AA298" s="280">
        <v>91</v>
      </c>
      <c r="AB298" s="280">
        <v>94</v>
      </c>
      <c r="AC298" s="280">
        <v>98</v>
      </c>
      <c r="AD298" s="280">
        <v>103</v>
      </c>
      <c r="AE298" s="280">
        <v>106</v>
      </c>
      <c r="AF298" s="280">
        <v>108</v>
      </c>
      <c r="AG298" s="280">
        <v>110</v>
      </c>
      <c r="AH298" s="280">
        <v>114</v>
      </c>
    </row>
    <row r="299" spans="1:34" s="1" customFormat="1" ht="13" x14ac:dyDescent="0.25">
      <c r="A299" s="280" t="s">
        <v>841</v>
      </c>
      <c r="B299" s="286">
        <v>442</v>
      </c>
      <c r="C299" s="286">
        <v>727.875</v>
      </c>
      <c r="D299" s="286">
        <v>1013.7500000000001</v>
      </c>
      <c r="E299" s="286">
        <v>5</v>
      </c>
      <c r="F299" s="281">
        <v>0</v>
      </c>
      <c r="G299" s="282">
        <v>80.489678562500004</v>
      </c>
      <c r="H299" s="282">
        <v>80.634851143749984</v>
      </c>
      <c r="I299" s="282">
        <v>80.759204170833328</v>
      </c>
      <c r="J299" s="282">
        <v>81.956332806666651</v>
      </c>
      <c r="K299" s="282">
        <v>79.066015525277777</v>
      </c>
      <c r="L299" s="282">
        <v>78.588656004861107</v>
      </c>
      <c r="M299" s="282">
        <v>79.290014816111096</v>
      </c>
      <c r="N299" s="282">
        <v>79.855164198611078</v>
      </c>
      <c r="O299" s="282">
        <v>79.530591183333314</v>
      </c>
      <c r="P299" s="282">
        <v>77.69290088000001</v>
      </c>
      <c r="Q299" s="282">
        <v>75.511335308124998</v>
      </c>
      <c r="R299" s="283">
        <v>72.920078362499993</v>
      </c>
      <c r="S299" s="284">
        <v>865.80514440006937</v>
      </c>
      <c r="T299" s="284">
        <v>480.29507446749994</v>
      </c>
      <c r="U299" s="296">
        <f t="shared" si="8"/>
        <v>-51.983855599930848</v>
      </c>
      <c r="V299" s="296">
        <f t="shared" si="9"/>
        <v>-19.498925532500039</v>
      </c>
      <c r="W299" s="287">
        <v>87</v>
      </c>
      <c r="X299" s="280">
        <v>85</v>
      </c>
      <c r="Y299" s="280">
        <v>83</v>
      </c>
      <c r="Z299" s="280">
        <v>80</v>
      </c>
      <c r="AA299" s="280">
        <v>76</v>
      </c>
      <c r="AB299" s="280">
        <v>74</v>
      </c>
      <c r="AC299" s="280">
        <v>73</v>
      </c>
      <c r="AD299" s="280">
        <v>73</v>
      </c>
      <c r="AE299" s="280">
        <v>71</v>
      </c>
      <c r="AF299" s="280">
        <v>68</v>
      </c>
      <c r="AG299" s="280">
        <v>65</v>
      </c>
      <c r="AH299" s="280">
        <v>64</v>
      </c>
    </row>
    <row r="300" spans="1:34" s="1" customFormat="1" ht="13" x14ac:dyDescent="0.25">
      <c r="A300" s="280" t="s">
        <v>842</v>
      </c>
      <c r="B300" s="286">
        <v>442</v>
      </c>
      <c r="C300" s="286">
        <v>727.875</v>
      </c>
      <c r="D300" s="286">
        <v>1013.7500000000001</v>
      </c>
      <c r="E300" s="286">
        <v>5</v>
      </c>
      <c r="F300" s="281">
        <v>1</v>
      </c>
      <c r="G300" s="282">
        <v>80.489678562500004</v>
      </c>
      <c r="H300" s="282">
        <v>80.634851143749984</v>
      </c>
      <c r="I300" s="282">
        <v>81.204204170833322</v>
      </c>
      <c r="J300" s="282">
        <v>82.846332806666652</v>
      </c>
      <c r="K300" s="282">
        <v>80.401015525277785</v>
      </c>
      <c r="L300" s="282">
        <v>80.436031004861107</v>
      </c>
      <c r="M300" s="282">
        <v>81.649764816111102</v>
      </c>
      <c r="N300" s="282">
        <v>82.727289198611103</v>
      </c>
      <c r="O300" s="282">
        <v>82.966997433333333</v>
      </c>
      <c r="P300" s="282">
        <v>81.693588379999994</v>
      </c>
      <c r="Q300" s="282">
        <v>80.07630405812499</v>
      </c>
      <c r="R300" s="283">
        <v>78.049328362499992</v>
      </c>
      <c r="S300" s="284">
        <v>892.68570690006914</v>
      </c>
      <c r="T300" s="284">
        <v>487.17219946749992</v>
      </c>
      <c r="U300" s="296">
        <f t="shared" si="8"/>
        <v>-25.103293099931079</v>
      </c>
      <c r="V300" s="296">
        <f t="shared" si="9"/>
        <v>-12.62180053250006</v>
      </c>
      <c r="W300" s="287">
        <v>87</v>
      </c>
      <c r="X300" s="280">
        <v>85</v>
      </c>
      <c r="Y300" s="280">
        <v>84</v>
      </c>
      <c r="Z300" s="280">
        <v>82</v>
      </c>
      <c r="AA300" s="280">
        <v>79</v>
      </c>
      <c r="AB300" s="280">
        <v>78</v>
      </c>
      <c r="AC300" s="280">
        <v>78</v>
      </c>
      <c r="AD300" s="280">
        <v>79</v>
      </c>
      <c r="AE300" s="280">
        <v>78</v>
      </c>
      <c r="AF300" s="280">
        <v>76</v>
      </c>
      <c r="AG300" s="280">
        <v>74</v>
      </c>
      <c r="AH300" s="280">
        <v>74</v>
      </c>
    </row>
    <row r="301" spans="1:34" s="1" customFormat="1" ht="13" x14ac:dyDescent="0.25">
      <c r="A301" s="280" t="s">
        <v>843</v>
      </c>
      <c r="B301" s="286">
        <v>442</v>
      </c>
      <c r="C301" s="286">
        <v>727.875</v>
      </c>
      <c r="D301" s="286">
        <v>1013.7500000000001</v>
      </c>
      <c r="E301" s="286">
        <v>5</v>
      </c>
      <c r="F301" s="281">
        <v>2</v>
      </c>
      <c r="G301" s="282">
        <v>80.489678562500004</v>
      </c>
      <c r="H301" s="282">
        <v>80.634851143749984</v>
      </c>
      <c r="I301" s="282">
        <v>81.649204170833343</v>
      </c>
      <c r="J301" s="282">
        <v>83.736332806666667</v>
      </c>
      <c r="K301" s="282">
        <v>81.736015525277779</v>
      </c>
      <c r="L301" s="282">
        <v>82.283406004861106</v>
      </c>
      <c r="M301" s="282">
        <v>84.009514816111093</v>
      </c>
      <c r="N301" s="282">
        <v>85.5994141986111</v>
      </c>
      <c r="O301" s="282">
        <v>86.403403683333323</v>
      </c>
      <c r="P301" s="282">
        <v>85.694275879999992</v>
      </c>
      <c r="Q301" s="282">
        <v>84.641272808125009</v>
      </c>
      <c r="R301" s="283">
        <v>83.178578362500005</v>
      </c>
      <c r="S301" s="284">
        <v>919.56626940006936</v>
      </c>
      <c r="T301" s="284">
        <v>494.04932446749996</v>
      </c>
      <c r="U301" s="296">
        <f t="shared" si="8"/>
        <v>1.7772694000691445</v>
      </c>
      <c r="V301" s="296">
        <f t="shared" si="9"/>
        <v>-5.7446755325000254</v>
      </c>
      <c r="W301" s="287">
        <v>87</v>
      </c>
      <c r="X301" s="280">
        <v>85</v>
      </c>
      <c r="Y301" s="280">
        <v>85</v>
      </c>
      <c r="Z301" s="280">
        <v>84</v>
      </c>
      <c r="AA301" s="280">
        <v>82</v>
      </c>
      <c r="AB301" s="280">
        <v>82</v>
      </c>
      <c r="AC301" s="280">
        <v>83</v>
      </c>
      <c r="AD301" s="280">
        <v>85</v>
      </c>
      <c r="AE301" s="280">
        <v>85</v>
      </c>
      <c r="AF301" s="280">
        <v>84</v>
      </c>
      <c r="AG301" s="280">
        <v>83</v>
      </c>
      <c r="AH301" s="280">
        <v>84</v>
      </c>
    </row>
    <row r="302" spans="1:34" s="1" customFormat="1" ht="13" x14ac:dyDescent="0.25">
      <c r="A302" s="280" t="s">
        <v>844</v>
      </c>
      <c r="B302" s="286">
        <v>442</v>
      </c>
      <c r="C302" s="286">
        <v>727.875</v>
      </c>
      <c r="D302" s="286">
        <v>1013.7500000000001</v>
      </c>
      <c r="E302" s="286">
        <v>5</v>
      </c>
      <c r="F302" s="281">
        <v>3</v>
      </c>
      <c r="G302" s="282">
        <v>80.489678562500004</v>
      </c>
      <c r="H302" s="282">
        <v>80.634851143749984</v>
      </c>
      <c r="I302" s="282">
        <v>82.094204170833336</v>
      </c>
      <c r="J302" s="282">
        <v>84.626332806666667</v>
      </c>
      <c r="K302" s="282">
        <v>83.071015525277772</v>
      </c>
      <c r="L302" s="282">
        <v>84.130781004861106</v>
      </c>
      <c r="M302" s="282">
        <v>86.369264816111098</v>
      </c>
      <c r="N302" s="282">
        <v>88.471539198611097</v>
      </c>
      <c r="O302" s="282">
        <v>89.839809933333328</v>
      </c>
      <c r="P302" s="282">
        <v>89.69496337999999</v>
      </c>
      <c r="Q302" s="282">
        <v>89.206241558125001</v>
      </c>
      <c r="R302" s="283">
        <v>88.307828362500004</v>
      </c>
      <c r="S302" s="284">
        <v>946.44683190006947</v>
      </c>
      <c r="T302" s="284">
        <v>500.92644946749999</v>
      </c>
      <c r="U302" s="296">
        <f t="shared" si="8"/>
        <v>28.657831900069255</v>
      </c>
      <c r="V302" s="296">
        <f t="shared" si="9"/>
        <v>1.1324494675000096</v>
      </c>
      <c r="W302" s="287">
        <v>87</v>
      </c>
      <c r="X302" s="280">
        <v>85</v>
      </c>
      <c r="Y302" s="280">
        <v>86</v>
      </c>
      <c r="Z302" s="280">
        <v>86</v>
      </c>
      <c r="AA302" s="280">
        <v>85</v>
      </c>
      <c r="AB302" s="280">
        <v>86</v>
      </c>
      <c r="AC302" s="280">
        <v>88</v>
      </c>
      <c r="AD302" s="280">
        <v>91</v>
      </c>
      <c r="AE302" s="280">
        <v>92</v>
      </c>
      <c r="AF302" s="280">
        <v>92</v>
      </c>
      <c r="AG302" s="280">
        <v>92</v>
      </c>
      <c r="AH302" s="280">
        <v>94</v>
      </c>
    </row>
    <row r="303" spans="1:34" s="1" customFormat="1" ht="13" x14ac:dyDescent="0.25">
      <c r="A303" s="280" t="s">
        <v>845</v>
      </c>
      <c r="B303" s="286">
        <v>442</v>
      </c>
      <c r="C303" s="286">
        <v>727.875</v>
      </c>
      <c r="D303" s="286">
        <v>1013.7500000000001</v>
      </c>
      <c r="E303" s="286">
        <v>5</v>
      </c>
      <c r="F303" s="281">
        <v>4</v>
      </c>
      <c r="G303" s="282">
        <v>80.489678562500004</v>
      </c>
      <c r="H303" s="282">
        <v>80.634851143749984</v>
      </c>
      <c r="I303" s="282">
        <v>82.539204170833344</v>
      </c>
      <c r="J303" s="282">
        <v>85.516332806666668</v>
      </c>
      <c r="K303" s="282">
        <v>84.406015525277795</v>
      </c>
      <c r="L303" s="282">
        <v>85.978156004861106</v>
      </c>
      <c r="M303" s="282">
        <v>88.729014816111118</v>
      </c>
      <c r="N303" s="282">
        <v>91.343664198611094</v>
      </c>
      <c r="O303" s="282">
        <v>93.276216183333332</v>
      </c>
      <c r="P303" s="282">
        <v>93.695650879999988</v>
      </c>
      <c r="Q303" s="282">
        <v>93.771210308125006</v>
      </c>
      <c r="R303" s="283">
        <v>93.437078362500003</v>
      </c>
      <c r="S303" s="284">
        <v>973.32739440006935</v>
      </c>
      <c r="T303" s="284">
        <v>507.80357446749997</v>
      </c>
      <c r="U303" s="296">
        <f t="shared" si="8"/>
        <v>55.538394400069137</v>
      </c>
      <c r="V303" s="296">
        <f t="shared" si="9"/>
        <v>8.0095744674999878</v>
      </c>
      <c r="W303" s="287">
        <v>87</v>
      </c>
      <c r="X303" s="280">
        <v>85</v>
      </c>
      <c r="Y303" s="280">
        <v>87</v>
      </c>
      <c r="Z303" s="280">
        <v>88</v>
      </c>
      <c r="AA303" s="280">
        <v>88</v>
      </c>
      <c r="AB303" s="280">
        <v>90</v>
      </c>
      <c r="AC303" s="280">
        <v>93</v>
      </c>
      <c r="AD303" s="280">
        <v>97</v>
      </c>
      <c r="AE303" s="280">
        <v>99</v>
      </c>
      <c r="AF303" s="280">
        <v>100</v>
      </c>
      <c r="AG303" s="280">
        <v>101</v>
      </c>
      <c r="AH303" s="280">
        <v>104</v>
      </c>
    </row>
    <row r="304" spans="1:34" s="1" customFormat="1" ht="13" x14ac:dyDescent="0.25">
      <c r="A304" s="280" t="s">
        <v>846</v>
      </c>
      <c r="B304" s="286">
        <v>442</v>
      </c>
      <c r="C304" s="286">
        <v>727.875</v>
      </c>
      <c r="D304" s="286">
        <v>1013.7500000000001</v>
      </c>
      <c r="E304" s="286">
        <v>5</v>
      </c>
      <c r="F304" s="281">
        <v>5</v>
      </c>
      <c r="G304" s="282">
        <v>80.489678562500004</v>
      </c>
      <c r="H304" s="282">
        <v>80.634851143749984</v>
      </c>
      <c r="I304" s="282">
        <v>82.984204170833337</v>
      </c>
      <c r="J304" s="282">
        <v>86.406332806666668</v>
      </c>
      <c r="K304" s="282">
        <v>85.741015525277788</v>
      </c>
      <c r="L304" s="282">
        <v>87.825531004861105</v>
      </c>
      <c r="M304" s="282">
        <v>91.088764816111109</v>
      </c>
      <c r="N304" s="282">
        <v>94.215789198611105</v>
      </c>
      <c r="O304" s="282">
        <v>96.712622433333323</v>
      </c>
      <c r="P304" s="282">
        <v>97.696338379999986</v>
      </c>
      <c r="Q304" s="282">
        <v>98.336179058125012</v>
      </c>
      <c r="R304" s="283">
        <v>98.566328362500002</v>
      </c>
      <c r="S304" s="284">
        <v>1000.2079569000695</v>
      </c>
      <c r="T304" s="284">
        <v>514.68069946750006</v>
      </c>
      <c r="U304" s="296">
        <f t="shared" si="8"/>
        <v>82.418956900069247</v>
      </c>
      <c r="V304" s="296">
        <f t="shared" si="9"/>
        <v>14.88669946750008</v>
      </c>
      <c r="W304" s="287">
        <v>87</v>
      </c>
      <c r="X304" s="280">
        <v>85</v>
      </c>
      <c r="Y304" s="280">
        <v>88</v>
      </c>
      <c r="Z304" s="280">
        <v>90</v>
      </c>
      <c r="AA304" s="280">
        <v>91</v>
      </c>
      <c r="AB304" s="280">
        <v>94</v>
      </c>
      <c r="AC304" s="280">
        <v>98</v>
      </c>
      <c r="AD304" s="280">
        <v>103</v>
      </c>
      <c r="AE304" s="280">
        <v>106</v>
      </c>
      <c r="AF304" s="280">
        <v>108</v>
      </c>
      <c r="AG304" s="280">
        <v>110</v>
      </c>
      <c r="AH304" s="280">
        <v>114</v>
      </c>
    </row>
    <row r="305" spans="1:34" s="1" customFormat="1" ht="13" x14ac:dyDescent="0.25">
      <c r="A305" s="280" t="s">
        <v>847</v>
      </c>
      <c r="B305" s="286">
        <v>442</v>
      </c>
      <c r="C305" s="286">
        <v>727.875</v>
      </c>
      <c r="D305" s="286">
        <v>1013.7500000000001</v>
      </c>
      <c r="E305" s="286">
        <v>1</v>
      </c>
      <c r="F305" s="281">
        <v>0</v>
      </c>
      <c r="G305" s="282">
        <v>80.489678562500004</v>
      </c>
      <c r="H305" s="282">
        <v>83.156849218749997</v>
      </c>
      <c r="I305" s="282">
        <v>83.741310412499999</v>
      </c>
      <c r="J305" s="282">
        <v>85.154373223333323</v>
      </c>
      <c r="K305" s="282">
        <v>82.131856441944436</v>
      </c>
      <c r="L305" s="282">
        <v>80.807671171527772</v>
      </c>
      <c r="M305" s="282">
        <v>81.331473149444435</v>
      </c>
      <c r="N305" s="282">
        <v>81.773289198611096</v>
      </c>
      <c r="O305" s="282">
        <v>81.767049516666646</v>
      </c>
      <c r="P305" s="282">
        <v>79.914984213333327</v>
      </c>
      <c r="Q305" s="282">
        <v>77.734251974791647</v>
      </c>
      <c r="R305" s="283">
        <v>75.258620029166664</v>
      </c>
      <c r="S305" s="284">
        <v>892.77172855006927</v>
      </c>
      <c r="T305" s="284">
        <v>496.32353361749995</v>
      </c>
      <c r="U305" s="296">
        <f t="shared" si="8"/>
        <v>-25.017271449930945</v>
      </c>
      <c r="V305" s="296">
        <f t="shared" si="9"/>
        <v>-3.4704663825000353</v>
      </c>
      <c r="W305" s="287">
        <v>87</v>
      </c>
      <c r="X305" s="280">
        <v>85</v>
      </c>
      <c r="Y305" s="280">
        <v>83</v>
      </c>
      <c r="Z305" s="280">
        <v>80</v>
      </c>
      <c r="AA305" s="280">
        <v>76</v>
      </c>
      <c r="AB305" s="280">
        <v>74</v>
      </c>
      <c r="AC305" s="280">
        <v>73</v>
      </c>
      <c r="AD305" s="280">
        <v>73</v>
      </c>
      <c r="AE305" s="280">
        <v>71</v>
      </c>
      <c r="AF305" s="280">
        <v>68</v>
      </c>
      <c r="AG305" s="280">
        <v>65</v>
      </c>
      <c r="AH305" s="280">
        <v>64</v>
      </c>
    </row>
    <row r="306" spans="1:34" s="1" customFormat="1" ht="13" x14ac:dyDescent="0.25">
      <c r="A306" s="280" t="s">
        <v>848</v>
      </c>
      <c r="B306" s="286">
        <v>442</v>
      </c>
      <c r="C306" s="286">
        <v>727.875</v>
      </c>
      <c r="D306" s="286">
        <v>1013.7500000000001</v>
      </c>
      <c r="E306" s="286">
        <v>1</v>
      </c>
      <c r="F306" s="281">
        <v>1</v>
      </c>
      <c r="G306" s="282">
        <v>80.489678562500004</v>
      </c>
      <c r="H306" s="282">
        <v>83.156849218749997</v>
      </c>
      <c r="I306" s="282">
        <v>84.186310412499992</v>
      </c>
      <c r="J306" s="282">
        <v>86.044373223333324</v>
      </c>
      <c r="K306" s="282">
        <v>83.466856441944444</v>
      </c>
      <c r="L306" s="282">
        <v>82.655046171527772</v>
      </c>
      <c r="M306" s="282">
        <v>83.69122314944444</v>
      </c>
      <c r="N306" s="282">
        <v>84.645414198611107</v>
      </c>
      <c r="O306" s="282">
        <v>85.204080766666664</v>
      </c>
      <c r="P306" s="282">
        <v>83.916921713333338</v>
      </c>
      <c r="Q306" s="282">
        <v>82.301095724791665</v>
      </c>
      <c r="R306" s="283">
        <v>80.390370029166661</v>
      </c>
      <c r="S306" s="284">
        <v>919.6585410500694</v>
      </c>
      <c r="T306" s="284">
        <v>503.20065861749998</v>
      </c>
      <c r="U306" s="296">
        <f t="shared" si="8"/>
        <v>1.8695410500691878</v>
      </c>
      <c r="V306" s="296">
        <f t="shared" si="9"/>
        <v>3.4066586174999998</v>
      </c>
      <c r="W306" s="287">
        <v>87</v>
      </c>
      <c r="X306" s="280">
        <v>85</v>
      </c>
      <c r="Y306" s="280">
        <v>84</v>
      </c>
      <c r="Z306" s="280">
        <v>82</v>
      </c>
      <c r="AA306" s="280">
        <v>79</v>
      </c>
      <c r="AB306" s="280">
        <v>78</v>
      </c>
      <c r="AC306" s="280">
        <v>78</v>
      </c>
      <c r="AD306" s="280">
        <v>79</v>
      </c>
      <c r="AE306" s="280">
        <v>78</v>
      </c>
      <c r="AF306" s="280">
        <v>76</v>
      </c>
      <c r="AG306" s="280">
        <v>74</v>
      </c>
      <c r="AH306" s="280">
        <v>74</v>
      </c>
    </row>
    <row r="307" spans="1:34" s="1" customFormat="1" ht="13" x14ac:dyDescent="0.25">
      <c r="A307" s="280" t="s">
        <v>849</v>
      </c>
      <c r="B307" s="286">
        <v>442</v>
      </c>
      <c r="C307" s="286">
        <v>727.875</v>
      </c>
      <c r="D307" s="286">
        <v>1013.7500000000001</v>
      </c>
      <c r="E307" s="286">
        <v>1</v>
      </c>
      <c r="F307" s="281">
        <v>2</v>
      </c>
      <c r="G307" s="282">
        <v>80.489678562500004</v>
      </c>
      <c r="H307" s="282">
        <v>83.156849218749997</v>
      </c>
      <c r="I307" s="282">
        <v>84.6313104125</v>
      </c>
      <c r="J307" s="282">
        <v>86.934373223333324</v>
      </c>
      <c r="K307" s="282">
        <v>84.801856441944452</v>
      </c>
      <c r="L307" s="282">
        <v>84.502421171527772</v>
      </c>
      <c r="M307" s="282">
        <v>86.050973149444445</v>
      </c>
      <c r="N307" s="282">
        <v>87.517539198611118</v>
      </c>
      <c r="O307" s="282">
        <v>88.641112016666654</v>
      </c>
      <c r="P307" s="282">
        <v>87.918859213333334</v>
      </c>
      <c r="Q307" s="282">
        <v>86.867939474791669</v>
      </c>
      <c r="R307" s="283">
        <v>85.522120029166658</v>
      </c>
      <c r="S307" s="284">
        <v>946.54535355006942</v>
      </c>
      <c r="T307" s="284">
        <v>510.07778361750002</v>
      </c>
      <c r="U307" s="296">
        <f t="shared" si="8"/>
        <v>28.756353550069207</v>
      </c>
      <c r="V307" s="296">
        <f t="shared" si="9"/>
        <v>10.283783617500035</v>
      </c>
      <c r="W307" s="287">
        <v>87</v>
      </c>
      <c r="X307" s="280">
        <v>85</v>
      </c>
      <c r="Y307" s="280">
        <v>85</v>
      </c>
      <c r="Z307" s="280">
        <v>84</v>
      </c>
      <c r="AA307" s="280">
        <v>82</v>
      </c>
      <c r="AB307" s="280">
        <v>82</v>
      </c>
      <c r="AC307" s="280">
        <v>83</v>
      </c>
      <c r="AD307" s="280">
        <v>85</v>
      </c>
      <c r="AE307" s="280">
        <v>85</v>
      </c>
      <c r="AF307" s="280">
        <v>84</v>
      </c>
      <c r="AG307" s="280">
        <v>83</v>
      </c>
      <c r="AH307" s="280">
        <v>84</v>
      </c>
    </row>
    <row r="308" spans="1:34" s="1" customFormat="1" ht="13" x14ac:dyDescent="0.25">
      <c r="A308" s="280" t="s">
        <v>850</v>
      </c>
      <c r="B308" s="286">
        <v>442</v>
      </c>
      <c r="C308" s="286">
        <v>727.875</v>
      </c>
      <c r="D308" s="286">
        <v>1013.7500000000001</v>
      </c>
      <c r="E308" s="286">
        <v>1</v>
      </c>
      <c r="F308" s="281">
        <v>3</v>
      </c>
      <c r="G308" s="282">
        <v>80.489678562500004</v>
      </c>
      <c r="H308" s="282">
        <v>83.156849218749997</v>
      </c>
      <c r="I308" s="282">
        <v>85.076310412499993</v>
      </c>
      <c r="J308" s="282">
        <v>87.824373223333325</v>
      </c>
      <c r="K308" s="282">
        <v>86.136856441944445</v>
      </c>
      <c r="L308" s="282">
        <v>86.349796171527771</v>
      </c>
      <c r="M308" s="282">
        <v>88.410723149444436</v>
      </c>
      <c r="N308" s="282">
        <v>90.389664198611101</v>
      </c>
      <c r="O308" s="282">
        <v>92.078143266666657</v>
      </c>
      <c r="P308" s="282">
        <v>91.920796713333331</v>
      </c>
      <c r="Q308" s="282">
        <v>91.434783224791659</v>
      </c>
      <c r="R308" s="283">
        <v>90.653870029166654</v>
      </c>
      <c r="S308" s="284">
        <v>973.43216605006933</v>
      </c>
      <c r="T308" s="284">
        <v>516.9549086175</v>
      </c>
      <c r="U308" s="296">
        <f t="shared" si="8"/>
        <v>55.643166050069112</v>
      </c>
      <c r="V308" s="296">
        <f t="shared" si="9"/>
        <v>17.160908617500013</v>
      </c>
      <c r="W308" s="287">
        <v>87</v>
      </c>
      <c r="X308" s="280">
        <v>85</v>
      </c>
      <c r="Y308" s="280">
        <v>86</v>
      </c>
      <c r="Z308" s="280">
        <v>86</v>
      </c>
      <c r="AA308" s="280">
        <v>85</v>
      </c>
      <c r="AB308" s="280">
        <v>86</v>
      </c>
      <c r="AC308" s="280">
        <v>88</v>
      </c>
      <c r="AD308" s="280">
        <v>91</v>
      </c>
      <c r="AE308" s="280">
        <v>92</v>
      </c>
      <c r="AF308" s="280">
        <v>92</v>
      </c>
      <c r="AG308" s="280">
        <v>92</v>
      </c>
      <c r="AH308" s="280">
        <v>94</v>
      </c>
    </row>
    <row r="309" spans="1:34" s="1" customFormat="1" ht="13" x14ac:dyDescent="0.25">
      <c r="A309" s="280" t="s">
        <v>851</v>
      </c>
      <c r="B309" s="286">
        <v>442</v>
      </c>
      <c r="C309" s="286">
        <v>727.875</v>
      </c>
      <c r="D309" s="286">
        <v>1013.7500000000001</v>
      </c>
      <c r="E309" s="286">
        <v>1</v>
      </c>
      <c r="F309" s="281">
        <v>4</v>
      </c>
      <c r="G309" s="282">
        <v>80.489678562500004</v>
      </c>
      <c r="H309" s="282">
        <v>83.156849218749997</v>
      </c>
      <c r="I309" s="282">
        <v>85.5213104125</v>
      </c>
      <c r="J309" s="282">
        <v>88.714373223333325</v>
      </c>
      <c r="K309" s="282">
        <v>87.471856441944439</v>
      </c>
      <c r="L309" s="282">
        <v>88.197171171527771</v>
      </c>
      <c r="M309" s="282">
        <v>90.770473149444442</v>
      </c>
      <c r="N309" s="282">
        <v>93.261789198611098</v>
      </c>
      <c r="O309" s="282">
        <v>95.515174516666661</v>
      </c>
      <c r="P309" s="282">
        <v>95.922734213333328</v>
      </c>
      <c r="Q309" s="282">
        <v>96.001626974791662</v>
      </c>
      <c r="R309" s="283">
        <v>95.785620029166665</v>
      </c>
      <c r="S309" s="284">
        <v>1000.3189785500693</v>
      </c>
      <c r="T309" s="284">
        <v>523.83203361749997</v>
      </c>
      <c r="U309" s="296">
        <f t="shared" si="8"/>
        <v>82.529978550069131</v>
      </c>
      <c r="V309" s="296">
        <f t="shared" si="9"/>
        <v>24.038033617499991</v>
      </c>
      <c r="W309" s="287">
        <v>87</v>
      </c>
      <c r="X309" s="280">
        <v>85</v>
      </c>
      <c r="Y309" s="280">
        <v>87</v>
      </c>
      <c r="Z309" s="280">
        <v>88</v>
      </c>
      <c r="AA309" s="280">
        <v>88</v>
      </c>
      <c r="AB309" s="280">
        <v>90</v>
      </c>
      <c r="AC309" s="280">
        <v>93</v>
      </c>
      <c r="AD309" s="280">
        <v>97</v>
      </c>
      <c r="AE309" s="280">
        <v>99</v>
      </c>
      <c r="AF309" s="280">
        <v>100</v>
      </c>
      <c r="AG309" s="280">
        <v>101</v>
      </c>
      <c r="AH309" s="280">
        <v>104</v>
      </c>
    </row>
    <row r="310" spans="1:34" s="1" customFormat="1" ht="13" x14ac:dyDescent="0.25">
      <c r="A310" s="280" t="s">
        <v>852</v>
      </c>
      <c r="B310" s="286">
        <v>442</v>
      </c>
      <c r="C310" s="286">
        <v>727.875</v>
      </c>
      <c r="D310" s="286">
        <v>1013.7500000000001</v>
      </c>
      <c r="E310" s="286">
        <v>1</v>
      </c>
      <c r="F310" s="281">
        <v>5</v>
      </c>
      <c r="G310" s="282">
        <v>80.489678562500004</v>
      </c>
      <c r="H310" s="282">
        <v>83.156849218749997</v>
      </c>
      <c r="I310" s="282">
        <v>85.966310412499993</v>
      </c>
      <c r="J310" s="282">
        <v>89.604373223333326</v>
      </c>
      <c r="K310" s="282">
        <v>88.806856441944461</v>
      </c>
      <c r="L310" s="282">
        <v>90.04454617152777</v>
      </c>
      <c r="M310" s="282">
        <v>93.130223149444433</v>
      </c>
      <c r="N310" s="282">
        <v>96.133914198611095</v>
      </c>
      <c r="O310" s="282">
        <v>98.952205766666651</v>
      </c>
      <c r="P310" s="282">
        <v>99.924671713333339</v>
      </c>
      <c r="Q310" s="282">
        <v>100.56847072479167</v>
      </c>
      <c r="R310" s="283">
        <v>100.91737002916666</v>
      </c>
      <c r="S310" s="284">
        <v>1027.2057910500696</v>
      </c>
      <c r="T310" s="284">
        <v>530.70915861750007</v>
      </c>
      <c r="U310" s="296">
        <f t="shared" si="8"/>
        <v>109.41679105006938</v>
      </c>
      <c r="V310" s="296">
        <f t="shared" si="9"/>
        <v>30.915158617500083</v>
      </c>
      <c r="W310" s="287">
        <v>87</v>
      </c>
      <c r="X310" s="280">
        <v>85</v>
      </c>
      <c r="Y310" s="280">
        <v>88</v>
      </c>
      <c r="Z310" s="280">
        <v>90</v>
      </c>
      <c r="AA310" s="280">
        <v>91</v>
      </c>
      <c r="AB310" s="280">
        <v>94</v>
      </c>
      <c r="AC310" s="280">
        <v>98</v>
      </c>
      <c r="AD310" s="280">
        <v>103</v>
      </c>
      <c r="AE310" s="280">
        <v>106</v>
      </c>
      <c r="AF310" s="280">
        <v>108</v>
      </c>
      <c r="AG310" s="280">
        <v>110</v>
      </c>
      <c r="AH310" s="280">
        <v>114</v>
      </c>
    </row>
    <row r="311" spans="1:34" s="1" customFormat="1" ht="13" x14ac:dyDescent="0.25">
      <c r="A311" s="280" t="s">
        <v>853</v>
      </c>
      <c r="B311" s="286">
        <v>442</v>
      </c>
      <c r="C311" s="286">
        <v>727.875</v>
      </c>
      <c r="D311" s="286">
        <v>1013.7500000000001</v>
      </c>
      <c r="E311" s="286">
        <v>2</v>
      </c>
      <c r="F311" s="281">
        <v>0</v>
      </c>
      <c r="G311" s="282">
        <v>80.489678562500004</v>
      </c>
      <c r="H311" s="282">
        <v>81.824227968750009</v>
      </c>
      <c r="I311" s="282">
        <v>82.641247037499994</v>
      </c>
      <c r="J311" s="282">
        <v>83.961688473333325</v>
      </c>
      <c r="K311" s="282">
        <v>81.222665441944443</v>
      </c>
      <c r="L311" s="282">
        <v>80.418921171527771</v>
      </c>
      <c r="M311" s="282">
        <v>80.899962732777766</v>
      </c>
      <c r="N311" s="282">
        <v>81.333914198611097</v>
      </c>
      <c r="O311" s="282">
        <v>81.154237016666642</v>
      </c>
      <c r="P311" s="282">
        <v>79.475609213333328</v>
      </c>
      <c r="Q311" s="282">
        <v>77.260189474791645</v>
      </c>
      <c r="R311" s="283">
        <v>74.692057529166661</v>
      </c>
      <c r="S311" s="284">
        <v>884.88472025840269</v>
      </c>
      <c r="T311" s="284">
        <v>490.96871282583334</v>
      </c>
      <c r="U311" s="296">
        <f t="shared" si="8"/>
        <v>-32.90427974159752</v>
      </c>
      <c r="V311" s="296">
        <f t="shared" si="9"/>
        <v>-8.8252871741666468</v>
      </c>
      <c r="W311" s="287">
        <v>87</v>
      </c>
      <c r="X311" s="280">
        <v>85</v>
      </c>
      <c r="Y311" s="280">
        <v>83</v>
      </c>
      <c r="Z311" s="280">
        <v>80</v>
      </c>
      <c r="AA311" s="280">
        <v>76</v>
      </c>
      <c r="AB311" s="280">
        <v>74</v>
      </c>
      <c r="AC311" s="280">
        <v>73</v>
      </c>
      <c r="AD311" s="280">
        <v>73</v>
      </c>
      <c r="AE311" s="280">
        <v>71</v>
      </c>
      <c r="AF311" s="280">
        <v>68</v>
      </c>
      <c r="AG311" s="280">
        <v>65</v>
      </c>
      <c r="AH311" s="280">
        <v>64</v>
      </c>
    </row>
    <row r="312" spans="1:34" s="1" customFormat="1" ht="13" x14ac:dyDescent="0.25">
      <c r="A312" s="280" t="s">
        <v>854</v>
      </c>
      <c r="B312" s="286">
        <v>442</v>
      </c>
      <c r="C312" s="286">
        <v>727.875</v>
      </c>
      <c r="D312" s="286">
        <v>1013.7500000000001</v>
      </c>
      <c r="E312" s="286">
        <v>2</v>
      </c>
      <c r="F312" s="281">
        <v>1</v>
      </c>
      <c r="G312" s="282">
        <v>80.489678562500004</v>
      </c>
      <c r="H312" s="282">
        <v>81.824227968750009</v>
      </c>
      <c r="I312" s="282">
        <v>83.086247037500002</v>
      </c>
      <c r="J312" s="282">
        <v>84.851688473333326</v>
      </c>
      <c r="K312" s="282">
        <v>82.557665441944437</v>
      </c>
      <c r="L312" s="282">
        <v>82.26629617152777</v>
      </c>
      <c r="M312" s="282">
        <v>83.259712732777786</v>
      </c>
      <c r="N312" s="282">
        <v>84.206039198611109</v>
      </c>
      <c r="O312" s="282">
        <v>84.59126826666666</v>
      </c>
      <c r="P312" s="282">
        <v>83.477546713333339</v>
      </c>
      <c r="Q312" s="282">
        <v>81.827033224791663</v>
      </c>
      <c r="R312" s="283">
        <v>79.823807529166658</v>
      </c>
      <c r="S312" s="284">
        <v>911.77153275840271</v>
      </c>
      <c r="T312" s="284">
        <v>497.84583782583331</v>
      </c>
      <c r="U312" s="296">
        <f t="shared" si="8"/>
        <v>-6.017467241597501</v>
      </c>
      <c r="V312" s="296">
        <f t="shared" si="9"/>
        <v>-1.9481621741666686</v>
      </c>
      <c r="W312" s="287">
        <v>87</v>
      </c>
      <c r="X312" s="280">
        <v>85</v>
      </c>
      <c r="Y312" s="280">
        <v>84</v>
      </c>
      <c r="Z312" s="280">
        <v>82</v>
      </c>
      <c r="AA312" s="280">
        <v>79</v>
      </c>
      <c r="AB312" s="280">
        <v>78</v>
      </c>
      <c r="AC312" s="280">
        <v>78</v>
      </c>
      <c r="AD312" s="280">
        <v>79</v>
      </c>
      <c r="AE312" s="280">
        <v>78</v>
      </c>
      <c r="AF312" s="280">
        <v>76</v>
      </c>
      <c r="AG312" s="280">
        <v>74</v>
      </c>
      <c r="AH312" s="280">
        <v>74</v>
      </c>
    </row>
    <row r="313" spans="1:34" s="1" customFormat="1" ht="13" x14ac:dyDescent="0.25">
      <c r="A313" s="280" t="s">
        <v>855</v>
      </c>
      <c r="B313" s="286">
        <v>442</v>
      </c>
      <c r="C313" s="286">
        <v>727.875</v>
      </c>
      <c r="D313" s="286">
        <v>1013.7500000000001</v>
      </c>
      <c r="E313" s="286">
        <v>2</v>
      </c>
      <c r="F313" s="281">
        <v>2</v>
      </c>
      <c r="G313" s="282">
        <v>80.489678562500004</v>
      </c>
      <c r="H313" s="282">
        <v>81.824227968750009</v>
      </c>
      <c r="I313" s="282">
        <v>83.531247037499995</v>
      </c>
      <c r="J313" s="282">
        <v>85.741688473333326</v>
      </c>
      <c r="K313" s="282">
        <v>83.892665441944459</v>
      </c>
      <c r="L313" s="282">
        <v>84.11367117152777</v>
      </c>
      <c r="M313" s="282">
        <v>85.619462732777777</v>
      </c>
      <c r="N313" s="282">
        <v>87.07816419861112</v>
      </c>
      <c r="O313" s="282">
        <v>88.028299516666664</v>
      </c>
      <c r="P313" s="282">
        <v>87.479484213333336</v>
      </c>
      <c r="Q313" s="282">
        <v>86.393876974791667</v>
      </c>
      <c r="R313" s="283">
        <v>84.955557529166654</v>
      </c>
      <c r="S313" s="284">
        <v>938.65834525840273</v>
      </c>
      <c r="T313" s="284">
        <v>504.72296282583335</v>
      </c>
      <c r="U313" s="296">
        <f t="shared" si="8"/>
        <v>20.869345258402518</v>
      </c>
      <c r="V313" s="296">
        <f t="shared" si="9"/>
        <v>4.9289628258333664</v>
      </c>
      <c r="W313" s="287">
        <v>87</v>
      </c>
      <c r="X313" s="280">
        <v>85</v>
      </c>
      <c r="Y313" s="280">
        <v>85</v>
      </c>
      <c r="Z313" s="280">
        <v>84</v>
      </c>
      <c r="AA313" s="280">
        <v>82</v>
      </c>
      <c r="AB313" s="280">
        <v>82</v>
      </c>
      <c r="AC313" s="280">
        <v>83</v>
      </c>
      <c r="AD313" s="280">
        <v>85</v>
      </c>
      <c r="AE313" s="280">
        <v>85</v>
      </c>
      <c r="AF313" s="280">
        <v>84</v>
      </c>
      <c r="AG313" s="280">
        <v>83</v>
      </c>
      <c r="AH313" s="280">
        <v>84</v>
      </c>
    </row>
    <row r="314" spans="1:34" s="1" customFormat="1" ht="13" x14ac:dyDescent="0.25">
      <c r="A314" s="280" t="s">
        <v>856</v>
      </c>
      <c r="B314" s="286">
        <v>442</v>
      </c>
      <c r="C314" s="286">
        <v>727.875</v>
      </c>
      <c r="D314" s="286">
        <v>1013.7500000000001</v>
      </c>
      <c r="E314" s="286">
        <v>2</v>
      </c>
      <c r="F314" s="281">
        <v>3</v>
      </c>
      <c r="G314" s="282">
        <v>80.489678562500004</v>
      </c>
      <c r="H314" s="282">
        <v>81.824227968750009</v>
      </c>
      <c r="I314" s="282">
        <v>83.976247037500002</v>
      </c>
      <c r="J314" s="282">
        <v>86.631688473333327</v>
      </c>
      <c r="K314" s="282">
        <v>85.227665441944453</v>
      </c>
      <c r="L314" s="282">
        <v>85.961046171527769</v>
      </c>
      <c r="M314" s="282">
        <v>87.979212732777782</v>
      </c>
      <c r="N314" s="282">
        <v>89.950289198611102</v>
      </c>
      <c r="O314" s="282">
        <v>91.465330766666654</v>
      </c>
      <c r="P314" s="282">
        <v>91.481421713333333</v>
      </c>
      <c r="Q314" s="282">
        <v>90.96072072479167</v>
      </c>
      <c r="R314" s="283">
        <v>90.087307529166665</v>
      </c>
      <c r="S314" s="284">
        <v>965.54515775840275</v>
      </c>
      <c r="T314" s="284">
        <v>511.60008782583333</v>
      </c>
      <c r="U314" s="296">
        <f t="shared" si="8"/>
        <v>47.756157758402537</v>
      </c>
      <c r="V314" s="296">
        <f t="shared" si="9"/>
        <v>11.806087825833345</v>
      </c>
      <c r="W314" s="287">
        <v>87</v>
      </c>
      <c r="X314" s="280">
        <v>85</v>
      </c>
      <c r="Y314" s="280">
        <v>86</v>
      </c>
      <c r="Z314" s="280">
        <v>86</v>
      </c>
      <c r="AA314" s="280">
        <v>85</v>
      </c>
      <c r="AB314" s="280">
        <v>86</v>
      </c>
      <c r="AC314" s="280">
        <v>88</v>
      </c>
      <c r="AD314" s="280">
        <v>91</v>
      </c>
      <c r="AE314" s="280">
        <v>92</v>
      </c>
      <c r="AF314" s="280">
        <v>92</v>
      </c>
      <c r="AG314" s="280">
        <v>92</v>
      </c>
      <c r="AH314" s="280">
        <v>94</v>
      </c>
    </row>
    <row r="315" spans="1:34" s="1" customFormat="1" ht="13" x14ac:dyDescent="0.25">
      <c r="A315" s="280" t="s">
        <v>857</v>
      </c>
      <c r="B315" s="286">
        <v>442</v>
      </c>
      <c r="C315" s="286">
        <v>727.875</v>
      </c>
      <c r="D315" s="286">
        <v>1013.7500000000001</v>
      </c>
      <c r="E315" s="286">
        <v>2</v>
      </c>
      <c r="F315" s="281">
        <v>4</v>
      </c>
      <c r="G315" s="282">
        <v>80.489678562500004</v>
      </c>
      <c r="H315" s="282">
        <v>81.824227968750009</v>
      </c>
      <c r="I315" s="282">
        <v>84.421247037499995</v>
      </c>
      <c r="J315" s="282">
        <v>87.521688473333327</v>
      </c>
      <c r="K315" s="282">
        <v>86.562665441944461</v>
      </c>
      <c r="L315" s="282">
        <v>87.808421171527769</v>
      </c>
      <c r="M315" s="282">
        <v>90.338962732777787</v>
      </c>
      <c r="N315" s="282">
        <v>92.822414198611099</v>
      </c>
      <c r="O315" s="282">
        <v>94.902362016666657</v>
      </c>
      <c r="P315" s="282">
        <v>95.48335921333333</v>
      </c>
      <c r="Q315" s="282">
        <v>95.52756447479166</v>
      </c>
      <c r="R315" s="283">
        <v>95.219057529166662</v>
      </c>
      <c r="S315" s="284">
        <v>992.43197025840277</v>
      </c>
      <c r="T315" s="284">
        <v>518.47721282583336</v>
      </c>
      <c r="U315" s="296">
        <f t="shared" si="8"/>
        <v>74.642970258402556</v>
      </c>
      <c r="V315" s="296">
        <f t="shared" si="9"/>
        <v>18.68321282583338</v>
      </c>
      <c r="W315" s="287">
        <v>87</v>
      </c>
      <c r="X315" s="280">
        <v>85</v>
      </c>
      <c r="Y315" s="280">
        <v>87</v>
      </c>
      <c r="Z315" s="280">
        <v>88</v>
      </c>
      <c r="AA315" s="280">
        <v>88</v>
      </c>
      <c r="AB315" s="280">
        <v>90</v>
      </c>
      <c r="AC315" s="280">
        <v>93</v>
      </c>
      <c r="AD315" s="280">
        <v>97</v>
      </c>
      <c r="AE315" s="280">
        <v>99</v>
      </c>
      <c r="AF315" s="280">
        <v>100</v>
      </c>
      <c r="AG315" s="280">
        <v>101</v>
      </c>
      <c r="AH315" s="280">
        <v>104</v>
      </c>
    </row>
    <row r="316" spans="1:34" s="1" customFormat="1" ht="13" x14ac:dyDescent="0.25">
      <c r="A316" s="280" t="s">
        <v>858</v>
      </c>
      <c r="B316" s="286">
        <v>442</v>
      </c>
      <c r="C316" s="286">
        <v>727.875</v>
      </c>
      <c r="D316" s="286">
        <v>1013.7500000000001</v>
      </c>
      <c r="E316" s="286">
        <v>2</v>
      </c>
      <c r="F316" s="281">
        <v>5</v>
      </c>
      <c r="G316" s="282">
        <v>80.489678562500004</v>
      </c>
      <c r="H316" s="282">
        <v>81.824227968750009</v>
      </c>
      <c r="I316" s="282">
        <v>84.866247037499988</v>
      </c>
      <c r="J316" s="282">
        <v>88.411688473333328</v>
      </c>
      <c r="K316" s="282">
        <v>87.897665441944454</v>
      </c>
      <c r="L316" s="282">
        <v>89.655796171527768</v>
      </c>
      <c r="M316" s="282">
        <v>92.698712732777778</v>
      </c>
      <c r="N316" s="282">
        <v>95.694539198611096</v>
      </c>
      <c r="O316" s="282">
        <v>98.339393266666661</v>
      </c>
      <c r="P316" s="282">
        <v>99.485296713333327</v>
      </c>
      <c r="Q316" s="282">
        <v>100.09440822479166</v>
      </c>
      <c r="R316" s="283">
        <v>100.35080752916666</v>
      </c>
      <c r="S316" s="284">
        <v>1019.3187827584027</v>
      </c>
      <c r="T316" s="284">
        <v>525.35433782583323</v>
      </c>
      <c r="U316" s="296">
        <f t="shared" si="8"/>
        <v>101.52978275840246</v>
      </c>
      <c r="V316" s="296">
        <f t="shared" si="9"/>
        <v>25.560337825833244</v>
      </c>
      <c r="W316" s="287">
        <v>87</v>
      </c>
      <c r="X316" s="280">
        <v>85</v>
      </c>
      <c r="Y316" s="280">
        <v>88</v>
      </c>
      <c r="Z316" s="280">
        <v>90</v>
      </c>
      <c r="AA316" s="280">
        <v>91</v>
      </c>
      <c r="AB316" s="280">
        <v>94</v>
      </c>
      <c r="AC316" s="280">
        <v>98</v>
      </c>
      <c r="AD316" s="280">
        <v>103</v>
      </c>
      <c r="AE316" s="280">
        <v>106</v>
      </c>
      <c r="AF316" s="280">
        <v>108</v>
      </c>
      <c r="AG316" s="280">
        <v>110</v>
      </c>
      <c r="AH316" s="280">
        <v>114</v>
      </c>
    </row>
    <row r="317" spans="1:34" s="1" customFormat="1" ht="13" x14ac:dyDescent="0.25">
      <c r="A317" s="280" t="s">
        <v>859</v>
      </c>
      <c r="B317" s="286">
        <v>442</v>
      </c>
      <c r="C317" s="286">
        <v>727.875</v>
      </c>
      <c r="D317" s="286">
        <v>1013.7500000000001</v>
      </c>
      <c r="E317" s="286">
        <v>3</v>
      </c>
      <c r="F317" s="281">
        <v>0</v>
      </c>
      <c r="G317" s="282">
        <v>80.489678562500004</v>
      </c>
      <c r="H317" s="282">
        <v>81.282385060416672</v>
      </c>
      <c r="I317" s="282">
        <v>81.791267245833325</v>
      </c>
      <c r="J317" s="282">
        <v>83.296760140000004</v>
      </c>
      <c r="K317" s="282">
        <v>80.478811275277764</v>
      </c>
      <c r="L317" s="282">
        <v>79.894754504861098</v>
      </c>
      <c r="M317" s="282">
        <v>80.474077316111092</v>
      </c>
      <c r="N317" s="282">
        <v>80.925372531944433</v>
      </c>
      <c r="O317" s="282">
        <v>80.657049516666646</v>
      </c>
      <c r="P317" s="282">
        <v>78.920609213333336</v>
      </c>
      <c r="Q317" s="282">
        <v>76.80925197479165</v>
      </c>
      <c r="R317" s="283">
        <v>74.187161695833311</v>
      </c>
      <c r="S317" s="284">
        <v>878.71750047506941</v>
      </c>
      <c r="T317" s="284">
        <v>487.2180555425</v>
      </c>
      <c r="U317" s="296">
        <f t="shared" si="8"/>
        <v>-39.0714995249308</v>
      </c>
      <c r="V317" s="296">
        <f t="shared" si="9"/>
        <v>-12.575944457499986</v>
      </c>
      <c r="W317" s="287">
        <v>87</v>
      </c>
      <c r="X317" s="280">
        <v>85</v>
      </c>
      <c r="Y317" s="280">
        <v>83</v>
      </c>
      <c r="Z317" s="280">
        <v>80</v>
      </c>
      <c r="AA317" s="280">
        <v>76</v>
      </c>
      <c r="AB317" s="280">
        <v>74</v>
      </c>
      <c r="AC317" s="280">
        <v>73</v>
      </c>
      <c r="AD317" s="280">
        <v>73</v>
      </c>
      <c r="AE317" s="280">
        <v>71</v>
      </c>
      <c r="AF317" s="280">
        <v>68</v>
      </c>
      <c r="AG317" s="280">
        <v>65</v>
      </c>
      <c r="AH317" s="280">
        <v>64</v>
      </c>
    </row>
    <row r="318" spans="1:34" s="1" customFormat="1" ht="13" x14ac:dyDescent="0.25">
      <c r="A318" s="280" t="s">
        <v>860</v>
      </c>
      <c r="B318" s="286">
        <v>442</v>
      </c>
      <c r="C318" s="286">
        <v>727.875</v>
      </c>
      <c r="D318" s="286">
        <v>1013.7500000000001</v>
      </c>
      <c r="E318" s="286">
        <v>3</v>
      </c>
      <c r="F318" s="281">
        <v>1</v>
      </c>
      <c r="G318" s="282">
        <v>80.489678562500004</v>
      </c>
      <c r="H318" s="282">
        <v>81.282385060416672</v>
      </c>
      <c r="I318" s="282">
        <v>82.236267245833332</v>
      </c>
      <c r="J318" s="282">
        <v>84.186760140000004</v>
      </c>
      <c r="K318" s="282">
        <v>81.813811275277772</v>
      </c>
      <c r="L318" s="282">
        <v>81.742129504861097</v>
      </c>
      <c r="M318" s="282">
        <v>82.833827316111098</v>
      </c>
      <c r="N318" s="282">
        <v>83.797497531944444</v>
      </c>
      <c r="O318" s="282">
        <v>84.09408076666665</v>
      </c>
      <c r="P318" s="282">
        <v>82.922546713333332</v>
      </c>
      <c r="Q318" s="282">
        <v>81.376095724791668</v>
      </c>
      <c r="R318" s="283">
        <v>79.318911695833322</v>
      </c>
      <c r="S318" s="284">
        <v>905.60431297506943</v>
      </c>
      <c r="T318" s="284">
        <v>494.09518054249997</v>
      </c>
      <c r="U318" s="296">
        <f t="shared" si="8"/>
        <v>-12.184687024930781</v>
      </c>
      <c r="V318" s="296">
        <f t="shared" si="9"/>
        <v>-5.698819457500008</v>
      </c>
      <c r="W318" s="287">
        <v>87</v>
      </c>
      <c r="X318" s="280">
        <v>85</v>
      </c>
      <c r="Y318" s="280">
        <v>84</v>
      </c>
      <c r="Z318" s="280">
        <v>82</v>
      </c>
      <c r="AA318" s="280">
        <v>79</v>
      </c>
      <c r="AB318" s="280">
        <v>78</v>
      </c>
      <c r="AC318" s="280">
        <v>78</v>
      </c>
      <c r="AD318" s="280">
        <v>79</v>
      </c>
      <c r="AE318" s="280">
        <v>78</v>
      </c>
      <c r="AF318" s="280">
        <v>76</v>
      </c>
      <c r="AG318" s="280">
        <v>74</v>
      </c>
      <c r="AH318" s="280">
        <v>74</v>
      </c>
    </row>
    <row r="319" spans="1:34" s="1" customFormat="1" ht="13" x14ac:dyDescent="0.25">
      <c r="A319" s="280" t="s">
        <v>861</v>
      </c>
      <c r="B319" s="286">
        <v>442</v>
      </c>
      <c r="C319" s="286">
        <v>727.875</v>
      </c>
      <c r="D319" s="286">
        <v>1013.7500000000001</v>
      </c>
      <c r="E319" s="286">
        <v>3</v>
      </c>
      <c r="F319" s="281">
        <v>2</v>
      </c>
      <c r="G319" s="282">
        <v>80.489678562500004</v>
      </c>
      <c r="H319" s="282">
        <v>81.282385060416672</v>
      </c>
      <c r="I319" s="282">
        <v>82.68126724583334</v>
      </c>
      <c r="J319" s="282">
        <v>85.076760140000005</v>
      </c>
      <c r="K319" s="282">
        <v>83.148811275277779</v>
      </c>
      <c r="L319" s="282">
        <v>83.589504504861111</v>
      </c>
      <c r="M319" s="282">
        <v>85.193577316111117</v>
      </c>
      <c r="N319" s="282">
        <v>86.669622531944441</v>
      </c>
      <c r="O319" s="282">
        <v>87.531112016666654</v>
      </c>
      <c r="P319" s="282">
        <v>86.924484213333329</v>
      </c>
      <c r="Q319" s="282">
        <v>85.942939474791658</v>
      </c>
      <c r="R319" s="283">
        <v>84.450661695833318</v>
      </c>
      <c r="S319" s="284">
        <v>932.49112547506945</v>
      </c>
      <c r="T319" s="284">
        <v>500.97230554250007</v>
      </c>
      <c r="U319" s="296">
        <f t="shared" si="8"/>
        <v>14.702125475069238</v>
      </c>
      <c r="V319" s="296">
        <f t="shared" si="9"/>
        <v>1.1783055425000839</v>
      </c>
      <c r="W319" s="287">
        <v>87</v>
      </c>
      <c r="X319" s="280">
        <v>85</v>
      </c>
      <c r="Y319" s="280">
        <v>85</v>
      </c>
      <c r="Z319" s="280">
        <v>84</v>
      </c>
      <c r="AA319" s="280">
        <v>82</v>
      </c>
      <c r="AB319" s="280">
        <v>82</v>
      </c>
      <c r="AC319" s="280">
        <v>83</v>
      </c>
      <c r="AD319" s="280">
        <v>85</v>
      </c>
      <c r="AE319" s="280">
        <v>85</v>
      </c>
      <c r="AF319" s="280">
        <v>84</v>
      </c>
      <c r="AG319" s="280">
        <v>83</v>
      </c>
      <c r="AH319" s="280">
        <v>84</v>
      </c>
    </row>
    <row r="320" spans="1:34" s="1" customFormat="1" ht="13" x14ac:dyDescent="0.25">
      <c r="A320" s="280" t="s">
        <v>862</v>
      </c>
      <c r="B320" s="286">
        <v>442</v>
      </c>
      <c r="C320" s="286">
        <v>727.875</v>
      </c>
      <c r="D320" s="286">
        <v>1013.7500000000001</v>
      </c>
      <c r="E320" s="286">
        <v>3</v>
      </c>
      <c r="F320" s="281">
        <v>3</v>
      </c>
      <c r="G320" s="282">
        <v>80.489678562500004</v>
      </c>
      <c r="H320" s="282">
        <v>81.282385060416672</v>
      </c>
      <c r="I320" s="282">
        <v>83.126267245833333</v>
      </c>
      <c r="J320" s="282">
        <v>85.966760140000005</v>
      </c>
      <c r="K320" s="282">
        <v>84.483811275277787</v>
      </c>
      <c r="L320" s="282">
        <v>85.436879504861096</v>
      </c>
      <c r="M320" s="282">
        <v>87.553327316111108</v>
      </c>
      <c r="N320" s="282">
        <v>89.541747531944438</v>
      </c>
      <c r="O320" s="282">
        <v>90.968143266666658</v>
      </c>
      <c r="P320" s="282">
        <v>90.926421713333326</v>
      </c>
      <c r="Q320" s="282">
        <v>90.509783224791661</v>
      </c>
      <c r="R320" s="283">
        <v>89.582411695833315</v>
      </c>
      <c r="S320" s="284">
        <v>959.37793797506947</v>
      </c>
      <c r="T320" s="284">
        <v>507.84943054250004</v>
      </c>
      <c r="U320" s="296">
        <f t="shared" si="8"/>
        <v>41.588937975069257</v>
      </c>
      <c r="V320" s="296">
        <f t="shared" si="9"/>
        <v>8.0554305425000621</v>
      </c>
      <c r="W320" s="287">
        <v>87</v>
      </c>
      <c r="X320" s="280">
        <v>85</v>
      </c>
      <c r="Y320" s="280">
        <v>86</v>
      </c>
      <c r="Z320" s="280">
        <v>86</v>
      </c>
      <c r="AA320" s="280">
        <v>85</v>
      </c>
      <c r="AB320" s="280">
        <v>86</v>
      </c>
      <c r="AC320" s="280">
        <v>88</v>
      </c>
      <c r="AD320" s="280">
        <v>91</v>
      </c>
      <c r="AE320" s="280">
        <v>92</v>
      </c>
      <c r="AF320" s="280">
        <v>92</v>
      </c>
      <c r="AG320" s="280">
        <v>92</v>
      </c>
      <c r="AH320" s="280">
        <v>94</v>
      </c>
    </row>
    <row r="321" spans="1:34" s="1" customFormat="1" ht="13" x14ac:dyDescent="0.25">
      <c r="A321" s="280" t="s">
        <v>863</v>
      </c>
      <c r="B321" s="286">
        <v>442</v>
      </c>
      <c r="C321" s="286">
        <v>727.875</v>
      </c>
      <c r="D321" s="286">
        <v>1013.7500000000001</v>
      </c>
      <c r="E321" s="286">
        <v>3</v>
      </c>
      <c r="F321" s="281">
        <v>4</v>
      </c>
      <c r="G321" s="282">
        <v>80.489678562500004</v>
      </c>
      <c r="H321" s="282">
        <v>81.282385060416672</v>
      </c>
      <c r="I321" s="282">
        <v>83.57126724583334</v>
      </c>
      <c r="J321" s="282">
        <v>86.856760139999992</v>
      </c>
      <c r="K321" s="282">
        <v>85.818811275277781</v>
      </c>
      <c r="L321" s="282">
        <v>87.284254504861096</v>
      </c>
      <c r="M321" s="282">
        <v>89.913077316111128</v>
      </c>
      <c r="N321" s="282">
        <v>92.413872531944449</v>
      </c>
      <c r="O321" s="282">
        <v>94.405174516666662</v>
      </c>
      <c r="P321" s="282">
        <v>94.928359213333337</v>
      </c>
      <c r="Q321" s="282">
        <v>95.076626974791665</v>
      </c>
      <c r="R321" s="283">
        <v>94.714161695833312</v>
      </c>
      <c r="S321" s="284">
        <v>986.26475047506949</v>
      </c>
      <c r="T321" s="284">
        <v>514.72655554250002</v>
      </c>
      <c r="U321" s="296">
        <f t="shared" si="8"/>
        <v>68.475750475069276</v>
      </c>
      <c r="V321" s="296">
        <f t="shared" si="9"/>
        <v>14.93255554250004</v>
      </c>
      <c r="W321" s="287">
        <v>87</v>
      </c>
      <c r="X321" s="280">
        <v>85</v>
      </c>
      <c r="Y321" s="280">
        <v>87</v>
      </c>
      <c r="Z321" s="280">
        <v>88</v>
      </c>
      <c r="AA321" s="280">
        <v>88</v>
      </c>
      <c r="AB321" s="280">
        <v>90</v>
      </c>
      <c r="AC321" s="280">
        <v>93</v>
      </c>
      <c r="AD321" s="280">
        <v>97</v>
      </c>
      <c r="AE321" s="280">
        <v>99</v>
      </c>
      <c r="AF321" s="280">
        <v>100</v>
      </c>
      <c r="AG321" s="280">
        <v>101</v>
      </c>
      <c r="AH321" s="280">
        <v>104</v>
      </c>
    </row>
    <row r="322" spans="1:34" s="1" customFormat="1" ht="13" x14ac:dyDescent="0.25">
      <c r="A322" s="280" t="s">
        <v>864</v>
      </c>
      <c r="B322" s="286">
        <v>442</v>
      </c>
      <c r="C322" s="286">
        <v>727.875</v>
      </c>
      <c r="D322" s="286">
        <v>1013.7500000000001</v>
      </c>
      <c r="E322" s="286">
        <v>3</v>
      </c>
      <c r="F322" s="281">
        <v>5</v>
      </c>
      <c r="G322" s="282">
        <v>80.489678562500004</v>
      </c>
      <c r="H322" s="282">
        <v>81.282385060416672</v>
      </c>
      <c r="I322" s="282">
        <v>84.016267245833333</v>
      </c>
      <c r="J322" s="282">
        <v>87.746760139999992</v>
      </c>
      <c r="K322" s="282">
        <v>87.153811275277789</v>
      </c>
      <c r="L322" s="282">
        <v>89.131629504861095</v>
      </c>
      <c r="M322" s="282">
        <v>92.272827316111119</v>
      </c>
      <c r="N322" s="282">
        <v>95.285997531944446</v>
      </c>
      <c r="O322" s="282">
        <v>97.842205766666652</v>
      </c>
      <c r="P322" s="282">
        <v>98.930296713333334</v>
      </c>
      <c r="Q322" s="282">
        <v>99.643470724791669</v>
      </c>
      <c r="R322" s="283">
        <v>99.845911695833323</v>
      </c>
      <c r="S322" s="284">
        <v>1013.1515629750694</v>
      </c>
      <c r="T322" s="284">
        <v>521.6036805425</v>
      </c>
      <c r="U322" s="296">
        <f t="shared" si="8"/>
        <v>95.362562975069181</v>
      </c>
      <c r="V322" s="296">
        <f t="shared" si="9"/>
        <v>21.809680542500018</v>
      </c>
      <c r="W322" s="287">
        <v>87</v>
      </c>
      <c r="X322" s="280">
        <v>85</v>
      </c>
      <c r="Y322" s="280">
        <v>88</v>
      </c>
      <c r="Z322" s="280">
        <v>90</v>
      </c>
      <c r="AA322" s="280">
        <v>91</v>
      </c>
      <c r="AB322" s="280">
        <v>94</v>
      </c>
      <c r="AC322" s="280">
        <v>98</v>
      </c>
      <c r="AD322" s="280">
        <v>103</v>
      </c>
      <c r="AE322" s="280">
        <v>106</v>
      </c>
      <c r="AF322" s="280">
        <v>108</v>
      </c>
      <c r="AG322" s="280">
        <v>110</v>
      </c>
      <c r="AH322" s="280">
        <v>114</v>
      </c>
    </row>
    <row r="323" spans="1:34" s="1" customFormat="1" ht="13" x14ac:dyDescent="0.25">
      <c r="A323" s="280" t="s">
        <v>865</v>
      </c>
      <c r="B323" s="286">
        <v>442</v>
      </c>
      <c r="C323" s="286">
        <v>727.875</v>
      </c>
      <c r="D323" s="286">
        <v>1013.7500000000001</v>
      </c>
      <c r="E323" s="286">
        <v>4</v>
      </c>
      <c r="F323" s="281">
        <v>0</v>
      </c>
      <c r="G323" s="282">
        <v>80.489678562500004</v>
      </c>
      <c r="H323" s="282">
        <v>80.993288643749992</v>
      </c>
      <c r="I323" s="282">
        <v>81.290513224999998</v>
      </c>
      <c r="J323" s="282">
        <v>82.648389973333323</v>
      </c>
      <c r="K323" s="282">
        <v>79.875323191944432</v>
      </c>
      <c r="L323" s="282">
        <v>79.320771838194432</v>
      </c>
      <c r="M323" s="282">
        <v>80.006759607777767</v>
      </c>
      <c r="N323" s="282">
        <v>80.547664198611102</v>
      </c>
      <c r="O323" s="282">
        <v>80.21189326666665</v>
      </c>
      <c r="P323" s="282">
        <v>78.423421713333326</v>
      </c>
      <c r="Q323" s="282">
        <v>76.27737697479165</v>
      </c>
      <c r="R323" s="283">
        <v>73.715026279166665</v>
      </c>
      <c r="S323" s="284">
        <v>873.31042891256936</v>
      </c>
      <c r="T323" s="284">
        <v>484.13504648000003</v>
      </c>
      <c r="U323" s="296">
        <f t="shared" si="8"/>
        <v>-44.478571087430851</v>
      </c>
      <c r="V323" s="296">
        <f t="shared" si="9"/>
        <v>-15.658953519999955</v>
      </c>
      <c r="W323" s="287">
        <v>87</v>
      </c>
      <c r="X323" s="280">
        <v>85</v>
      </c>
      <c r="Y323" s="280">
        <v>83</v>
      </c>
      <c r="Z323" s="280">
        <v>80</v>
      </c>
      <c r="AA323" s="280">
        <v>76</v>
      </c>
      <c r="AB323" s="280">
        <v>74</v>
      </c>
      <c r="AC323" s="280">
        <v>73</v>
      </c>
      <c r="AD323" s="280">
        <v>73</v>
      </c>
      <c r="AE323" s="280">
        <v>71</v>
      </c>
      <c r="AF323" s="280">
        <v>68</v>
      </c>
      <c r="AG323" s="280">
        <v>65</v>
      </c>
      <c r="AH323" s="280">
        <v>64</v>
      </c>
    </row>
    <row r="324" spans="1:34" s="1" customFormat="1" ht="13" x14ac:dyDescent="0.25">
      <c r="A324" s="280" t="s">
        <v>866</v>
      </c>
      <c r="B324" s="286">
        <v>442</v>
      </c>
      <c r="C324" s="286">
        <v>727.875</v>
      </c>
      <c r="D324" s="286">
        <v>1013.7500000000001</v>
      </c>
      <c r="E324" s="286">
        <v>4</v>
      </c>
      <c r="F324" s="281">
        <v>1</v>
      </c>
      <c r="G324" s="282">
        <v>80.489678562500004</v>
      </c>
      <c r="H324" s="282">
        <v>80.993288643749992</v>
      </c>
      <c r="I324" s="282">
        <v>81.735513225000005</v>
      </c>
      <c r="J324" s="282">
        <v>83.538389973333324</v>
      </c>
      <c r="K324" s="282">
        <v>81.21032319194444</v>
      </c>
      <c r="L324" s="282">
        <v>81.168146838194431</v>
      </c>
      <c r="M324" s="282">
        <v>82.366509607777772</v>
      </c>
      <c r="N324" s="282">
        <v>83.419789198611113</v>
      </c>
      <c r="O324" s="282">
        <v>83.648924516666654</v>
      </c>
      <c r="P324" s="282">
        <v>82.425359213333337</v>
      </c>
      <c r="Q324" s="282">
        <v>80.844220724791654</v>
      </c>
      <c r="R324" s="283">
        <v>78.846776279166662</v>
      </c>
      <c r="S324" s="284">
        <v>900.19724141256938</v>
      </c>
      <c r="T324" s="284">
        <v>491.01217148000001</v>
      </c>
      <c r="U324" s="296">
        <f t="shared" si="8"/>
        <v>-17.591758587430832</v>
      </c>
      <c r="V324" s="296">
        <f t="shared" si="9"/>
        <v>-8.7818285199999764</v>
      </c>
      <c r="W324" s="287">
        <v>87</v>
      </c>
      <c r="X324" s="280">
        <v>85</v>
      </c>
      <c r="Y324" s="280">
        <v>84</v>
      </c>
      <c r="Z324" s="280">
        <v>82</v>
      </c>
      <c r="AA324" s="280">
        <v>79</v>
      </c>
      <c r="AB324" s="280">
        <v>78</v>
      </c>
      <c r="AC324" s="280">
        <v>78</v>
      </c>
      <c r="AD324" s="280">
        <v>79</v>
      </c>
      <c r="AE324" s="280">
        <v>78</v>
      </c>
      <c r="AF324" s="280">
        <v>76</v>
      </c>
      <c r="AG324" s="280">
        <v>74</v>
      </c>
      <c r="AH324" s="280">
        <v>74</v>
      </c>
    </row>
    <row r="325" spans="1:34" s="1" customFormat="1" ht="13" x14ac:dyDescent="0.25">
      <c r="A325" s="280" t="s">
        <v>867</v>
      </c>
      <c r="B325" s="286">
        <v>442</v>
      </c>
      <c r="C325" s="286">
        <v>727.875</v>
      </c>
      <c r="D325" s="286">
        <v>1013.7500000000001</v>
      </c>
      <c r="E325" s="286">
        <v>4</v>
      </c>
      <c r="F325" s="281">
        <v>2</v>
      </c>
      <c r="G325" s="282">
        <v>80.489678562500004</v>
      </c>
      <c r="H325" s="282">
        <v>80.993288643749992</v>
      </c>
      <c r="I325" s="282">
        <v>82.180513224999999</v>
      </c>
      <c r="J325" s="282">
        <v>84.428389973333324</v>
      </c>
      <c r="K325" s="282">
        <v>82.545323191944433</v>
      </c>
      <c r="L325" s="282">
        <v>83.015521838194431</v>
      </c>
      <c r="M325" s="282">
        <v>84.726259607777777</v>
      </c>
      <c r="N325" s="282">
        <v>86.29191419861111</v>
      </c>
      <c r="O325" s="282">
        <v>87.085955766666657</v>
      </c>
      <c r="P325" s="282">
        <v>86.427296713333334</v>
      </c>
      <c r="Q325" s="282">
        <v>85.411064474791658</v>
      </c>
      <c r="R325" s="283">
        <v>83.978526279166658</v>
      </c>
      <c r="S325" s="284">
        <v>927.0840539125694</v>
      </c>
      <c r="T325" s="284">
        <v>497.88929647999993</v>
      </c>
      <c r="U325" s="296">
        <f t="shared" ref="U325:U388" si="10">S325-S$3</f>
        <v>9.2950539125691876</v>
      </c>
      <c r="V325" s="296">
        <f t="shared" ref="V325:V388" si="11">T325-T$3</f>
        <v>-1.9047035200000551</v>
      </c>
      <c r="W325" s="287">
        <v>87</v>
      </c>
      <c r="X325" s="280">
        <v>85</v>
      </c>
      <c r="Y325" s="280">
        <v>85</v>
      </c>
      <c r="Z325" s="280">
        <v>84</v>
      </c>
      <c r="AA325" s="280">
        <v>82</v>
      </c>
      <c r="AB325" s="280">
        <v>82</v>
      </c>
      <c r="AC325" s="280">
        <v>83</v>
      </c>
      <c r="AD325" s="280">
        <v>85</v>
      </c>
      <c r="AE325" s="280">
        <v>85</v>
      </c>
      <c r="AF325" s="280">
        <v>84</v>
      </c>
      <c r="AG325" s="280">
        <v>83</v>
      </c>
      <c r="AH325" s="280">
        <v>84</v>
      </c>
    </row>
    <row r="326" spans="1:34" s="1" customFormat="1" ht="13" x14ac:dyDescent="0.25">
      <c r="A326" s="280" t="s">
        <v>868</v>
      </c>
      <c r="B326" s="286">
        <v>442</v>
      </c>
      <c r="C326" s="286">
        <v>727.875</v>
      </c>
      <c r="D326" s="286">
        <v>1013.7500000000001</v>
      </c>
      <c r="E326" s="286">
        <v>4</v>
      </c>
      <c r="F326" s="281">
        <v>3</v>
      </c>
      <c r="G326" s="282">
        <v>80.489678562500004</v>
      </c>
      <c r="H326" s="282">
        <v>80.993288643749992</v>
      </c>
      <c r="I326" s="282">
        <v>82.625513225000006</v>
      </c>
      <c r="J326" s="282">
        <v>85.318389973333325</v>
      </c>
      <c r="K326" s="282">
        <v>83.880323191944456</v>
      </c>
      <c r="L326" s="282">
        <v>84.86289683819443</v>
      </c>
      <c r="M326" s="282">
        <v>87.086009607777783</v>
      </c>
      <c r="N326" s="282">
        <v>89.164039198611093</v>
      </c>
      <c r="O326" s="282">
        <v>90.522987016666661</v>
      </c>
      <c r="P326" s="282">
        <v>90.429234213333331</v>
      </c>
      <c r="Q326" s="282">
        <v>89.977908224791662</v>
      </c>
      <c r="R326" s="283">
        <v>89.110276279166655</v>
      </c>
      <c r="S326" s="284">
        <v>953.97086641256942</v>
      </c>
      <c r="T326" s="284">
        <v>504.76642148000002</v>
      </c>
      <c r="U326" s="296">
        <f t="shared" si="10"/>
        <v>36.181866412569207</v>
      </c>
      <c r="V326" s="296">
        <f t="shared" si="11"/>
        <v>4.9724214800000368</v>
      </c>
      <c r="W326" s="287">
        <v>87</v>
      </c>
      <c r="X326" s="280">
        <v>85</v>
      </c>
      <c r="Y326" s="280">
        <v>86</v>
      </c>
      <c r="Z326" s="280">
        <v>86</v>
      </c>
      <c r="AA326" s="280">
        <v>85</v>
      </c>
      <c r="AB326" s="280">
        <v>86</v>
      </c>
      <c r="AC326" s="280">
        <v>88</v>
      </c>
      <c r="AD326" s="280">
        <v>91</v>
      </c>
      <c r="AE326" s="280">
        <v>92</v>
      </c>
      <c r="AF326" s="280">
        <v>92</v>
      </c>
      <c r="AG326" s="280">
        <v>92</v>
      </c>
      <c r="AH326" s="280">
        <v>94</v>
      </c>
    </row>
    <row r="327" spans="1:34" s="1" customFormat="1" ht="13" x14ac:dyDescent="0.25">
      <c r="A327" s="280" t="s">
        <v>869</v>
      </c>
      <c r="B327" s="286">
        <v>442</v>
      </c>
      <c r="C327" s="286">
        <v>727.875</v>
      </c>
      <c r="D327" s="286">
        <v>1013.7500000000001</v>
      </c>
      <c r="E327" s="286">
        <v>4</v>
      </c>
      <c r="F327" s="281">
        <v>4</v>
      </c>
      <c r="G327" s="282">
        <v>80.489678562500004</v>
      </c>
      <c r="H327" s="282">
        <v>80.993288643749992</v>
      </c>
      <c r="I327" s="282">
        <v>83.070513224999999</v>
      </c>
      <c r="J327" s="282">
        <v>86.208389973333325</v>
      </c>
      <c r="K327" s="282">
        <v>85.215323191944449</v>
      </c>
      <c r="L327" s="282">
        <v>86.71027183819443</v>
      </c>
      <c r="M327" s="282">
        <v>89.445759607777788</v>
      </c>
      <c r="N327" s="282">
        <v>92.036164198611104</v>
      </c>
      <c r="O327" s="282">
        <v>93.960018266666651</v>
      </c>
      <c r="P327" s="282">
        <v>94.431171713333327</v>
      </c>
      <c r="Q327" s="282">
        <v>94.544751974791666</v>
      </c>
      <c r="R327" s="283">
        <v>94.242026279166666</v>
      </c>
      <c r="S327" s="284">
        <v>980.85767891256944</v>
      </c>
      <c r="T327" s="284">
        <v>511.64354648</v>
      </c>
      <c r="U327" s="296">
        <f t="shared" si="10"/>
        <v>63.068678912569226</v>
      </c>
      <c r="V327" s="296">
        <f t="shared" si="11"/>
        <v>11.849546480000015</v>
      </c>
      <c r="W327" s="287">
        <v>87</v>
      </c>
      <c r="X327" s="280">
        <v>85</v>
      </c>
      <c r="Y327" s="280">
        <v>87</v>
      </c>
      <c r="Z327" s="280">
        <v>88</v>
      </c>
      <c r="AA327" s="280">
        <v>88</v>
      </c>
      <c r="AB327" s="280">
        <v>90</v>
      </c>
      <c r="AC327" s="280">
        <v>93</v>
      </c>
      <c r="AD327" s="280">
        <v>97</v>
      </c>
      <c r="AE327" s="280">
        <v>99</v>
      </c>
      <c r="AF327" s="280">
        <v>100</v>
      </c>
      <c r="AG327" s="280">
        <v>101</v>
      </c>
      <c r="AH327" s="280">
        <v>104</v>
      </c>
    </row>
    <row r="328" spans="1:34" s="1" customFormat="1" ht="13" x14ac:dyDescent="0.25">
      <c r="A328" s="280" t="s">
        <v>870</v>
      </c>
      <c r="B328" s="286">
        <v>442</v>
      </c>
      <c r="C328" s="286">
        <v>727.875</v>
      </c>
      <c r="D328" s="286">
        <v>1013.7500000000001</v>
      </c>
      <c r="E328" s="286">
        <v>4</v>
      </c>
      <c r="F328" s="281">
        <v>5</v>
      </c>
      <c r="G328" s="282">
        <v>80.489678562500004</v>
      </c>
      <c r="H328" s="282">
        <v>80.993288643749992</v>
      </c>
      <c r="I328" s="282">
        <v>83.515513225000007</v>
      </c>
      <c r="J328" s="282">
        <v>87.098389973333326</v>
      </c>
      <c r="K328" s="282">
        <v>86.550323191944457</v>
      </c>
      <c r="L328" s="282">
        <v>88.55764683819443</v>
      </c>
      <c r="M328" s="282">
        <v>91.805509607777779</v>
      </c>
      <c r="N328" s="282">
        <v>94.908289198611101</v>
      </c>
      <c r="O328" s="282">
        <v>97.397049516666655</v>
      </c>
      <c r="P328" s="282">
        <v>98.433109213333339</v>
      </c>
      <c r="Q328" s="282">
        <v>99.11159572479167</v>
      </c>
      <c r="R328" s="283">
        <v>99.373776279166663</v>
      </c>
      <c r="S328" s="284">
        <v>1007.7444914125695</v>
      </c>
      <c r="T328" s="284">
        <v>518.52067148000003</v>
      </c>
      <c r="U328" s="296">
        <f t="shared" si="10"/>
        <v>89.955491412569245</v>
      </c>
      <c r="V328" s="296">
        <f t="shared" si="11"/>
        <v>18.72667148000005</v>
      </c>
      <c r="W328" s="287">
        <v>87</v>
      </c>
      <c r="X328" s="280">
        <v>85</v>
      </c>
      <c r="Y328" s="280">
        <v>88</v>
      </c>
      <c r="Z328" s="280">
        <v>90</v>
      </c>
      <c r="AA328" s="280">
        <v>91</v>
      </c>
      <c r="AB328" s="280">
        <v>94</v>
      </c>
      <c r="AC328" s="280">
        <v>98</v>
      </c>
      <c r="AD328" s="280">
        <v>103</v>
      </c>
      <c r="AE328" s="280">
        <v>106</v>
      </c>
      <c r="AF328" s="280">
        <v>108</v>
      </c>
      <c r="AG328" s="280">
        <v>110</v>
      </c>
      <c r="AH328" s="280">
        <v>114</v>
      </c>
    </row>
    <row r="329" spans="1:34" s="1" customFormat="1" ht="13" x14ac:dyDescent="0.25">
      <c r="A329" s="280" t="s">
        <v>871</v>
      </c>
      <c r="B329" s="286">
        <v>442</v>
      </c>
      <c r="C329" s="286">
        <v>727.875</v>
      </c>
      <c r="D329" s="286">
        <v>1013.7500000000001</v>
      </c>
      <c r="E329" s="286">
        <v>5</v>
      </c>
      <c r="F329" s="281">
        <v>0</v>
      </c>
      <c r="G329" s="282">
        <v>80.489678562500004</v>
      </c>
      <c r="H329" s="282">
        <v>80.810601143749992</v>
      </c>
      <c r="I329" s="282">
        <v>80.950339587499997</v>
      </c>
      <c r="J329" s="282">
        <v>82.172749473333312</v>
      </c>
      <c r="K329" s="282">
        <v>79.277057191944436</v>
      </c>
      <c r="L329" s="282">
        <v>78.813864338194435</v>
      </c>
      <c r="M329" s="282">
        <v>79.541368982777769</v>
      </c>
      <c r="N329" s="282">
        <v>80.117539198611098</v>
      </c>
      <c r="O329" s="282">
        <v>79.806049516666647</v>
      </c>
      <c r="P329" s="282">
        <v>77.967859213333327</v>
      </c>
      <c r="Q329" s="282">
        <v>75.782501974791643</v>
      </c>
      <c r="R329" s="283">
        <v>73.186620029166662</v>
      </c>
      <c r="S329" s="284">
        <v>868.42655065006932</v>
      </c>
      <c r="T329" s="284">
        <v>481.56598071749994</v>
      </c>
      <c r="U329" s="296">
        <f t="shared" si="10"/>
        <v>-49.362449349930898</v>
      </c>
      <c r="V329" s="296">
        <f t="shared" si="11"/>
        <v>-18.228019282500043</v>
      </c>
      <c r="W329" s="287">
        <v>87</v>
      </c>
      <c r="X329" s="280">
        <v>85</v>
      </c>
      <c r="Y329" s="280">
        <v>83</v>
      </c>
      <c r="Z329" s="280">
        <v>80</v>
      </c>
      <c r="AA329" s="280">
        <v>76</v>
      </c>
      <c r="AB329" s="280">
        <v>74</v>
      </c>
      <c r="AC329" s="280">
        <v>73</v>
      </c>
      <c r="AD329" s="280">
        <v>73</v>
      </c>
      <c r="AE329" s="280">
        <v>71</v>
      </c>
      <c r="AF329" s="280">
        <v>68</v>
      </c>
      <c r="AG329" s="280">
        <v>65</v>
      </c>
      <c r="AH329" s="280">
        <v>64</v>
      </c>
    </row>
    <row r="330" spans="1:34" s="1" customFormat="1" ht="13" x14ac:dyDescent="0.25">
      <c r="A330" s="280" t="s">
        <v>872</v>
      </c>
      <c r="B330" s="286">
        <v>442</v>
      </c>
      <c r="C330" s="286">
        <v>727.875</v>
      </c>
      <c r="D330" s="286">
        <v>1013.7500000000001</v>
      </c>
      <c r="E330" s="286">
        <v>5</v>
      </c>
      <c r="F330" s="281">
        <v>1</v>
      </c>
      <c r="G330" s="282">
        <v>80.489678562500004</v>
      </c>
      <c r="H330" s="282">
        <v>80.810601143749992</v>
      </c>
      <c r="I330" s="282">
        <v>81.39533958749999</v>
      </c>
      <c r="J330" s="282">
        <v>83.062749473333326</v>
      </c>
      <c r="K330" s="282">
        <v>80.61205719194443</v>
      </c>
      <c r="L330" s="282">
        <v>80.661239338194434</v>
      </c>
      <c r="M330" s="282">
        <v>81.901118982777774</v>
      </c>
      <c r="N330" s="282">
        <v>82.989664198611109</v>
      </c>
      <c r="O330" s="282">
        <v>83.243080766666651</v>
      </c>
      <c r="P330" s="282">
        <v>81.969796713333338</v>
      </c>
      <c r="Q330" s="282">
        <v>80.349345724791647</v>
      </c>
      <c r="R330" s="283">
        <v>78.318370029166658</v>
      </c>
      <c r="S330" s="284">
        <v>895.31336315006945</v>
      </c>
      <c r="T330" s="284">
        <v>488.44310571749998</v>
      </c>
      <c r="U330" s="296">
        <f t="shared" si="10"/>
        <v>-22.475636849930765</v>
      </c>
      <c r="V330" s="296">
        <f t="shared" si="11"/>
        <v>-11.350894282500008</v>
      </c>
      <c r="W330" s="287">
        <v>87</v>
      </c>
      <c r="X330" s="280">
        <v>85</v>
      </c>
      <c r="Y330" s="280">
        <v>84</v>
      </c>
      <c r="Z330" s="280">
        <v>82</v>
      </c>
      <c r="AA330" s="280">
        <v>79</v>
      </c>
      <c r="AB330" s="280">
        <v>78</v>
      </c>
      <c r="AC330" s="280">
        <v>78</v>
      </c>
      <c r="AD330" s="280">
        <v>79</v>
      </c>
      <c r="AE330" s="280">
        <v>78</v>
      </c>
      <c r="AF330" s="280">
        <v>76</v>
      </c>
      <c r="AG330" s="280">
        <v>74</v>
      </c>
      <c r="AH330" s="280">
        <v>74</v>
      </c>
    </row>
    <row r="331" spans="1:34" s="1" customFormat="1" ht="13" x14ac:dyDescent="0.25">
      <c r="A331" s="280" t="s">
        <v>873</v>
      </c>
      <c r="B331" s="286">
        <v>442</v>
      </c>
      <c r="C331" s="286">
        <v>727.875</v>
      </c>
      <c r="D331" s="286">
        <v>1013.7500000000001</v>
      </c>
      <c r="E331" s="286">
        <v>5</v>
      </c>
      <c r="F331" s="281">
        <v>2</v>
      </c>
      <c r="G331" s="282">
        <v>80.489678562500004</v>
      </c>
      <c r="H331" s="282">
        <v>80.810601143749992</v>
      </c>
      <c r="I331" s="282">
        <v>81.840339587499997</v>
      </c>
      <c r="J331" s="282">
        <v>83.952749473333327</v>
      </c>
      <c r="K331" s="282">
        <v>81.947057191944438</v>
      </c>
      <c r="L331" s="282">
        <v>82.508614338194434</v>
      </c>
      <c r="M331" s="282">
        <v>84.260868982777779</v>
      </c>
      <c r="N331" s="282">
        <v>85.86178919861112</v>
      </c>
      <c r="O331" s="282">
        <v>86.680112016666655</v>
      </c>
      <c r="P331" s="282">
        <v>85.971734213333335</v>
      </c>
      <c r="Q331" s="282">
        <v>84.916189474791665</v>
      </c>
      <c r="R331" s="283">
        <v>83.450120029166655</v>
      </c>
      <c r="S331" s="284">
        <v>922.20017565006935</v>
      </c>
      <c r="T331" s="284">
        <v>495.32023071749995</v>
      </c>
      <c r="U331" s="296">
        <f t="shared" si="10"/>
        <v>4.4111756500691399</v>
      </c>
      <c r="V331" s="296">
        <f t="shared" si="11"/>
        <v>-4.4737692825000295</v>
      </c>
      <c r="W331" s="287">
        <v>87</v>
      </c>
      <c r="X331" s="280">
        <v>85</v>
      </c>
      <c r="Y331" s="280">
        <v>85</v>
      </c>
      <c r="Z331" s="280">
        <v>84</v>
      </c>
      <c r="AA331" s="280">
        <v>82</v>
      </c>
      <c r="AB331" s="280">
        <v>82</v>
      </c>
      <c r="AC331" s="280">
        <v>83</v>
      </c>
      <c r="AD331" s="280">
        <v>85</v>
      </c>
      <c r="AE331" s="280">
        <v>85</v>
      </c>
      <c r="AF331" s="280">
        <v>84</v>
      </c>
      <c r="AG331" s="280">
        <v>83</v>
      </c>
      <c r="AH331" s="280">
        <v>84</v>
      </c>
    </row>
    <row r="332" spans="1:34" s="1" customFormat="1" ht="13" x14ac:dyDescent="0.25">
      <c r="A332" s="280" t="s">
        <v>874</v>
      </c>
      <c r="B332" s="286">
        <v>442</v>
      </c>
      <c r="C332" s="286">
        <v>727.875</v>
      </c>
      <c r="D332" s="286">
        <v>1013.7500000000001</v>
      </c>
      <c r="E332" s="286">
        <v>5</v>
      </c>
      <c r="F332" s="281">
        <v>3</v>
      </c>
      <c r="G332" s="282">
        <v>80.489678562500004</v>
      </c>
      <c r="H332" s="282">
        <v>80.810601143749992</v>
      </c>
      <c r="I332" s="282">
        <v>82.28533958749999</v>
      </c>
      <c r="J332" s="282">
        <v>84.842749473333328</v>
      </c>
      <c r="K332" s="282">
        <v>83.282057191944446</v>
      </c>
      <c r="L332" s="282">
        <v>84.355989338194433</v>
      </c>
      <c r="M332" s="282">
        <v>86.620618982777785</v>
      </c>
      <c r="N332" s="282">
        <v>88.733914198611103</v>
      </c>
      <c r="O332" s="282">
        <v>90.117143266666659</v>
      </c>
      <c r="P332" s="282">
        <v>89.973671713333331</v>
      </c>
      <c r="Q332" s="282">
        <v>89.483033224791669</v>
      </c>
      <c r="R332" s="283">
        <v>88.581870029166666</v>
      </c>
      <c r="S332" s="284">
        <v>949.08698815006949</v>
      </c>
      <c r="T332" s="284">
        <v>502.19735571749999</v>
      </c>
      <c r="U332" s="296">
        <f t="shared" si="10"/>
        <v>31.297988150069273</v>
      </c>
      <c r="V332" s="296">
        <f t="shared" si="11"/>
        <v>2.4033557175000055</v>
      </c>
      <c r="W332" s="287">
        <v>87</v>
      </c>
      <c r="X332" s="280">
        <v>85</v>
      </c>
      <c r="Y332" s="280">
        <v>86</v>
      </c>
      <c r="Z332" s="280">
        <v>86</v>
      </c>
      <c r="AA332" s="280">
        <v>85</v>
      </c>
      <c r="AB332" s="280">
        <v>86</v>
      </c>
      <c r="AC332" s="280">
        <v>88</v>
      </c>
      <c r="AD332" s="280">
        <v>91</v>
      </c>
      <c r="AE332" s="280">
        <v>92</v>
      </c>
      <c r="AF332" s="280">
        <v>92</v>
      </c>
      <c r="AG332" s="280">
        <v>92</v>
      </c>
      <c r="AH332" s="280">
        <v>94</v>
      </c>
    </row>
    <row r="333" spans="1:34" s="1" customFormat="1" ht="13" x14ac:dyDescent="0.25">
      <c r="A333" s="280" t="s">
        <v>875</v>
      </c>
      <c r="B333" s="286">
        <v>442</v>
      </c>
      <c r="C333" s="286">
        <v>727.875</v>
      </c>
      <c r="D333" s="286">
        <v>1013.7500000000001</v>
      </c>
      <c r="E333" s="286">
        <v>5</v>
      </c>
      <c r="F333" s="281">
        <v>4</v>
      </c>
      <c r="G333" s="282">
        <v>80.489678562500004</v>
      </c>
      <c r="H333" s="282">
        <v>80.810601143749992</v>
      </c>
      <c r="I333" s="282">
        <v>82.730339587499998</v>
      </c>
      <c r="J333" s="282">
        <v>85.732749473333328</v>
      </c>
      <c r="K333" s="282">
        <v>84.617057191944454</v>
      </c>
      <c r="L333" s="282">
        <v>86.203364338194433</v>
      </c>
      <c r="M333" s="282">
        <v>88.980368982777776</v>
      </c>
      <c r="N333" s="282">
        <v>91.6060391986111</v>
      </c>
      <c r="O333" s="282">
        <v>93.554174516666663</v>
      </c>
      <c r="P333" s="282">
        <v>93.975609213333328</v>
      </c>
      <c r="Q333" s="282">
        <v>94.049876974791658</v>
      </c>
      <c r="R333" s="283">
        <v>93.713620029166663</v>
      </c>
      <c r="S333" s="284">
        <v>975.97380065006951</v>
      </c>
      <c r="T333" s="284">
        <v>509.07448071750002</v>
      </c>
      <c r="U333" s="296">
        <f t="shared" si="10"/>
        <v>58.184800650069292</v>
      </c>
      <c r="V333" s="296">
        <f t="shared" si="11"/>
        <v>9.2804807175000406</v>
      </c>
      <c r="W333" s="287">
        <v>87</v>
      </c>
      <c r="X333" s="280">
        <v>85</v>
      </c>
      <c r="Y333" s="280">
        <v>87</v>
      </c>
      <c r="Z333" s="280">
        <v>88</v>
      </c>
      <c r="AA333" s="280">
        <v>88</v>
      </c>
      <c r="AB333" s="280">
        <v>90</v>
      </c>
      <c r="AC333" s="280">
        <v>93</v>
      </c>
      <c r="AD333" s="280">
        <v>97</v>
      </c>
      <c r="AE333" s="280">
        <v>99</v>
      </c>
      <c r="AF333" s="280">
        <v>100</v>
      </c>
      <c r="AG333" s="280">
        <v>101</v>
      </c>
      <c r="AH333" s="280">
        <v>104</v>
      </c>
    </row>
    <row r="334" spans="1:34" s="1" customFormat="1" ht="13" x14ac:dyDescent="0.25">
      <c r="A334" s="280" t="s">
        <v>876</v>
      </c>
      <c r="B334" s="286">
        <v>442</v>
      </c>
      <c r="C334" s="286">
        <v>727.875</v>
      </c>
      <c r="D334" s="286">
        <v>1013.7500000000001</v>
      </c>
      <c r="E334" s="286">
        <v>5</v>
      </c>
      <c r="F334" s="281">
        <v>5</v>
      </c>
      <c r="G334" s="282">
        <v>80.489678562500004</v>
      </c>
      <c r="H334" s="282">
        <v>80.810601143749992</v>
      </c>
      <c r="I334" s="282">
        <v>83.175339587499991</v>
      </c>
      <c r="J334" s="282">
        <v>86.622749473333329</v>
      </c>
      <c r="K334" s="282">
        <v>85.952057191944448</v>
      </c>
      <c r="L334" s="282">
        <v>88.050739338194433</v>
      </c>
      <c r="M334" s="282">
        <v>91.340118982777781</v>
      </c>
      <c r="N334" s="282">
        <v>94.478164198611097</v>
      </c>
      <c r="O334" s="282">
        <v>96.991205766666653</v>
      </c>
      <c r="P334" s="282">
        <v>97.977546713333339</v>
      </c>
      <c r="Q334" s="282">
        <v>98.616720724791662</v>
      </c>
      <c r="R334" s="283">
        <v>98.845370029166659</v>
      </c>
      <c r="S334" s="284">
        <v>1002.8606131500695</v>
      </c>
      <c r="T334" s="284">
        <v>515.9516057175</v>
      </c>
      <c r="U334" s="296">
        <f t="shared" si="10"/>
        <v>85.071613150069311</v>
      </c>
      <c r="V334" s="296">
        <f t="shared" si="11"/>
        <v>16.157605717500019</v>
      </c>
      <c r="W334" s="287">
        <v>87</v>
      </c>
      <c r="X334" s="280">
        <v>85</v>
      </c>
      <c r="Y334" s="280">
        <v>88</v>
      </c>
      <c r="Z334" s="280">
        <v>90</v>
      </c>
      <c r="AA334" s="280">
        <v>91</v>
      </c>
      <c r="AB334" s="280">
        <v>94</v>
      </c>
      <c r="AC334" s="280">
        <v>98</v>
      </c>
      <c r="AD334" s="280">
        <v>103</v>
      </c>
      <c r="AE334" s="280">
        <v>106</v>
      </c>
      <c r="AF334" s="280">
        <v>108</v>
      </c>
      <c r="AG334" s="280">
        <v>110</v>
      </c>
      <c r="AH334" s="280">
        <v>114</v>
      </c>
    </row>
    <row r="335" spans="1:34" s="1" customFormat="1" ht="13" x14ac:dyDescent="0.25">
      <c r="A335" s="280" t="s">
        <v>877</v>
      </c>
      <c r="B335" s="286">
        <v>442</v>
      </c>
      <c r="C335" s="286">
        <v>727.875</v>
      </c>
      <c r="D335" s="286">
        <v>1013.7500000000001</v>
      </c>
      <c r="E335" s="286">
        <v>1</v>
      </c>
      <c r="F335" s="281">
        <v>0</v>
      </c>
      <c r="G335" s="282">
        <v>80.489678562500004</v>
      </c>
      <c r="H335" s="282">
        <v>83.370182552083321</v>
      </c>
      <c r="I335" s="282">
        <v>83.991570829166662</v>
      </c>
      <c r="J335" s="282">
        <v>85.421248223333336</v>
      </c>
      <c r="K335" s="282">
        <v>82.387898108611097</v>
      </c>
      <c r="L335" s="282">
        <v>81.063296171527767</v>
      </c>
      <c r="M335" s="282">
        <v>81.596889816111101</v>
      </c>
      <c r="N335" s="282">
        <v>82.050580865277752</v>
      </c>
      <c r="O335" s="282">
        <v>82.060174516666663</v>
      </c>
      <c r="P335" s="282">
        <v>80.207484213333331</v>
      </c>
      <c r="Q335" s="282">
        <v>78.023001974791654</v>
      </c>
      <c r="R335" s="283">
        <v>75.543828362499994</v>
      </c>
      <c r="S335" s="284">
        <v>895.71615563340276</v>
      </c>
      <c r="T335" s="284">
        <v>497.83108570083334</v>
      </c>
      <c r="U335" s="296">
        <f t="shared" si="10"/>
        <v>-22.072844366597451</v>
      </c>
      <c r="V335" s="296">
        <f t="shared" si="11"/>
        <v>-1.9629142991666413</v>
      </c>
      <c r="W335" s="287">
        <v>87</v>
      </c>
      <c r="X335" s="280">
        <v>85</v>
      </c>
      <c r="Y335" s="280">
        <v>83</v>
      </c>
      <c r="Z335" s="280">
        <v>80</v>
      </c>
      <c r="AA335" s="280">
        <v>76</v>
      </c>
      <c r="AB335" s="280">
        <v>74</v>
      </c>
      <c r="AC335" s="280">
        <v>73</v>
      </c>
      <c r="AD335" s="280">
        <v>73</v>
      </c>
      <c r="AE335" s="280">
        <v>71</v>
      </c>
      <c r="AF335" s="280">
        <v>68</v>
      </c>
      <c r="AG335" s="280">
        <v>65</v>
      </c>
      <c r="AH335" s="280">
        <v>64</v>
      </c>
    </row>
    <row r="336" spans="1:34" s="1" customFormat="1" ht="13" x14ac:dyDescent="0.25">
      <c r="A336" s="280" t="s">
        <v>878</v>
      </c>
      <c r="B336" s="286">
        <v>442</v>
      </c>
      <c r="C336" s="286">
        <v>727.875</v>
      </c>
      <c r="D336" s="286">
        <v>1013.7500000000001</v>
      </c>
      <c r="E336" s="286">
        <v>1</v>
      </c>
      <c r="F336" s="281">
        <v>1</v>
      </c>
      <c r="G336" s="282">
        <v>80.489678562500004</v>
      </c>
      <c r="H336" s="282">
        <v>83.370182552083321</v>
      </c>
      <c r="I336" s="282">
        <v>84.436570829166669</v>
      </c>
      <c r="J336" s="282">
        <v>86.311248223333337</v>
      </c>
      <c r="K336" s="282">
        <v>83.722898108611119</v>
      </c>
      <c r="L336" s="282">
        <v>82.910671171527767</v>
      </c>
      <c r="M336" s="282">
        <v>83.956639816111093</v>
      </c>
      <c r="N336" s="282">
        <v>84.922705865277777</v>
      </c>
      <c r="O336" s="282">
        <v>85.497830766666667</v>
      </c>
      <c r="P336" s="282">
        <v>84.210671713333326</v>
      </c>
      <c r="Q336" s="282">
        <v>82.591720724791671</v>
      </c>
      <c r="R336" s="283">
        <v>80.678078362499988</v>
      </c>
      <c r="S336" s="284">
        <v>922.60921813340269</v>
      </c>
      <c r="T336" s="284">
        <v>504.70821070083332</v>
      </c>
      <c r="U336" s="296">
        <f t="shared" si="10"/>
        <v>4.8202181334024772</v>
      </c>
      <c r="V336" s="296">
        <f t="shared" si="11"/>
        <v>4.9142107008333369</v>
      </c>
      <c r="W336" s="287">
        <v>87</v>
      </c>
      <c r="X336" s="280">
        <v>85</v>
      </c>
      <c r="Y336" s="280">
        <v>84</v>
      </c>
      <c r="Z336" s="280">
        <v>82</v>
      </c>
      <c r="AA336" s="280">
        <v>79</v>
      </c>
      <c r="AB336" s="280">
        <v>78</v>
      </c>
      <c r="AC336" s="280">
        <v>78</v>
      </c>
      <c r="AD336" s="280">
        <v>79</v>
      </c>
      <c r="AE336" s="280">
        <v>78</v>
      </c>
      <c r="AF336" s="280">
        <v>76</v>
      </c>
      <c r="AG336" s="280">
        <v>74</v>
      </c>
      <c r="AH336" s="280">
        <v>74</v>
      </c>
    </row>
    <row r="337" spans="1:34" s="1" customFormat="1" ht="13" x14ac:dyDescent="0.25">
      <c r="A337" s="280" t="s">
        <v>879</v>
      </c>
      <c r="B337" s="286">
        <v>442</v>
      </c>
      <c r="C337" s="286">
        <v>727.875</v>
      </c>
      <c r="D337" s="286">
        <v>1013.7500000000001</v>
      </c>
      <c r="E337" s="286">
        <v>1</v>
      </c>
      <c r="F337" s="281">
        <v>2</v>
      </c>
      <c r="G337" s="282">
        <v>80.489678562500004</v>
      </c>
      <c r="H337" s="282">
        <v>83.370182552083321</v>
      </c>
      <c r="I337" s="282">
        <v>84.881570829166662</v>
      </c>
      <c r="J337" s="282">
        <v>87.201248223333337</v>
      </c>
      <c r="K337" s="282">
        <v>85.057898108611113</v>
      </c>
      <c r="L337" s="282">
        <v>84.758046171527766</v>
      </c>
      <c r="M337" s="282">
        <v>86.316389816111098</v>
      </c>
      <c r="N337" s="282">
        <v>87.794830865277774</v>
      </c>
      <c r="O337" s="282">
        <v>88.93548701666667</v>
      </c>
      <c r="P337" s="282">
        <v>88.213859213333336</v>
      </c>
      <c r="Q337" s="282">
        <v>87.160439474791659</v>
      </c>
      <c r="R337" s="283">
        <v>85.812328362499997</v>
      </c>
      <c r="S337" s="284">
        <v>949.50228063340285</v>
      </c>
      <c r="T337" s="284">
        <v>511.58533570083335</v>
      </c>
      <c r="U337" s="296">
        <f t="shared" si="10"/>
        <v>31.713280633402633</v>
      </c>
      <c r="V337" s="296">
        <f t="shared" si="11"/>
        <v>11.791335700833372</v>
      </c>
      <c r="W337" s="287">
        <v>87</v>
      </c>
      <c r="X337" s="280">
        <v>85</v>
      </c>
      <c r="Y337" s="280">
        <v>85</v>
      </c>
      <c r="Z337" s="280">
        <v>84</v>
      </c>
      <c r="AA337" s="280">
        <v>82</v>
      </c>
      <c r="AB337" s="280">
        <v>82</v>
      </c>
      <c r="AC337" s="280">
        <v>83</v>
      </c>
      <c r="AD337" s="280">
        <v>85</v>
      </c>
      <c r="AE337" s="280">
        <v>85</v>
      </c>
      <c r="AF337" s="280">
        <v>84</v>
      </c>
      <c r="AG337" s="280">
        <v>83</v>
      </c>
      <c r="AH337" s="280">
        <v>84</v>
      </c>
    </row>
    <row r="338" spans="1:34" s="1" customFormat="1" ht="13" x14ac:dyDescent="0.25">
      <c r="A338" s="280" t="s">
        <v>880</v>
      </c>
      <c r="B338" s="286">
        <v>442</v>
      </c>
      <c r="C338" s="286">
        <v>727.875</v>
      </c>
      <c r="D338" s="286">
        <v>1013.7500000000001</v>
      </c>
      <c r="E338" s="286">
        <v>1</v>
      </c>
      <c r="F338" s="281">
        <v>3</v>
      </c>
      <c r="G338" s="282">
        <v>80.489678562500004</v>
      </c>
      <c r="H338" s="282">
        <v>83.370182552083321</v>
      </c>
      <c r="I338" s="282">
        <v>85.32657082916667</v>
      </c>
      <c r="J338" s="282">
        <v>88.091248223333338</v>
      </c>
      <c r="K338" s="282">
        <v>86.392898108611121</v>
      </c>
      <c r="L338" s="282">
        <v>86.605421171527766</v>
      </c>
      <c r="M338" s="282">
        <v>88.676139816111117</v>
      </c>
      <c r="N338" s="282">
        <v>90.666955865277771</v>
      </c>
      <c r="O338" s="282">
        <v>92.373143266666673</v>
      </c>
      <c r="P338" s="282">
        <v>92.217046713333332</v>
      </c>
      <c r="Q338" s="282">
        <v>91.729158224791661</v>
      </c>
      <c r="R338" s="283">
        <v>90.946578362500006</v>
      </c>
      <c r="S338" s="284">
        <v>976.39534313340289</v>
      </c>
      <c r="T338" s="284">
        <v>518.46246070083339</v>
      </c>
      <c r="U338" s="296">
        <f t="shared" si="10"/>
        <v>58.606343133402675</v>
      </c>
      <c r="V338" s="296">
        <f t="shared" si="11"/>
        <v>18.668460700833407</v>
      </c>
      <c r="W338" s="287">
        <v>87</v>
      </c>
      <c r="X338" s="280">
        <v>85</v>
      </c>
      <c r="Y338" s="280">
        <v>86</v>
      </c>
      <c r="Z338" s="280">
        <v>86</v>
      </c>
      <c r="AA338" s="280">
        <v>85</v>
      </c>
      <c r="AB338" s="280">
        <v>86</v>
      </c>
      <c r="AC338" s="280">
        <v>88</v>
      </c>
      <c r="AD338" s="280">
        <v>91</v>
      </c>
      <c r="AE338" s="280">
        <v>92</v>
      </c>
      <c r="AF338" s="280">
        <v>92</v>
      </c>
      <c r="AG338" s="280">
        <v>92</v>
      </c>
      <c r="AH338" s="280">
        <v>94</v>
      </c>
    </row>
    <row r="339" spans="1:34" s="1" customFormat="1" ht="13" x14ac:dyDescent="0.25">
      <c r="A339" s="280" t="s">
        <v>881</v>
      </c>
      <c r="B339" s="286">
        <v>442</v>
      </c>
      <c r="C339" s="286">
        <v>727.875</v>
      </c>
      <c r="D339" s="286">
        <v>1013.7500000000001</v>
      </c>
      <c r="E339" s="286">
        <v>1</v>
      </c>
      <c r="F339" s="281">
        <v>4</v>
      </c>
      <c r="G339" s="282">
        <v>80.489678562500004</v>
      </c>
      <c r="H339" s="282">
        <v>83.370182552083321</v>
      </c>
      <c r="I339" s="282">
        <v>85.771570829166663</v>
      </c>
      <c r="J339" s="282">
        <v>88.981248223333324</v>
      </c>
      <c r="K339" s="282">
        <v>87.727898108611114</v>
      </c>
      <c r="L339" s="282">
        <v>88.452796171527766</v>
      </c>
      <c r="M339" s="282">
        <v>91.035889816111109</v>
      </c>
      <c r="N339" s="282">
        <v>93.539080865277768</v>
      </c>
      <c r="O339" s="282">
        <v>95.810799516666677</v>
      </c>
      <c r="P339" s="282">
        <v>96.220234213333327</v>
      </c>
      <c r="Q339" s="282">
        <v>96.297876974791663</v>
      </c>
      <c r="R339" s="283">
        <v>96.0808283625</v>
      </c>
      <c r="S339" s="284">
        <v>1003.2884056334028</v>
      </c>
      <c r="T339" s="284">
        <v>525.33958570083337</v>
      </c>
      <c r="U339" s="296">
        <f t="shared" si="10"/>
        <v>85.499405633402603</v>
      </c>
      <c r="V339" s="296">
        <f t="shared" si="11"/>
        <v>25.545585700833385</v>
      </c>
      <c r="W339" s="287">
        <v>87</v>
      </c>
      <c r="X339" s="280">
        <v>85</v>
      </c>
      <c r="Y339" s="280">
        <v>87</v>
      </c>
      <c r="Z339" s="280">
        <v>88</v>
      </c>
      <c r="AA339" s="280">
        <v>88</v>
      </c>
      <c r="AB339" s="280">
        <v>90</v>
      </c>
      <c r="AC339" s="280">
        <v>93</v>
      </c>
      <c r="AD339" s="280">
        <v>97</v>
      </c>
      <c r="AE339" s="280">
        <v>99</v>
      </c>
      <c r="AF339" s="280">
        <v>100</v>
      </c>
      <c r="AG339" s="280">
        <v>101</v>
      </c>
      <c r="AH339" s="280">
        <v>104</v>
      </c>
    </row>
    <row r="340" spans="1:34" s="1" customFormat="1" ht="13" x14ac:dyDescent="0.25">
      <c r="A340" s="280" t="s">
        <v>882</v>
      </c>
      <c r="B340" s="286">
        <v>442</v>
      </c>
      <c r="C340" s="286">
        <v>727.875</v>
      </c>
      <c r="D340" s="286">
        <v>1013.7500000000001</v>
      </c>
      <c r="E340" s="286">
        <v>1</v>
      </c>
      <c r="F340" s="281">
        <v>5</v>
      </c>
      <c r="G340" s="282">
        <v>80.489678562500004</v>
      </c>
      <c r="H340" s="282">
        <v>83.370182552083321</v>
      </c>
      <c r="I340" s="282">
        <v>86.21657082916667</v>
      </c>
      <c r="J340" s="282">
        <v>89.871248223333325</v>
      </c>
      <c r="K340" s="282">
        <v>89.062898108611137</v>
      </c>
      <c r="L340" s="282">
        <v>90.300171171527765</v>
      </c>
      <c r="M340" s="282">
        <v>93.395639816111114</v>
      </c>
      <c r="N340" s="282">
        <v>96.411205865277765</v>
      </c>
      <c r="O340" s="282">
        <v>99.248455766666666</v>
      </c>
      <c r="P340" s="282">
        <v>100.22342171333334</v>
      </c>
      <c r="Q340" s="282">
        <v>100.86659572479167</v>
      </c>
      <c r="R340" s="283">
        <v>101.21507836250001</v>
      </c>
      <c r="S340" s="284">
        <v>1030.1814681334029</v>
      </c>
      <c r="T340" s="284">
        <v>532.21671070083335</v>
      </c>
      <c r="U340" s="296">
        <f t="shared" si="10"/>
        <v>112.39246813340264</v>
      </c>
      <c r="V340" s="296">
        <f t="shared" si="11"/>
        <v>32.422710700833363</v>
      </c>
      <c r="W340" s="287">
        <v>87</v>
      </c>
      <c r="X340" s="280">
        <v>85</v>
      </c>
      <c r="Y340" s="280">
        <v>88</v>
      </c>
      <c r="Z340" s="280">
        <v>90</v>
      </c>
      <c r="AA340" s="280">
        <v>91</v>
      </c>
      <c r="AB340" s="280">
        <v>94</v>
      </c>
      <c r="AC340" s="280">
        <v>98</v>
      </c>
      <c r="AD340" s="280">
        <v>103</v>
      </c>
      <c r="AE340" s="280">
        <v>106</v>
      </c>
      <c r="AF340" s="280">
        <v>108</v>
      </c>
      <c r="AG340" s="280">
        <v>110</v>
      </c>
      <c r="AH340" s="280">
        <v>114</v>
      </c>
    </row>
    <row r="341" spans="1:34" s="1" customFormat="1" ht="13" x14ac:dyDescent="0.25">
      <c r="A341" s="280" t="s">
        <v>883</v>
      </c>
      <c r="B341" s="286">
        <v>442</v>
      </c>
      <c r="C341" s="286">
        <v>727.875</v>
      </c>
      <c r="D341" s="286">
        <v>1013.7500000000001</v>
      </c>
      <c r="E341" s="286">
        <v>2</v>
      </c>
      <c r="F341" s="281">
        <v>0</v>
      </c>
      <c r="G341" s="282">
        <v>80.489678562500004</v>
      </c>
      <c r="H341" s="282">
        <v>82.017352968749989</v>
      </c>
      <c r="I341" s="282">
        <v>82.865960579166682</v>
      </c>
      <c r="J341" s="282">
        <v>84.218771806666666</v>
      </c>
      <c r="K341" s="282">
        <v>81.474436275277768</v>
      </c>
      <c r="L341" s="282">
        <v>80.673296171527767</v>
      </c>
      <c r="M341" s="282">
        <v>81.163556482777764</v>
      </c>
      <c r="N341" s="282">
        <v>81.607247531944424</v>
      </c>
      <c r="O341" s="282">
        <v>81.441841183333324</v>
      </c>
      <c r="P341" s="282">
        <v>79.764150879999988</v>
      </c>
      <c r="Q341" s="282">
        <v>77.544668641458316</v>
      </c>
      <c r="R341" s="283">
        <v>74.972161695833321</v>
      </c>
      <c r="S341" s="284">
        <v>887.74344421673595</v>
      </c>
      <c r="T341" s="284">
        <v>492.41337428416665</v>
      </c>
      <c r="U341" s="296">
        <f t="shared" si="10"/>
        <v>-30.045555783264263</v>
      </c>
      <c r="V341" s="296">
        <f t="shared" si="11"/>
        <v>-7.3806257158333324</v>
      </c>
      <c r="W341" s="287">
        <v>87</v>
      </c>
      <c r="X341" s="280">
        <v>85</v>
      </c>
      <c r="Y341" s="280">
        <v>83</v>
      </c>
      <c r="Z341" s="280">
        <v>80</v>
      </c>
      <c r="AA341" s="280">
        <v>76</v>
      </c>
      <c r="AB341" s="280">
        <v>74</v>
      </c>
      <c r="AC341" s="280">
        <v>73</v>
      </c>
      <c r="AD341" s="280">
        <v>73</v>
      </c>
      <c r="AE341" s="280">
        <v>71</v>
      </c>
      <c r="AF341" s="280">
        <v>68</v>
      </c>
      <c r="AG341" s="280">
        <v>65</v>
      </c>
      <c r="AH341" s="280">
        <v>64</v>
      </c>
    </row>
    <row r="342" spans="1:34" s="1" customFormat="1" ht="13" x14ac:dyDescent="0.25">
      <c r="A342" s="280" t="s">
        <v>884</v>
      </c>
      <c r="B342" s="286">
        <v>442</v>
      </c>
      <c r="C342" s="286">
        <v>727.875</v>
      </c>
      <c r="D342" s="286">
        <v>1013.7500000000001</v>
      </c>
      <c r="E342" s="286">
        <v>2</v>
      </c>
      <c r="F342" s="281">
        <v>1</v>
      </c>
      <c r="G342" s="282">
        <v>80.489678562500004</v>
      </c>
      <c r="H342" s="282">
        <v>82.017352968749989</v>
      </c>
      <c r="I342" s="282">
        <v>83.310960579166675</v>
      </c>
      <c r="J342" s="282">
        <v>85.108771806666667</v>
      </c>
      <c r="K342" s="282">
        <v>82.809436275277761</v>
      </c>
      <c r="L342" s="282">
        <v>82.520671171527766</v>
      </c>
      <c r="M342" s="282">
        <v>83.52330648277777</v>
      </c>
      <c r="N342" s="282">
        <v>84.479372531944449</v>
      </c>
      <c r="O342" s="282">
        <v>84.879497433333341</v>
      </c>
      <c r="P342" s="282">
        <v>83.767338379999984</v>
      </c>
      <c r="Q342" s="282">
        <v>82.113387391458332</v>
      </c>
      <c r="R342" s="283">
        <v>80.106411695833316</v>
      </c>
      <c r="S342" s="284">
        <v>914.63650671673599</v>
      </c>
      <c r="T342" s="284">
        <v>499.29049928416657</v>
      </c>
      <c r="U342" s="296">
        <f t="shared" si="10"/>
        <v>-3.1524932832642207</v>
      </c>
      <c r="V342" s="296">
        <f t="shared" si="11"/>
        <v>-0.50350071583341105</v>
      </c>
      <c r="W342" s="287">
        <v>87</v>
      </c>
      <c r="X342" s="280">
        <v>85</v>
      </c>
      <c r="Y342" s="280">
        <v>84</v>
      </c>
      <c r="Z342" s="280">
        <v>82</v>
      </c>
      <c r="AA342" s="280">
        <v>79</v>
      </c>
      <c r="AB342" s="280">
        <v>78</v>
      </c>
      <c r="AC342" s="280">
        <v>78</v>
      </c>
      <c r="AD342" s="280">
        <v>79</v>
      </c>
      <c r="AE342" s="280">
        <v>78</v>
      </c>
      <c r="AF342" s="280">
        <v>76</v>
      </c>
      <c r="AG342" s="280">
        <v>74</v>
      </c>
      <c r="AH342" s="280">
        <v>74</v>
      </c>
    </row>
    <row r="343" spans="1:34" s="1" customFormat="1" ht="13" x14ac:dyDescent="0.25">
      <c r="A343" s="280" t="s">
        <v>885</v>
      </c>
      <c r="B343" s="286">
        <v>442</v>
      </c>
      <c r="C343" s="286">
        <v>727.875</v>
      </c>
      <c r="D343" s="286">
        <v>1013.7500000000001</v>
      </c>
      <c r="E343" s="286">
        <v>2</v>
      </c>
      <c r="F343" s="281">
        <v>2</v>
      </c>
      <c r="G343" s="282">
        <v>80.489678562500004</v>
      </c>
      <c r="H343" s="282">
        <v>82.017352968749989</v>
      </c>
      <c r="I343" s="282">
        <v>83.755960579166683</v>
      </c>
      <c r="J343" s="282">
        <v>85.998771806666667</v>
      </c>
      <c r="K343" s="282">
        <v>84.144436275277783</v>
      </c>
      <c r="L343" s="282">
        <v>84.368046171527766</v>
      </c>
      <c r="M343" s="282">
        <v>85.883056482777775</v>
      </c>
      <c r="N343" s="282">
        <v>87.351497531944446</v>
      </c>
      <c r="O343" s="282">
        <v>88.317153683333345</v>
      </c>
      <c r="P343" s="282">
        <v>87.770525879999994</v>
      </c>
      <c r="Q343" s="282">
        <v>86.68210614145832</v>
      </c>
      <c r="R343" s="283">
        <v>85.24066169583331</v>
      </c>
      <c r="S343" s="284">
        <v>941.52956921673615</v>
      </c>
      <c r="T343" s="284">
        <v>506.16762428416666</v>
      </c>
      <c r="U343" s="296">
        <f t="shared" si="10"/>
        <v>23.740569216735935</v>
      </c>
      <c r="V343" s="296">
        <f t="shared" si="11"/>
        <v>6.3736242841666808</v>
      </c>
      <c r="W343" s="287">
        <v>87</v>
      </c>
      <c r="X343" s="280">
        <v>85</v>
      </c>
      <c r="Y343" s="280">
        <v>85</v>
      </c>
      <c r="Z343" s="280">
        <v>84</v>
      </c>
      <c r="AA343" s="280">
        <v>82</v>
      </c>
      <c r="AB343" s="280">
        <v>82</v>
      </c>
      <c r="AC343" s="280">
        <v>83</v>
      </c>
      <c r="AD343" s="280">
        <v>85</v>
      </c>
      <c r="AE343" s="280">
        <v>85</v>
      </c>
      <c r="AF343" s="280">
        <v>84</v>
      </c>
      <c r="AG343" s="280">
        <v>83</v>
      </c>
      <c r="AH343" s="280">
        <v>84</v>
      </c>
    </row>
    <row r="344" spans="1:34" s="1" customFormat="1" ht="13" x14ac:dyDescent="0.25">
      <c r="A344" s="280" t="s">
        <v>886</v>
      </c>
      <c r="B344" s="286">
        <v>442</v>
      </c>
      <c r="C344" s="286">
        <v>727.875</v>
      </c>
      <c r="D344" s="286">
        <v>1013.7500000000001</v>
      </c>
      <c r="E344" s="286">
        <v>2</v>
      </c>
      <c r="F344" s="281">
        <v>3</v>
      </c>
      <c r="G344" s="282">
        <v>80.489678562500004</v>
      </c>
      <c r="H344" s="282">
        <v>82.017352968749989</v>
      </c>
      <c r="I344" s="282">
        <v>84.200960579166676</v>
      </c>
      <c r="J344" s="282">
        <v>86.888771806666668</v>
      </c>
      <c r="K344" s="282">
        <v>85.479436275277777</v>
      </c>
      <c r="L344" s="282">
        <v>86.215421171527765</v>
      </c>
      <c r="M344" s="282">
        <v>88.24280648277778</v>
      </c>
      <c r="N344" s="282">
        <v>90.223622531944443</v>
      </c>
      <c r="O344" s="282">
        <v>91.754809933333348</v>
      </c>
      <c r="P344" s="282">
        <v>91.77371337999999</v>
      </c>
      <c r="Q344" s="282">
        <v>91.250824891458322</v>
      </c>
      <c r="R344" s="283">
        <v>90.374911695833319</v>
      </c>
      <c r="S344" s="284">
        <v>968.42263171673608</v>
      </c>
      <c r="T344" s="284">
        <v>513.04474928416653</v>
      </c>
      <c r="U344" s="296">
        <f t="shared" si="10"/>
        <v>50.633631716735863</v>
      </c>
      <c r="V344" s="296">
        <f t="shared" si="11"/>
        <v>13.250749284166545</v>
      </c>
      <c r="W344" s="287">
        <v>87</v>
      </c>
      <c r="X344" s="280">
        <v>85</v>
      </c>
      <c r="Y344" s="280">
        <v>86</v>
      </c>
      <c r="Z344" s="280">
        <v>86</v>
      </c>
      <c r="AA344" s="280">
        <v>85</v>
      </c>
      <c r="AB344" s="280">
        <v>86</v>
      </c>
      <c r="AC344" s="280">
        <v>88</v>
      </c>
      <c r="AD344" s="280">
        <v>91</v>
      </c>
      <c r="AE344" s="280">
        <v>92</v>
      </c>
      <c r="AF344" s="280">
        <v>92</v>
      </c>
      <c r="AG344" s="280">
        <v>92</v>
      </c>
      <c r="AH344" s="280">
        <v>94</v>
      </c>
    </row>
    <row r="345" spans="1:34" s="1" customFormat="1" ht="13" x14ac:dyDescent="0.25">
      <c r="A345" s="280" t="s">
        <v>887</v>
      </c>
      <c r="B345" s="286">
        <v>442</v>
      </c>
      <c r="C345" s="286">
        <v>727.875</v>
      </c>
      <c r="D345" s="286">
        <v>1013.7500000000001</v>
      </c>
      <c r="E345" s="286">
        <v>2</v>
      </c>
      <c r="F345" s="281">
        <v>4</v>
      </c>
      <c r="G345" s="282">
        <v>80.489678562500004</v>
      </c>
      <c r="H345" s="282">
        <v>82.017352968749989</v>
      </c>
      <c r="I345" s="282">
        <v>84.645960579166683</v>
      </c>
      <c r="J345" s="282">
        <v>87.778771806666668</v>
      </c>
      <c r="K345" s="282">
        <v>86.814436275277785</v>
      </c>
      <c r="L345" s="282">
        <v>88.062796171527765</v>
      </c>
      <c r="M345" s="282">
        <v>90.602556482777786</v>
      </c>
      <c r="N345" s="282">
        <v>93.09574753194444</v>
      </c>
      <c r="O345" s="282">
        <v>95.192466183333337</v>
      </c>
      <c r="P345" s="282">
        <v>95.776900879999985</v>
      </c>
      <c r="Q345" s="282">
        <v>95.819543641458324</v>
      </c>
      <c r="R345" s="283">
        <v>95.509161695833313</v>
      </c>
      <c r="S345" s="284">
        <v>995.31569421673601</v>
      </c>
      <c r="T345" s="284">
        <v>519.92187428416673</v>
      </c>
      <c r="U345" s="296">
        <f t="shared" si="10"/>
        <v>77.526694216735791</v>
      </c>
      <c r="V345" s="296">
        <f t="shared" si="11"/>
        <v>20.127874284166751</v>
      </c>
      <c r="W345" s="287">
        <v>87</v>
      </c>
      <c r="X345" s="280">
        <v>85</v>
      </c>
      <c r="Y345" s="280">
        <v>87</v>
      </c>
      <c r="Z345" s="280">
        <v>88</v>
      </c>
      <c r="AA345" s="280">
        <v>88</v>
      </c>
      <c r="AB345" s="280">
        <v>90</v>
      </c>
      <c r="AC345" s="280">
        <v>93</v>
      </c>
      <c r="AD345" s="280">
        <v>97</v>
      </c>
      <c r="AE345" s="280">
        <v>99</v>
      </c>
      <c r="AF345" s="280">
        <v>100</v>
      </c>
      <c r="AG345" s="280">
        <v>101</v>
      </c>
      <c r="AH345" s="280">
        <v>104</v>
      </c>
    </row>
    <row r="346" spans="1:34" s="1" customFormat="1" ht="13" x14ac:dyDescent="0.25">
      <c r="A346" s="280" t="s">
        <v>888</v>
      </c>
      <c r="B346" s="286">
        <v>442</v>
      </c>
      <c r="C346" s="286">
        <v>727.875</v>
      </c>
      <c r="D346" s="286">
        <v>1013.7500000000001</v>
      </c>
      <c r="E346" s="286">
        <v>2</v>
      </c>
      <c r="F346" s="281">
        <v>5</v>
      </c>
      <c r="G346" s="282">
        <v>80.489678562500004</v>
      </c>
      <c r="H346" s="282">
        <v>82.017352968749989</v>
      </c>
      <c r="I346" s="282">
        <v>85.090960579166676</v>
      </c>
      <c r="J346" s="282">
        <v>88.668771806666669</v>
      </c>
      <c r="K346" s="282">
        <v>88.149436275277779</v>
      </c>
      <c r="L346" s="282">
        <v>89.910171171527764</v>
      </c>
      <c r="M346" s="282">
        <v>92.962306482777777</v>
      </c>
      <c r="N346" s="282">
        <v>95.967872531944437</v>
      </c>
      <c r="O346" s="282">
        <v>98.630122433333341</v>
      </c>
      <c r="P346" s="282">
        <v>99.780088379999995</v>
      </c>
      <c r="Q346" s="282">
        <v>100.38826239145833</v>
      </c>
      <c r="R346" s="283">
        <v>100.64341169583332</v>
      </c>
      <c r="S346" s="284">
        <v>1022.2087567167359</v>
      </c>
      <c r="T346" s="284">
        <v>526.7989992841666</v>
      </c>
      <c r="U346" s="296">
        <f t="shared" si="10"/>
        <v>104.41975671673572</v>
      </c>
      <c r="V346" s="296">
        <f t="shared" si="11"/>
        <v>27.004999284166615</v>
      </c>
      <c r="W346" s="287">
        <v>87</v>
      </c>
      <c r="X346" s="280">
        <v>85</v>
      </c>
      <c r="Y346" s="280">
        <v>88</v>
      </c>
      <c r="Z346" s="280">
        <v>90</v>
      </c>
      <c r="AA346" s="280">
        <v>91</v>
      </c>
      <c r="AB346" s="280">
        <v>94</v>
      </c>
      <c r="AC346" s="280">
        <v>98</v>
      </c>
      <c r="AD346" s="280">
        <v>103</v>
      </c>
      <c r="AE346" s="280">
        <v>106</v>
      </c>
      <c r="AF346" s="280">
        <v>108</v>
      </c>
      <c r="AG346" s="280">
        <v>110</v>
      </c>
      <c r="AH346" s="280">
        <v>114</v>
      </c>
    </row>
    <row r="347" spans="1:34" s="1" customFormat="1" ht="13" x14ac:dyDescent="0.25">
      <c r="A347" s="280" t="s">
        <v>889</v>
      </c>
      <c r="B347" s="286">
        <v>442</v>
      </c>
      <c r="C347" s="286">
        <v>727.875</v>
      </c>
      <c r="D347" s="286">
        <v>1013.7500000000001</v>
      </c>
      <c r="E347" s="286">
        <v>3</v>
      </c>
      <c r="F347" s="281">
        <v>0</v>
      </c>
      <c r="G347" s="282">
        <v>80.489678562500004</v>
      </c>
      <c r="H347" s="282">
        <v>81.466690615972198</v>
      </c>
      <c r="I347" s="282">
        <v>81.999409606944454</v>
      </c>
      <c r="J347" s="282">
        <v>83.535232362222217</v>
      </c>
      <c r="K347" s="282">
        <v>80.723880719722203</v>
      </c>
      <c r="L347" s="282">
        <v>80.14440728263888</v>
      </c>
      <c r="M347" s="282">
        <v>80.73383426055554</v>
      </c>
      <c r="N347" s="282">
        <v>81.195025309722212</v>
      </c>
      <c r="O347" s="282">
        <v>80.940174516666644</v>
      </c>
      <c r="P347" s="282">
        <v>79.204150879999986</v>
      </c>
      <c r="Q347" s="282">
        <v>77.089668641458303</v>
      </c>
      <c r="R347" s="283">
        <v>74.462717251388881</v>
      </c>
      <c r="S347" s="284">
        <v>881.4951914472914</v>
      </c>
      <c r="T347" s="284">
        <v>488.60345484805555</v>
      </c>
      <c r="U347" s="296">
        <f t="shared" si="10"/>
        <v>-36.293808552708811</v>
      </c>
      <c r="V347" s="296">
        <f t="shared" si="11"/>
        <v>-11.190545151944434</v>
      </c>
      <c r="W347" s="287">
        <v>87</v>
      </c>
      <c r="X347" s="280">
        <v>85</v>
      </c>
      <c r="Y347" s="280">
        <v>83</v>
      </c>
      <c r="Z347" s="280">
        <v>80</v>
      </c>
      <c r="AA347" s="280">
        <v>76</v>
      </c>
      <c r="AB347" s="280">
        <v>74</v>
      </c>
      <c r="AC347" s="280">
        <v>73</v>
      </c>
      <c r="AD347" s="280">
        <v>73</v>
      </c>
      <c r="AE347" s="280">
        <v>71</v>
      </c>
      <c r="AF347" s="280">
        <v>68</v>
      </c>
      <c r="AG347" s="280">
        <v>65</v>
      </c>
      <c r="AH347" s="280">
        <v>64</v>
      </c>
    </row>
    <row r="348" spans="1:34" s="1" customFormat="1" ht="13" x14ac:dyDescent="0.25">
      <c r="A348" s="280" t="s">
        <v>890</v>
      </c>
      <c r="B348" s="286">
        <v>442</v>
      </c>
      <c r="C348" s="286">
        <v>727.875</v>
      </c>
      <c r="D348" s="286">
        <v>1013.7500000000001</v>
      </c>
      <c r="E348" s="286">
        <v>3</v>
      </c>
      <c r="F348" s="281">
        <v>1</v>
      </c>
      <c r="G348" s="282">
        <v>80.489678562500004</v>
      </c>
      <c r="H348" s="282">
        <v>81.466690615972198</v>
      </c>
      <c r="I348" s="282">
        <v>82.444409606944447</v>
      </c>
      <c r="J348" s="282">
        <v>84.425232362222232</v>
      </c>
      <c r="K348" s="282">
        <v>82.058880719722211</v>
      </c>
      <c r="L348" s="282">
        <v>81.99178228263888</v>
      </c>
      <c r="M348" s="282">
        <v>83.093584260555545</v>
      </c>
      <c r="N348" s="282">
        <v>84.067150309722223</v>
      </c>
      <c r="O348" s="282">
        <v>84.377830766666662</v>
      </c>
      <c r="P348" s="282">
        <v>83.207338380000024</v>
      </c>
      <c r="Q348" s="282">
        <v>81.658387391458319</v>
      </c>
      <c r="R348" s="283">
        <v>79.596967251388875</v>
      </c>
      <c r="S348" s="284">
        <v>908.38825394729156</v>
      </c>
      <c r="T348" s="284">
        <v>495.48057984805553</v>
      </c>
      <c r="U348" s="296">
        <f t="shared" si="10"/>
        <v>-9.400746052708655</v>
      </c>
      <c r="V348" s="296">
        <f t="shared" si="11"/>
        <v>-4.3134201519444559</v>
      </c>
      <c r="W348" s="287">
        <v>87</v>
      </c>
      <c r="X348" s="280">
        <v>85</v>
      </c>
      <c r="Y348" s="280">
        <v>84</v>
      </c>
      <c r="Z348" s="280">
        <v>82</v>
      </c>
      <c r="AA348" s="280">
        <v>79</v>
      </c>
      <c r="AB348" s="280">
        <v>78</v>
      </c>
      <c r="AC348" s="280">
        <v>78</v>
      </c>
      <c r="AD348" s="280">
        <v>79</v>
      </c>
      <c r="AE348" s="280">
        <v>78</v>
      </c>
      <c r="AF348" s="280">
        <v>76</v>
      </c>
      <c r="AG348" s="280">
        <v>74</v>
      </c>
      <c r="AH348" s="280">
        <v>74</v>
      </c>
    </row>
    <row r="349" spans="1:34" s="1" customFormat="1" ht="13" x14ac:dyDescent="0.25">
      <c r="A349" s="280" t="s">
        <v>891</v>
      </c>
      <c r="B349" s="286">
        <v>442</v>
      </c>
      <c r="C349" s="286">
        <v>727.875</v>
      </c>
      <c r="D349" s="286">
        <v>1013.7500000000001</v>
      </c>
      <c r="E349" s="286">
        <v>3</v>
      </c>
      <c r="F349" s="281">
        <v>2</v>
      </c>
      <c r="G349" s="282">
        <v>80.489678562500004</v>
      </c>
      <c r="H349" s="282">
        <v>81.466690615972198</v>
      </c>
      <c r="I349" s="282">
        <v>82.889409606944454</v>
      </c>
      <c r="J349" s="282">
        <v>85.315232362222233</v>
      </c>
      <c r="K349" s="282">
        <v>83.393880719722219</v>
      </c>
      <c r="L349" s="282">
        <v>83.839157282638865</v>
      </c>
      <c r="M349" s="282">
        <v>85.45333426055555</v>
      </c>
      <c r="N349" s="282">
        <v>86.939275309722234</v>
      </c>
      <c r="O349" s="282">
        <v>87.815487016666651</v>
      </c>
      <c r="P349" s="282">
        <v>87.21052588000002</v>
      </c>
      <c r="Q349" s="282">
        <v>86.227106141458322</v>
      </c>
      <c r="R349" s="283">
        <v>84.73121725138887</v>
      </c>
      <c r="S349" s="284">
        <v>935.28131644729172</v>
      </c>
      <c r="T349" s="284">
        <v>502.35770484805556</v>
      </c>
      <c r="U349" s="296">
        <f t="shared" si="10"/>
        <v>17.4923164472915</v>
      </c>
      <c r="V349" s="296">
        <f t="shared" si="11"/>
        <v>2.5637048480555791</v>
      </c>
      <c r="W349" s="287">
        <v>87</v>
      </c>
      <c r="X349" s="280">
        <v>85</v>
      </c>
      <c r="Y349" s="280">
        <v>85</v>
      </c>
      <c r="Z349" s="280">
        <v>84</v>
      </c>
      <c r="AA349" s="280">
        <v>82</v>
      </c>
      <c r="AB349" s="280">
        <v>82</v>
      </c>
      <c r="AC349" s="280">
        <v>83</v>
      </c>
      <c r="AD349" s="280">
        <v>85</v>
      </c>
      <c r="AE349" s="280">
        <v>85</v>
      </c>
      <c r="AF349" s="280">
        <v>84</v>
      </c>
      <c r="AG349" s="280">
        <v>83</v>
      </c>
      <c r="AH349" s="280">
        <v>84</v>
      </c>
    </row>
    <row r="350" spans="1:34" s="1" customFormat="1" ht="13" x14ac:dyDescent="0.25">
      <c r="A350" s="280" t="s">
        <v>892</v>
      </c>
      <c r="B350" s="286">
        <v>442</v>
      </c>
      <c r="C350" s="286">
        <v>727.875</v>
      </c>
      <c r="D350" s="286">
        <v>1013.7500000000001</v>
      </c>
      <c r="E350" s="286">
        <v>3</v>
      </c>
      <c r="F350" s="281">
        <v>3</v>
      </c>
      <c r="G350" s="282">
        <v>80.489678562500004</v>
      </c>
      <c r="H350" s="282">
        <v>81.466690615972198</v>
      </c>
      <c r="I350" s="282">
        <v>83.334409606944448</v>
      </c>
      <c r="J350" s="282">
        <v>86.205232362222233</v>
      </c>
      <c r="K350" s="282">
        <v>84.728880719722227</v>
      </c>
      <c r="L350" s="282">
        <v>85.686532282638865</v>
      </c>
      <c r="M350" s="282">
        <v>87.81308426055557</v>
      </c>
      <c r="N350" s="282">
        <v>89.811400309722231</v>
      </c>
      <c r="O350" s="282">
        <v>91.253143266666669</v>
      </c>
      <c r="P350" s="282">
        <v>91.213713379999987</v>
      </c>
      <c r="Q350" s="282">
        <v>90.795824891458324</v>
      </c>
      <c r="R350" s="283">
        <v>89.865467251388864</v>
      </c>
      <c r="S350" s="284">
        <v>962.17437894729164</v>
      </c>
      <c r="T350" s="284">
        <v>509.2348298480556</v>
      </c>
      <c r="U350" s="296">
        <f t="shared" si="10"/>
        <v>44.385378947291429</v>
      </c>
      <c r="V350" s="296">
        <f t="shared" si="11"/>
        <v>9.4408298480556141</v>
      </c>
      <c r="W350" s="287">
        <v>87</v>
      </c>
      <c r="X350" s="280">
        <v>85</v>
      </c>
      <c r="Y350" s="280">
        <v>86</v>
      </c>
      <c r="Z350" s="280">
        <v>86</v>
      </c>
      <c r="AA350" s="280">
        <v>85</v>
      </c>
      <c r="AB350" s="280">
        <v>86</v>
      </c>
      <c r="AC350" s="280">
        <v>88</v>
      </c>
      <c r="AD350" s="280">
        <v>91</v>
      </c>
      <c r="AE350" s="280">
        <v>92</v>
      </c>
      <c r="AF350" s="280">
        <v>92</v>
      </c>
      <c r="AG350" s="280">
        <v>92</v>
      </c>
      <c r="AH350" s="280">
        <v>94</v>
      </c>
    </row>
    <row r="351" spans="1:34" s="1" customFormat="1" ht="13" x14ac:dyDescent="0.25">
      <c r="A351" s="280" t="s">
        <v>893</v>
      </c>
      <c r="B351" s="286">
        <v>442</v>
      </c>
      <c r="C351" s="286">
        <v>727.875</v>
      </c>
      <c r="D351" s="286">
        <v>1013.7500000000001</v>
      </c>
      <c r="E351" s="286">
        <v>3</v>
      </c>
      <c r="F351" s="281">
        <v>4</v>
      </c>
      <c r="G351" s="282">
        <v>80.489678562500004</v>
      </c>
      <c r="H351" s="282">
        <v>81.466690615972198</v>
      </c>
      <c r="I351" s="282">
        <v>83.779409606944441</v>
      </c>
      <c r="J351" s="282">
        <v>87.095232362222234</v>
      </c>
      <c r="K351" s="282">
        <v>86.063880719722221</v>
      </c>
      <c r="L351" s="282">
        <v>87.533907282638864</v>
      </c>
      <c r="M351" s="282">
        <v>90.172834260555561</v>
      </c>
      <c r="N351" s="282">
        <v>92.683525309722242</v>
      </c>
      <c r="O351" s="282">
        <v>94.690799516666672</v>
      </c>
      <c r="P351" s="282">
        <v>95.216900879999983</v>
      </c>
      <c r="Q351" s="282">
        <v>95.364543641458326</v>
      </c>
      <c r="R351" s="283">
        <v>94.999717251388859</v>
      </c>
      <c r="S351" s="284">
        <v>989.06744144729169</v>
      </c>
      <c r="T351" s="284">
        <v>516.11195484805557</v>
      </c>
      <c r="U351" s="296">
        <f t="shared" si="10"/>
        <v>71.27844144729147</v>
      </c>
      <c r="V351" s="296">
        <f t="shared" si="11"/>
        <v>16.317954848055592</v>
      </c>
      <c r="W351" s="287">
        <v>87</v>
      </c>
      <c r="X351" s="280">
        <v>85</v>
      </c>
      <c r="Y351" s="280">
        <v>87</v>
      </c>
      <c r="Z351" s="280">
        <v>88</v>
      </c>
      <c r="AA351" s="280">
        <v>88</v>
      </c>
      <c r="AB351" s="280">
        <v>90</v>
      </c>
      <c r="AC351" s="280">
        <v>93</v>
      </c>
      <c r="AD351" s="280">
        <v>97</v>
      </c>
      <c r="AE351" s="280">
        <v>99</v>
      </c>
      <c r="AF351" s="280">
        <v>100</v>
      </c>
      <c r="AG351" s="280">
        <v>101</v>
      </c>
      <c r="AH351" s="280">
        <v>104</v>
      </c>
    </row>
    <row r="352" spans="1:34" s="1" customFormat="1" ht="13" x14ac:dyDescent="0.25">
      <c r="A352" s="280" t="s">
        <v>894</v>
      </c>
      <c r="B352" s="286">
        <v>442</v>
      </c>
      <c r="C352" s="286">
        <v>727.875</v>
      </c>
      <c r="D352" s="286">
        <v>1013.7500000000001</v>
      </c>
      <c r="E352" s="286">
        <v>3</v>
      </c>
      <c r="F352" s="281">
        <v>5</v>
      </c>
      <c r="G352" s="282">
        <v>80.489678562500004</v>
      </c>
      <c r="H352" s="282">
        <v>81.466690615972198</v>
      </c>
      <c r="I352" s="282">
        <v>84.224409606944448</v>
      </c>
      <c r="J352" s="282">
        <v>87.985232362222234</v>
      </c>
      <c r="K352" s="282">
        <v>87.398880719722214</v>
      </c>
      <c r="L352" s="282">
        <v>89.381282282638878</v>
      </c>
      <c r="M352" s="282">
        <v>92.532584260555566</v>
      </c>
      <c r="N352" s="282">
        <v>95.555650309722239</v>
      </c>
      <c r="O352" s="282">
        <v>98.128455766666676</v>
      </c>
      <c r="P352" s="282">
        <v>99.220088379999993</v>
      </c>
      <c r="Q352" s="282">
        <v>99.933262391458328</v>
      </c>
      <c r="R352" s="283">
        <v>100.13396725138887</v>
      </c>
      <c r="S352" s="284">
        <v>1015.9605039472917</v>
      </c>
      <c r="T352" s="284">
        <v>522.98907984805555</v>
      </c>
      <c r="U352" s="296">
        <f t="shared" si="10"/>
        <v>98.171503947291512</v>
      </c>
      <c r="V352" s="296">
        <f t="shared" si="11"/>
        <v>23.19507984805557</v>
      </c>
      <c r="W352" s="287">
        <v>87</v>
      </c>
      <c r="X352" s="280">
        <v>85</v>
      </c>
      <c r="Y352" s="280">
        <v>88</v>
      </c>
      <c r="Z352" s="280">
        <v>90</v>
      </c>
      <c r="AA352" s="280">
        <v>91</v>
      </c>
      <c r="AB352" s="280">
        <v>94</v>
      </c>
      <c r="AC352" s="280">
        <v>98</v>
      </c>
      <c r="AD352" s="280">
        <v>103</v>
      </c>
      <c r="AE352" s="280">
        <v>106</v>
      </c>
      <c r="AF352" s="280">
        <v>108</v>
      </c>
      <c r="AG352" s="280">
        <v>110</v>
      </c>
      <c r="AH352" s="280">
        <v>114</v>
      </c>
    </row>
    <row r="353" spans="1:34" s="1" customFormat="1" ht="13" x14ac:dyDescent="0.25">
      <c r="A353" s="280" t="s">
        <v>895</v>
      </c>
      <c r="B353" s="286">
        <v>442</v>
      </c>
      <c r="C353" s="286">
        <v>727.875</v>
      </c>
      <c r="D353" s="286">
        <v>1013.7500000000001</v>
      </c>
      <c r="E353" s="286">
        <v>4</v>
      </c>
      <c r="F353" s="281">
        <v>0</v>
      </c>
      <c r="G353" s="282">
        <v>80.489678562500004</v>
      </c>
      <c r="H353" s="282">
        <v>81.170684477083313</v>
      </c>
      <c r="I353" s="282">
        <v>81.488651245833324</v>
      </c>
      <c r="J353" s="282">
        <v>82.87216613999999</v>
      </c>
      <c r="K353" s="282">
        <v>80.100531525277773</v>
      </c>
      <c r="L353" s="282">
        <v>79.563167671527779</v>
      </c>
      <c r="M353" s="282">
        <v>80.262306482777774</v>
      </c>
      <c r="N353" s="282">
        <v>80.813914198611087</v>
      </c>
      <c r="O353" s="282">
        <v>80.491007849999988</v>
      </c>
      <c r="P353" s="282">
        <v>78.702484213333335</v>
      </c>
      <c r="Q353" s="282">
        <v>76.553001974791655</v>
      </c>
      <c r="R353" s="283">
        <v>73.986328362499989</v>
      </c>
      <c r="S353" s="284">
        <v>876.00424414173597</v>
      </c>
      <c r="T353" s="284">
        <v>485.45750754249991</v>
      </c>
      <c r="U353" s="296">
        <f t="shared" si="10"/>
        <v>-41.784755858264248</v>
      </c>
      <c r="V353" s="296">
        <f t="shared" si="11"/>
        <v>-14.336492457500071</v>
      </c>
      <c r="W353" s="287">
        <v>87</v>
      </c>
      <c r="X353" s="280">
        <v>85</v>
      </c>
      <c r="Y353" s="280">
        <v>83</v>
      </c>
      <c r="Z353" s="280">
        <v>80</v>
      </c>
      <c r="AA353" s="280">
        <v>76</v>
      </c>
      <c r="AB353" s="280">
        <v>74</v>
      </c>
      <c r="AC353" s="280">
        <v>73</v>
      </c>
      <c r="AD353" s="280">
        <v>73</v>
      </c>
      <c r="AE353" s="280">
        <v>71</v>
      </c>
      <c r="AF353" s="280">
        <v>68</v>
      </c>
      <c r="AG353" s="280">
        <v>65</v>
      </c>
      <c r="AH353" s="280">
        <v>64</v>
      </c>
    </row>
    <row r="354" spans="1:34" s="1" customFormat="1" ht="13" x14ac:dyDescent="0.25">
      <c r="A354" s="280" t="s">
        <v>896</v>
      </c>
      <c r="B354" s="286">
        <v>442</v>
      </c>
      <c r="C354" s="286">
        <v>727.875</v>
      </c>
      <c r="D354" s="286">
        <v>1013.7500000000001</v>
      </c>
      <c r="E354" s="286">
        <v>4</v>
      </c>
      <c r="F354" s="281">
        <v>1</v>
      </c>
      <c r="G354" s="282">
        <v>80.489678562500004</v>
      </c>
      <c r="H354" s="282">
        <v>81.170684477083313</v>
      </c>
      <c r="I354" s="282">
        <v>81.933651245833332</v>
      </c>
      <c r="J354" s="282">
        <v>83.762166140000005</v>
      </c>
      <c r="K354" s="282">
        <v>81.435531525277767</v>
      </c>
      <c r="L354" s="282">
        <v>81.410542671527779</v>
      </c>
      <c r="M354" s="282">
        <v>82.622056482777765</v>
      </c>
      <c r="N354" s="282">
        <v>83.686039198611098</v>
      </c>
      <c r="O354" s="282">
        <v>83.928664100000006</v>
      </c>
      <c r="P354" s="282">
        <v>82.705671713333331</v>
      </c>
      <c r="Q354" s="282">
        <v>81.121720724791643</v>
      </c>
      <c r="R354" s="283">
        <v>79.120578362499984</v>
      </c>
      <c r="S354" s="284">
        <v>902.8973066417359</v>
      </c>
      <c r="T354" s="284">
        <v>492.33463254249989</v>
      </c>
      <c r="U354" s="296">
        <f t="shared" si="10"/>
        <v>-14.89169335826432</v>
      </c>
      <c r="V354" s="296">
        <f t="shared" si="11"/>
        <v>-7.4593674575000932</v>
      </c>
      <c r="W354" s="287">
        <v>87</v>
      </c>
      <c r="X354" s="280">
        <v>85</v>
      </c>
      <c r="Y354" s="280">
        <v>84</v>
      </c>
      <c r="Z354" s="280">
        <v>82</v>
      </c>
      <c r="AA354" s="280">
        <v>79</v>
      </c>
      <c r="AB354" s="280">
        <v>78</v>
      </c>
      <c r="AC354" s="280">
        <v>78</v>
      </c>
      <c r="AD354" s="280">
        <v>79</v>
      </c>
      <c r="AE354" s="280">
        <v>78</v>
      </c>
      <c r="AF354" s="280">
        <v>76</v>
      </c>
      <c r="AG354" s="280">
        <v>74</v>
      </c>
      <c r="AH354" s="280">
        <v>74</v>
      </c>
    </row>
    <row r="355" spans="1:34" s="1" customFormat="1" ht="13" x14ac:dyDescent="0.25">
      <c r="A355" s="280" t="s">
        <v>897</v>
      </c>
      <c r="B355" s="286">
        <v>442</v>
      </c>
      <c r="C355" s="286">
        <v>727.875</v>
      </c>
      <c r="D355" s="286">
        <v>1013.7500000000001</v>
      </c>
      <c r="E355" s="286">
        <v>4</v>
      </c>
      <c r="F355" s="281">
        <v>2</v>
      </c>
      <c r="G355" s="282">
        <v>80.489678562500004</v>
      </c>
      <c r="H355" s="282">
        <v>81.170684477083313</v>
      </c>
      <c r="I355" s="282">
        <v>82.378651245833325</v>
      </c>
      <c r="J355" s="282">
        <v>84.652166140000006</v>
      </c>
      <c r="K355" s="282">
        <v>82.770531525277761</v>
      </c>
      <c r="L355" s="282">
        <v>83.257917671527778</v>
      </c>
      <c r="M355" s="282">
        <v>84.98180648277777</v>
      </c>
      <c r="N355" s="282">
        <v>86.558164198611095</v>
      </c>
      <c r="O355" s="282">
        <v>87.366320349999995</v>
      </c>
      <c r="P355" s="282">
        <v>86.708859213333326</v>
      </c>
      <c r="Q355" s="282">
        <v>85.69043947479166</v>
      </c>
      <c r="R355" s="283">
        <v>84.254828362500007</v>
      </c>
      <c r="S355" s="284">
        <v>929.79036914173605</v>
      </c>
      <c r="T355" s="284">
        <v>499.21175754249992</v>
      </c>
      <c r="U355" s="296">
        <f t="shared" si="10"/>
        <v>12.001369141735836</v>
      </c>
      <c r="V355" s="296">
        <f t="shared" si="11"/>
        <v>-0.58224245750005821</v>
      </c>
      <c r="W355" s="287">
        <v>87</v>
      </c>
      <c r="X355" s="280">
        <v>85</v>
      </c>
      <c r="Y355" s="280">
        <v>85</v>
      </c>
      <c r="Z355" s="280">
        <v>84</v>
      </c>
      <c r="AA355" s="280">
        <v>82</v>
      </c>
      <c r="AB355" s="280">
        <v>82</v>
      </c>
      <c r="AC355" s="280">
        <v>83</v>
      </c>
      <c r="AD355" s="280">
        <v>85</v>
      </c>
      <c r="AE355" s="280">
        <v>85</v>
      </c>
      <c r="AF355" s="280">
        <v>84</v>
      </c>
      <c r="AG355" s="280">
        <v>83</v>
      </c>
      <c r="AH355" s="280">
        <v>84</v>
      </c>
    </row>
    <row r="356" spans="1:34" s="1" customFormat="1" ht="13" x14ac:dyDescent="0.25">
      <c r="A356" s="280" t="s">
        <v>898</v>
      </c>
      <c r="B356" s="286">
        <v>442</v>
      </c>
      <c r="C356" s="286">
        <v>727.875</v>
      </c>
      <c r="D356" s="286">
        <v>1013.7500000000001</v>
      </c>
      <c r="E356" s="286">
        <v>4</v>
      </c>
      <c r="F356" s="281">
        <v>3</v>
      </c>
      <c r="G356" s="282">
        <v>80.489678562500004</v>
      </c>
      <c r="H356" s="282">
        <v>81.170684477083313</v>
      </c>
      <c r="I356" s="282">
        <v>82.823651245833332</v>
      </c>
      <c r="J356" s="282">
        <v>85.542166140000006</v>
      </c>
      <c r="K356" s="282">
        <v>84.105531525277783</v>
      </c>
      <c r="L356" s="282">
        <v>85.105292671527764</v>
      </c>
      <c r="M356" s="282">
        <v>87.341556482777762</v>
      </c>
      <c r="N356" s="282">
        <v>89.430289198611092</v>
      </c>
      <c r="O356" s="282">
        <v>90.803976600000013</v>
      </c>
      <c r="P356" s="282">
        <v>90.712046713333336</v>
      </c>
      <c r="Q356" s="282">
        <v>90.259158224791662</v>
      </c>
      <c r="R356" s="283">
        <v>89.389078362500001</v>
      </c>
      <c r="S356" s="284">
        <v>956.68343164173598</v>
      </c>
      <c r="T356" s="284">
        <v>506.08888254249996</v>
      </c>
      <c r="U356" s="296">
        <f t="shared" si="10"/>
        <v>38.894431641735764</v>
      </c>
      <c r="V356" s="296">
        <f t="shared" si="11"/>
        <v>6.2948825424999768</v>
      </c>
      <c r="W356" s="287">
        <v>87</v>
      </c>
      <c r="X356" s="280">
        <v>85</v>
      </c>
      <c r="Y356" s="280">
        <v>86</v>
      </c>
      <c r="Z356" s="280">
        <v>86</v>
      </c>
      <c r="AA356" s="280">
        <v>85</v>
      </c>
      <c r="AB356" s="280">
        <v>86</v>
      </c>
      <c r="AC356" s="280">
        <v>88</v>
      </c>
      <c r="AD356" s="280">
        <v>91</v>
      </c>
      <c r="AE356" s="280">
        <v>92</v>
      </c>
      <c r="AF356" s="280">
        <v>92</v>
      </c>
      <c r="AG356" s="280">
        <v>92</v>
      </c>
      <c r="AH356" s="280">
        <v>94</v>
      </c>
    </row>
    <row r="357" spans="1:34" s="1" customFormat="1" ht="13" x14ac:dyDescent="0.25">
      <c r="A357" s="280" t="s">
        <v>899</v>
      </c>
      <c r="B357" s="286">
        <v>442</v>
      </c>
      <c r="C357" s="286">
        <v>727.875</v>
      </c>
      <c r="D357" s="286">
        <v>1013.7500000000001</v>
      </c>
      <c r="E357" s="286">
        <v>4</v>
      </c>
      <c r="F357" s="281">
        <v>4</v>
      </c>
      <c r="G357" s="282">
        <v>80.489678562500004</v>
      </c>
      <c r="H357" s="282">
        <v>81.170684477083313</v>
      </c>
      <c r="I357" s="282">
        <v>83.268651245833325</v>
      </c>
      <c r="J357" s="282">
        <v>86.432166140000007</v>
      </c>
      <c r="K357" s="282">
        <v>85.440531525277777</v>
      </c>
      <c r="L357" s="282">
        <v>86.952667671527763</v>
      </c>
      <c r="M357" s="282">
        <v>89.701306482777781</v>
      </c>
      <c r="N357" s="282">
        <v>92.302414198611103</v>
      </c>
      <c r="O357" s="282">
        <v>94.241632850000016</v>
      </c>
      <c r="P357" s="282">
        <v>94.715234213333332</v>
      </c>
      <c r="Q357" s="282">
        <v>94.827876974791664</v>
      </c>
      <c r="R357" s="283">
        <v>94.523328362499996</v>
      </c>
      <c r="S357" s="284">
        <v>983.57649414173613</v>
      </c>
      <c r="T357" s="284">
        <v>512.96600754249994</v>
      </c>
      <c r="U357" s="296">
        <f t="shared" si="10"/>
        <v>65.78749414173592</v>
      </c>
      <c r="V357" s="296">
        <f t="shared" si="11"/>
        <v>13.172007542499955</v>
      </c>
      <c r="W357" s="287">
        <v>87</v>
      </c>
      <c r="X357" s="280">
        <v>85</v>
      </c>
      <c r="Y357" s="280">
        <v>87</v>
      </c>
      <c r="Z357" s="280">
        <v>88</v>
      </c>
      <c r="AA357" s="280">
        <v>88</v>
      </c>
      <c r="AB357" s="280">
        <v>90</v>
      </c>
      <c r="AC357" s="280">
        <v>93</v>
      </c>
      <c r="AD357" s="280">
        <v>97</v>
      </c>
      <c r="AE357" s="280">
        <v>99</v>
      </c>
      <c r="AF357" s="280">
        <v>100</v>
      </c>
      <c r="AG357" s="280">
        <v>101</v>
      </c>
      <c r="AH357" s="280">
        <v>104</v>
      </c>
    </row>
    <row r="358" spans="1:34" s="1" customFormat="1" ht="13" x14ac:dyDescent="0.25">
      <c r="A358" s="280" t="s">
        <v>900</v>
      </c>
      <c r="B358" s="286">
        <v>442</v>
      </c>
      <c r="C358" s="286">
        <v>727.875</v>
      </c>
      <c r="D358" s="286">
        <v>1013.7500000000001</v>
      </c>
      <c r="E358" s="286">
        <v>4</v>
      </c>
      <c r="F358" s="281">
        <v>5</v>
      </c>
      <c r="G358" s="282">
        <v>80.489678562500004</v>
      </c>
      <c r="H358" s="282">
        <v>81.170684477083313</v>
      </c>
      <c r="I358" s="282">
        <v>83.713651245833333</v>
      </c>
      <c r="J358" s="282">
        <v>87.322166140000007</v>
      </c>
      <c r="K358" s="282">
        <v>86.775531525277785</v>
      </c>
      <c r="L358" s="282">
        <v>88.800042671527763</v>
      </c>
      <c r="M358" s="282">
        <v>92.061056482777786</v>
      </c>
      <c r="N358" s="282">
        <v>95.1745391986111</v>
      </c>
      <c r="O358" s="282">
        <v>97.67928910000002</v>
      </c>
      <c r="P358" s="282">
        <v>98.718421713333328</v>
      </c>
      <c r="Q358" s="282">
        <v>99.396595724791666</v>
      </c>
      <c r="R358" s="283">
        <v>99.657578362500004</v>
      </c>
      <c r="S358" s="284">
        <v>1010.4695566417362</v>
      </c>
      <c r="T358" s="284">
        <v>519.84313254250003</v>
      </c>
      <c r="U358" s="296">
        <f t="shared" si="10"/>
        <v>92.680556641735961</v>
      </c>
      <c r="V358" s="296">
        <f t="shared" si="11"/>
        <v>20.049132542500047</v>
      </c>
      <c r="W358" s="287">
        <v>87</v>
      </c>
      <c r="X358" s="280">
        <v>85</v>
      </c>
      <c r="Y358" s="280">
        <v>88</v>
      </c>
      <c r="Z358" s="280">
        <v>90</v>
      </c>
      <c r="AA358" s="280">
        <v>91</v>
      </c>
      <c r="AB358" s="280">
        <v>94</v>
      </c>
      <c r="AC358" s="280">
        <v>98</v>
      </c>
      <c r="AD358" s="280">
        <v>103</v>
      </c>
      <c r="AE358" s="280">
        <v>106</v>
      </c>
      <c r="AF358" s="280">
        <v>108</v>
      </c>
      <c r="AG358" s="280">
        <v>110</v>
      </c>
      <c r="AH358" s="280">
        <v>114</v>
      </c>
    </row>
    <row r="359" spans="1:34" s="1" customFormat="1" ht="13" x14ac:dyDescent="0.25">
      <c r="A359" s="280" t="s">
        <v>901</v>
      </c>
      <c r="B359" s="286">
        <v>442</v>
      </c>
      <c r="C359" s="286">
        <v>727.875</v>
      </c>
      <c r="D359" s="286">
        <v>1013.7500000000001</v>
      </c>
      <c r="E359" s="286">
        <v>5</v>
      </c>
      <c r="F359" s="281">
        <v>0</v>
      </c>
      <c r="G359" s="282">
        <v>80.489678562500004</v>
      </c>
      <c r="H359" s="282">
        <v>80.986351143749985</v>
      </c>
      <c r="I359" s="282">
        <v>81.141475004166665</v>
      </c>
      <c r="J359" s="282">
        <v>82.389166139999986</v>
      </c>
      <c r="K359" s="282">
        <v>79.48809885861111</v>
      </c>
      <c r="L359" s="282">
        <v>79.039072671527762</v>
      </c>
      <c r="M359" s="282">
        <v>79.792723149444441</v>
      </c>
      <c r="N359" s="282">
        <v>80.379914198611104</v>
      </c>
      <c r="O359" s="282">
        <v>80.08150784999998</v>
      </c>
      <c r="P359" s="282">
        <v>78.242817546666657</v>
      </c>
      <c r="Q359" s="282">
        <v>76.053668641458316</v>
      </c>
      <c r="R359" s="283">
        <v>73.453161695833316</v>
      </c>
      <c r="S359" s="284">
        <v>871.04795690006927</v>
      </c>
      <c r="T359" s="284">
        <v>482.83688696749999</v>
      </c>
      <c r="U359" s="296">
        <f t="shared" si="10"/>
        <v>-46.741043099930948</v>
      </c>
      <c r="V359" s="296">
        <f t="shared" si="11"/>
        <v>-16.95711303249999</v>
      </c>
      <c r="W359" s="287">
        <v>87</v>
      </c>
      <c r="X359" s="280">
        <v>85</v>
      </c>
      <c r="Y359" s="280">
        <v>83</v>
      </c>
      <c r="Z359" s="280">
        <v>80</v>
      </c>
      <c r="AA359" s="280">
        <v>76</v>
      </c>
      <c r="AB359" s="280">
        <v>74</v>
      </c>
      <c r="AC359" s="280">
        <v>73</v>
      </c>
      <c r="AD359" s="280">
        <v>73</v>
      </c>
      <c r="AE359" s="280">
        <v>71</v>
      </c>
      <c r="AF359" s="280">
        <v>68</v>
      </c>
      <c r="AG359" s="280">
        <v>65</v>
      </c>
      <c r="AH359" s="280">
        <v>64</v>
      </c>
    </row>
    <row r="360" spans="1:34" s="1" customFormat="1" ht="13" x14ac:dyDescent="0.25">
      <c r="A360" s="280" t="s">
        <v>902</v>
      </c>
      <c r="B360" s="286">
        <v>442</v>
      </c>
      <c r="C360" s="286">
        <v>727.875</v>
      </c>
      <c r="D360" s="286">
        <v>1013.7500000000001</v>
      </c>
      <c r="E360" s="286">
        <v>5</v>
      </c>
      <c r="F360" s="281">
        <v>1</v>
      </c>
      <c r="G360" s="282">
        <v>80.489678562500004</v>
      </c>
      <c r="H360" s="282">
        <v>80.986351143749985</v>
      </c>
      <c r="I360" s="282">
        <v>81.586475004166672</v>
      </c>
      <c r="J360" s="282">
        <v>83.279166139999987</v>
      </c>
      <c r="K360" s="282">
        <v>80.823098858611104</v>
      </c>
      <c r="L360" s="282">
        <v>80.886447671527762</v>
      </c>
      <c r="M360" s="282">
        <v>82.152473149444447</v>
      </c>
      <c r="N360" s="282">
        <v>83.252039198611115</v>
      </c>
      <c r="O360" s="282">
        <v>83.519164099999998</v>
      </c>
      <c r="P360" s="282">
        <v>82.246005046666681</v>
      </c>
      <c r="Q360" s="282">
        <v>80.622387391458318</v>
      </c>
      <c r="R360" s="283">
        <v>78.58741169583331</v>
      </c>
      <c r="S360" s="284">
        <v>897.94101940006954</v>
      </c>
      <c r="T360" s="284">
        <v>489.71401196749997</v>
      </c>
      <c r="U360" s="296">
        <f t="shared" si="10"/>
        <v>-19.847980599930679</v>
      </c>
      <c r="V360" s="296">
        <f t="shared" si="11"/>
        <v>-10.079988032500012</v>
      </c>
      <c r="W360" s="287">
        <v>87</v>
      </c>
      <c r="X360" s="280">
        <v>85</v>
      </c>
      <c r="Y360" s="280">
        <v>84</v>
      </c>
      <c r="Z360" s="280">
        <v>82</v>
      </c>
      <c r="AA360" s="280">
        <v>79</v>
      </c>
      <c r="AB360" s="280">
        <v>78</v>
      </c>
      <c r="AC360" s="280">
        <v>78</v>
      </c>
      <c r="AD360" s="280">
        <v>79</v>
      </c>
      <c r="AE360" s="280">
        <v>78</v>
      </c>
      <c r="AF360" s="280">
        <v>76</v>
      </c>
      <c r="AG360" s="280">
        <v>74</v>
      </c>
      <c r="AH360" s="280">
        <v>74</v>
      </c>
    </row>
    <row r="361" spans="1:34" s="1" customFormat="1" ht="13" x14ac:dyDescent="0.25">
      <c r="A361" s="280" t="s">
        <v>903</v>
      </c>
      <c r="B361" s="286">
        <v>442</v>
      </c>
      <c r="C361" s="286">
        <v>727.875</v>
      </c>
      <c r="D361" s="286">
        <v>1013.7500000000001</v>
      </c>
      <c r="E361" s="286">
        <v>5</v>
      </c>
      <c r="F361" s="281">
        <v>2</v>
      </c>
      <c r="G361" s="282">
        <v>80.489678562500004</v>
      </c>
      <c r="H361" s="282">
        <v>80.986351143749985</v>
      </c>
      <c r="I361" s="282">
        <v>82.03147500416668</v>
      </c>
      <c r="J361" s="282">
        <v>84.169166140000002</v>
      </c>
      <c r="K361" s="282">
        <v>82.158098858611112</v>
      </c>
      <c r="L361" s="282">
        <v>82.733822671527761</v>
      </c>
      <c r="M361" s="282">
        <v>84.512223149444438</v>
      </c>
      <c r="N361" s="282">
        <v>86.124164198611112</v>
      </c>
      <c r="O361" s="282">
        <v>86.956820350000015</v>
      </c>
      <c r="P361" s="282">
        <v>86.249192546666677</v>
      </c>
      <c r="Q361" s="282">
        <v>85.191106141458334</v>
      </c>
      <c r="R361" s="283">
        <v>83.721661695833319</v>
      </c>
      <c r="S361" s="284">
        <v>924.83408190006946</v>
      </c>
      <c r="T361" s="284">
        <v>496.59113696750001</v>
      </c>
      <c r="U361" s="296">
        <f t="shared" si="10"/>
        <v>7.0450819000692491</v>
      </c>
      <c r="V361" s="296">
        <f t="shared" si="11"/>
        <v>-3.2028630324999767</v>
      </c>
      <c r="W361" s="287">
        <v>87</v>
      </c>
      <c r="X361" s="280">
        <v>85</v>
      </c>
      <c r="Y361" s="280">
        <v>85</v>
      </c>
      <c r="Z361" s="280">
        <v>84</v>
      </c>
      <c r="AA361" s="280">
        <v>82</v>
      </c>
      <c r="AB361" s="280">
        <v>82</v>
      </c>
      <c r="AC361" s="280">
        <v>83</v>
      </c>
      <c r="AD361" s="280">
        <v>85</v>
      </c>
      <c r="AE361" s="280">
        <v>85</v>
      </c>
      <c r="AF361" s="280">
        <v>84</v>
      </c>
      <c r="AG361" s="280">
        <v>83</v>
      </c>
      <c r="AH361" s="280">
        <v>84</v>
      </c>
    </row>
    <row r="362" spans="1:34" s="1" customFormat="1" ht="13" x14ac:dyDescent="0.25">
      <c r="A362" s="280" t="s">
        <v>904</v>
      </c>
      <c r="B362" s="286">
        <v>442</v>
      </c>
      <c r="C362" s="286">
        <v>727.875</v>
      </c>
      <c r="D362" s="286">
        <v>1013.7500000000001</v>
      </c>
      <c r="E362" s="286">
        <v>5</v>
      </c>
      <c r="F362" s="281">
        <v>3</v>
      </c>
      <c r="G362" s="282">
        <v>80.489678562500004</v>
      </c>
      <c r="H362" s="282">
        <v>80.986351143749985</v>
      </c>
      <c r="I362" s="282">
        <v>82.476475004166687</v>
      </c>
      <c r="J362" s="282">
        <v>85.059166140000002</v>
      </c>
      <c r="K362" s="282">
        <v>83.49309885861112</v>
      </c>
      <c r="L362" s="282">
        <v>84.581197671527747</v>
      </c>
      <c r="M362" s="282">
        <v>86.871973149444443</v>
      </c>
      <c r="N362" s="282">
        <v>88.996289198611095</v>
      </c>
      <c r="O362" s="282">
        <v>90.394476600000019</v>
      </c>
      <c r="P362" s="282">
        <v>90.252380046666644</v>
      </c>
      <c r="Q362" s="282">
        <v>89.759824891458322</v>
      </c>
      <c r="R362" s="283">
        <v>88.855911695833314</v>
      </c>
      <c r="S362" s="284">
        <v>951.72714440006939</v>
      </c>
      <c r="T362" s="284">
        <v>503.46826196749998</v>
      </c>
      <c r="U362" s="296">
        <f t="shared" si="10"/>
        <v>33.938144400069177</v>
      </c>
      <c r="V362" s="296">
        <f t="shared" si="11"/>
        <v>3.6742619675000014</v>
      </c>
      <c r="W362" s="287">
        <v>87</v>
      </c>
      <c r="X362" s="280">
        <v>85</v>
      </c>
      <c r="Y362" s="280">
        <v>86</v>
      </c>
      <c r="Z362" s="280">
        <v>86</v>
      </c>
      <c r="AA362" s="280">
        <v>85</v>
      </c>
      <c r="AB362" s="280">
        <v>86</v>
      </c>
      <c r="AC362" s="280">
        <v>88</v>
      </c>
      <c r="AD362" s="280">
        <v>91</v>
      </c>
      <c r="AE362" s="280">
        <v>92</v>
      </c>
      <c r="AF362" s="280">
        <v>92</v>
      </c>
      <c r="AG362" s="280">
        <v>92</v>
      </c>
      <c r="AH362" s="280">
        <v>94</v>
      </c>
    </row>
    <row r="363" spans="1:34" s="1" customFormat="1" ht="13" x14ac:dyDescent="0.25">
      <c r="A363" s="280" t="s">
        <v>905</v>
      </c>
      <c r="B363" s="286">
        <v>442</v>
      </c>
      <c r="C363" s="286">
        <v>727.875</v>
      </c>
      <c r="D363" s="286">
        <v>1013.7500000000001</v>
      </c>
      <c r="E363" s="286">
        <v>5</v>
      </c>
      <c r="F363" s="281">
        <v>4</v>
      </c>
      <c r="G363" s="282">
        <v>80.489678562500004</v>
      </c>
      <c r="H363" s="282">
        <v>80.986351143749985</v>
      </c>
      <c r="I363" s="282">
        <v>82.92147500416668</v>
      </c>
      <c r="J363" s="282">
        <v>85.949166140000003</v>
      </c>
      <c r="K363" s="282">
        <v>84.828098858611128</v>
      </c>
      <c r="L363" s="282">
        <v>86.428572671527746</v>
      </c>
      <c r="M363" s="282">
        <v>89.231723149444434</v>
      </c>
      <c r="N363" s="282">
        <v>91.868414198611106</v>
      </c>
      <c r="O363" s="282">
        <v>93.832132850000008</v>
      </c>
      <c r="P363" s="282">
        <v>94.25556754666664</v>
      </c>
      <c r="Q363" s="282">
        <v>94.328543641458324</v>
      </c>
      <c r="R363" s="283">
        <v>93.990161695833322</v>
      </c>
      <c r="S363" s="284">
        <v>978.62020690006932</v>
      </c>
      <c r="T363" s="284">
        <v>510.34538696749996</v>
      </c>
      <c r="U363" s="296">
        <f t="shared" si="10"/>
        <v>60.831206900069105</v>
      </c>
      <c r="V363" s="296">
        <f t="shared" si="11"/>
        <v>10.55138696749998</v>
      </c>
      <c r="W363" s="287">
        <v>87</v>
      </c>
      <c r="X363" s="280">
        <v>85</v>
      </c>
      <c r="Y363" s="280">
        <v>87</v>
      </c>
      <c r="Z363" s="280">
        <v>88</v>
      </c>
      <c r="AA363" s="280">
        <v>88</v>
      </c>
      <c r="AB363" s="280">
        <v>90</v>
      </c>
      <c r="AC363" s="280">
        <v>93</v>
      </c>
      <c r="AD363" s="280">
        <v>97</v>
      </c>
      <c r="AE363" s="280">
        <v>99</v>
      </c>
      <c r="AF363" s="280">
        <v>100</v>
      </c>
      <c r="AG363" s="280">
        <v>101</v>
      </c>
      <c r="AH363" s="280">
        <v>104</v>
      </c>
    </row>
    <row r="364" spans="1:34" s="1" customFormat="1" ht="13" x14ac:dyDescent="0.25">
      <c r="A364" s="280" t="s">
        <v>906</v>
      </c>
      <c r="B364" s="286">
        <v>442</v>
      </c>
      <c r="C364" s="286">
        <v>727.875</v>
      </c>
      <c r="D364" s="286">
        <v>1013.7500000000001</v>
      </c>
      <c r="E364" s="286">
        <v>5</v>
      </c>
      <c r="F364" s="281">
        <v>5</v>
      </c>
      <c r="G364" s="282">
        <v>80.489678562500004</v>
      </c>
      <c r="H364" s="282">
        <v>80.986351143749985</v>
      </c>
      <c r="I364" s="282">
        <v>83.366475004166688</v>
      </c>
      <c r="J364" s="282">
        <v>86.839166140000003</v>
      </c>
      <c r="K364" s="282">
        <v>86.163098858611121</v>
      </c>
      <c r="L364" s="282">
        <v>88.275947671527746</v>
      </c>
      <c r="M364" s="282">
        <v>91.59147314944444</v>
      </c>
      <c r="N364" s="282">
        <v>94.740539198611103</v>
      </c>
      <c r="O364" s="282">
        <v>97.269789100000011</v>
      </c>
      <c r="P364" s="282">
        <v>98.25875504666665</v>
      </c>
      <c r="Q364" s="282">
        <v>98.897262391458327</v>
      </c>
      <c r="R364" s="283">
        <v>99.124411695833317</v>
      </c>
      <c r="S364" s="284">
        <v>1005.5132694000695</v>
      </c>
      <c r="T364" s="284">
        <v>517.22251196750005</v>
      </c>
      <c r="U364" s="296">
        <f t="shared" si="10"/>
        <v>87.724269400069261</v>
      </c>
      <c r="V364" s="296">
        <f t="shared" si="11"/>
        <v>17.428511967500071</v>
      </c>
      <c r="W364" s="287">
        <v>87</v>
      </c>
      <c r="X364" s="280">
        <v>85</v>
      </c>
      <c r="Y364" s="280">
        <v>88</v>
      </c>
      <c r="Z364" s="280">
        <v>90</v>
      </c>
      <c r="AA364" s="280">
        <v>91</v>
      </c>
      <c r="AB364" s="280">
        <v>94</v>
      </c>
      <c r="AC364" s="280">
        <v>98</v>
      </c>
      <c r="AD364" s="280">
        <v>103</v>
      </c>
      <c r="AE364" s="280">
        <v>106</v>
      </c>
      <c r="AF364" s="280">
        <v>108</v>
      </c>
      <c r="AG364" s="280">
        <v>110</v>
      </c>
      <c r="AH364" s="280">
        <v>114</v>
      </c>
    </row>
    <row r="365" spans="1:34" s="1" customFormat="1" ht="13" x14ac:dyDescent="0.25">
      <c r="A365" s="280" t="s">
        <v>907</v>
      </c>
      <c r="B365" s="286">
        <v>442</v>
      </c>
      <c r="C365" s="286">
        <v>727.875</v>
      </c>
      <c r="D365" s="286">
        <v>1013.7500000000001</v>
      </c>
      <c r="E365" s="286">
        <v>1</v>
      </c>
      <c r="F365" s="281">
        <v>0</v>
      </c>
      <c r="G365" s="282">
        <v>80.489678562500004</v>
      </c>
      <c r="H365" s="282">
        <v>83.583515885416659</v>
      </c>
      <c r="I365" s="282">
        <v>84.241831245833339</v>
      </c>
      <c r="J365" s="282">
        <v>85.688123223333349</v>
      </c>
      <c r="K365" s="282">
        <v>82.643939775277772</v>
      </c>
      <c r="L365" s="282">
        <v>81.318921171527762</v>
      </c>
      <c r="M365" s="282">
        <v>81.862306482777768</v>
      </c>
      <c r="N365" s="282">
        <v>82.327872531944422</v>
      </c>
      <c r="O365" s="282">
        <v>82.353299516666652</v>
      </c>
      <c r="P365" s="282">
        <v>80.499984213333335</v>
      </c>
      <c r="Q365" s="282">
        <v>78.311751974791648</v>
      </c>
      <c r="R365" s="283">
        <v>75.82903669583331</v>
      </c>
      <c r="S365" s="284">
        <v>898.66058271673592</v>
      </c>
      <c r="T365" s="284">
        <v>499.33863778416662</v>
      </c>
      <c r="U365" s="296">
        <f t="shared" si="10"/>
        <v>-19.128417283264298</v>
      </c>
      <c r="V365" s="296">
        <f t="shared" si="11"/>
        <v>-0.45536221583336101</v>
      </c>
      <c r="W365" s="287">
        <v>87</v>
      </c>
      <c r="X365" s="280">
        <v>85</v>
      </c>
      <c r="Y365" s="280">
        <v>83</v>
      </c>
      <c r="Z365" s="280">
        <v>80</v>
      </c>
      <c r="AA365" s="280">
        <v>76</v>
      </c>
      <c r="AB365" s="280">
        <v>74</v>
      </c>
      <c r="AC365" s="280">
        <v>73</v>
      </c>
      <c r="AD365" s="280">
        <v>73</v>
      </c>
      <c r="AE365" s="280">
        <v>71</v>
      </c>
      <c r="AF365" s="280">
        <v>68</v>
      </c>
      <c r="AG365" s="280">
        <v>65</v>
      </c>
      <c r="AH365" s="280">
        <v>64</v>
      </c>
    </row>
    <row r="366" spans="1:34" s="1" customFormat="1" ht="13" x14ac:dyDescent="0.25">
      <c r="A366" s="280" t="s">
        <v>908</v>
      </c>
      <c r="B366" s="286">
        <v>442</v>
      </c>
      <c r="C366" s="286">
        <v>727.875</v>
      </c>
      <c r="D366" s="286">
        <v>1013.7500000000001</v>
      </c>
      <c r="E366" s="286">
        <v>1</v>
      </c>
      <c r="F366" s="281">
        <v>1</v>
      </c>
      <c r="G366" s="282">
        <v>80.489678562500004</v>
      </c>
      <c r="H366" s="282">
        <v>83.583515885416659</v>
      </c>
      <c r="I366" s="282">
        <v>84.686831245833332</v>
      </c>
      <c r="J366" s="282">
        <v>86.57812322333335</v>
      </c>
      <c r="K366" s="282">
        <v>83.978939775277794</v>
      </c>
      <c r="L366" s="282">
        <v>83.166296171527762</v>
      </c>
      <c r="M366" s="282">
        <v>84.222056482777788</v>
      </c>
      <c r="N366" s="282">
        <v>85.199997531944447</v>
      </c>
      <c r="O366" s="282">
        <v>85.791580766666669</v>
      </c>
      <c r="P366" s="282">
        <v>84.504421713333329</v>
      </c>
      <c r="Q366" s="282">
        <v>82.882345724791662</v>
      </c>
      <c r="R366" s="283">
        <v>80.965786695833316</v>
      </c>
      <c r="S366" s="284">
        <v>925.55989521673609</v>
      </c>
      <c r="T366" s="284">
        <v>506.21576278416671</v>
      </c>
      <c r="U366" s="296">
        <f t="shared" si="10"/>
        <v>7.7708952167358802</v>
      </c>
      <c r="V366" s="296">
        <f t="shared" si="11"/>
        <v>6.4217627841667309</v>
      </c>
      <c r="W366" s="287">
        <v>87</v>
      </c>
      <c r="X366" s="280">
        <v>85</v>
      </c>
      <c r="Y366" s="280">
        <v>84</v>
      </c>
      <c r="Z366" s="280">
        <v>82</v>
      </c>
      <c r="AA366" s="280">
        <v>79</v>
      </c>
      <c r="AB366" s="280">
        <v>78</v>
      </c>
      <c r="AC366" s="280">
        <v>78</v>
      </c>
      <c r="AD366" s="280">
        <v>79</v>
      </c>
      <c r="AE366" s="280">
        <v>78</v>
      </c>
      <c r="AF366" s="280">
        <v>76</v>
      </c>
      <c r="AG366" s="280">
        <v>74</v>
      </c>
      <c r="AH366" s="280">
        <v>74</v>
      </c>
    </row>
    <row r="367" spans="1:34" s="1" customFormat="1" ht="13" x14ac:dyDescent="0.25">
      <c r="A367" s="280" t="s">
        <v>909</v>
      </c>
      <c r="B367" s="286">
        <v>442</v>
      </c>
      <c r="C367" s="286">
        <v>727.875</v>
      </c>
      <c r="D367" s="286">
        <v>1013.7500000000001</v>
      </c>
      <c r="E367" s="286">
        <v>1</v>
      </c>
      <c r="F367" s="281">
        <v>2</v>
      </c>
      <c r="G367" s="282">
        <v>80.489678562500004</v>
      </c>
      <c r="H367" s="282">
        <v>83.583515885416659</v>
      </c>
      <c r="I367" s="282">
        <v>85.131831245833339</v>
      </c>
      <c r="J367" s="282">
        <v>87.468123223333336</v>
      </c>
      <c r="K367" s="282">
        <v>85.313939775277788</v>
      </c>
      <c r="L367" s="282">
        <v>85.013671171527761</v>
      </c>
      <c r="M367" s="282">
        <v>86.581806482777779</v>
      </c>
      <c r="N367" s="282">
        <v>88.072122531944444</v>
      </c>
      <c r="O367" s="282">
        <v>89.229862016666672</v>
      </c>
      <c r="P367" s="282">
        <v>88.508859213333338</v>
      </c>
      <c r="Q367" s="282">
        <v>87.452939474791663</v>
      </c>
      <c r="R367" s="283">
        <v>86.102536695833322</v>
      </c>
      <c r="S367" s="284">
        <v>952.45920771673627</v>
      </c>
      <c r="T367" s="284">
        <v>513.09288778416669</v>
      </c>
      <c r="U367" s="296">
        <f t="shared" si="10"/>
        <v>34.670207716736059</v>
      </c>
      <c r="V367" s="296">
        <f t="shared" si="11"/>
        <v>13.298887784166709</v>
      </c>
      <c r="W367" s="287">
        <v>87</v>
      </c>
      <c r="X367" s="280">
        <v>85</v>
      </c>
      <c r="Y367" s="280">
        <v>85</v>
      </c>
      <c r="Z367" s="280">
        <v>84</v>
      </c>
      <c r="AA367" s="280">
        <v>82</v>
      </c>
      <c r="AB367" s="280">
        <v>82</v>
      </c>
      <c r="AC367" s="280">
        <v>83</v>
      </c>
      <c r="AD367" s="280">
        <v>85</v>
      </c>
      <c r="AE367" s="280">
        <v>85</v>
      </c>
      <c r="AF367" s="280">
        <v>84</v>
      </c>
      <c r="AG367" s="280">
        <v>83</v>
      </c>
      <c r="AH367" s="280">
        <v>84</v>
      </c>
    </row>
    <row r="368" spans="1:34" s="1" customFormat="1" ht="13" x14ac:dyDescent="0.25">
      <c r="A368" s="280" t="s">
        <v>910</v>
      </c>
      <c r="B368" s="286">
        <v>442</v>
      </c>
      <c r="C368" s="286">
        <v>727.875</v>
      </c>
      <c r="D368" s="286">
        <v>1013.7500000000001</v>
      </c>
      <c r="E368" s="286">
        <v>1</v>
      </c>
      <c r="F368" s="281">
        <v>3</v>
      </c>
      <c r="G368" s="282">
        <v>80.489678562500004</v>
      </c>
      <c r="H368" s="282">
        <v>83.583515885416659</v>
      </c>
      <c r="I368" s="282">
        <v>85.576831245833333</v>
      </c>
      <c r="J368" s="282">
        <v>88.358123223333337</v>
      </c>
      <c r="K368" s="282">
        <v>86.648939775277796</v>
      </c>
      <c r="L368" s="282">
        <v>86.861046171527761</v>
      </c>
      <c r="M368" s="282">
        <v>88.941556482777798</v>
      </c>
      <c r="N368" s="282">
        <v>90.944247531944441</v>
      </c>
      <c r="O368" s="282">
        <v>92.668143266666675</v>
      </c>
      <c r="P368" s="282">
        <v>92.513296713333332</v>
      </c>
      <c r="Q368" s="282">
        <v>92.023533224791663</v>
      </c>
      <c r="R368" s="283">
        <v>91.239286695833314</v>
      </c>
      <c r="S368" s="284">
        <v>979.35852021673611</v>
      </c>
      <c r="T368" s="284">
        <v>519.97001278416656</v>
      </c>
      <c r="U368" s="296">
        <f t="shared" si="10"/>
        <v>61.569520216735896</v>
      </c>
      <c r="V368" s="296">
        <f t="shared" si="11"/>
        <v>20.176012784166574</v>
      </c>
      <c r="W368" s="287">
        <v>87</v>
      </c>
      <c r="X368" s="280">
        <v>85</v>
      </c>
      <c r="Y368" s="280">
        <v>86</v>
      </c>
      <c r="Z368" s="280">
        <v>86</v>
      </c>
      <c r="AA368" s="280">
        <v>85</v>
      </c>
      <c r="AB368" s="280">
        <v>86</v>
      </c>
      <c r="AC368" s="280">
        <v>88</v>
      </c>
      <c r="AD368" s="280">
        <v>91</v>
      </c>
      <c r="AE368" s="280">
        <v>92</v>
      </c>
      <c r="AF368" s="280">
        <v>92</v>
      </c>
      <c r="AG368" s="280">
        <v>92</v>
      </c>
      <c r="AH368" s="280">
        <v>94</v>
      </c>
    </row>
    <row r="369" spans="1:34" s="1" customFormat="1" ht="13" x14ac:dyDescent="0.25">
      <c r="A369" s="280" t="s">
        <v>911</v>
      </c>
      <c r="B369" s="286">
        <v>442</v>
      </c>
      <c r="C369" s="286">
        <v>727.875</v>
      </c>
      <c r="D369" s="286">
        <v>1013.7500000000001</v>
      </c>
      <c r="E369" s="286">
        <v>1</v>
      </c>
      <c r="F369" s="281">
        <v>4</v>
      </c>
      <c r="G369" s="282">
        <v>80.489678562500004</v>
      </c>
      <c r="H369" s="282">
        <v>83.583515885416659</v>
      </c>
      <c r="I369" s="282">
        <v>86.02183124583334</v>
      </c>
      <c r="J369" s="282">
        <v>89.248123223333323</v>
      </c>
      <c r="K369" s="282">
        <v>87.98393977527779</v>
      </c>
      <c r="L369" s="282">
        <v>88.70842117152776</v>
      </c>
      <c r="M369" s="282">
        <v>91.301306482777804</v>
      </c>
      <c r="N369" s="282">
        <v>93.816372531944438</v>
      </c>
      <c r="O369" s="282">
        <v>96.106424516666678</v>
      </c>
      <c r="P369" s="282">
        <v>96.517734213333327</v>
      </c>
      <c r="Q369" s="282">
        <v>96.594126974791664</v>
      </c>
      <c r="R369" s="283">
        <v>96.376036695833321</v>
      </c>
      <c r="S369" s="284">
        <v>1006.2578327167364</v>
      </c>
      <c r="T369" s="284">
        <v>526.84713778416676</v>
      </c>
      <c r="U369" s="296">
        <f t="shared" si="10"/>
        <v>88.468832716736188</v>
      </c>
      <c r="V369" s="296">
        <f t="shared" si="11"/>
        <v>27.053137784166779</v>
      </c>
      <c r="W369" s="287">
        <v>87</v>
      </c>
      <c r="X369" s="280">
        <v>85</v>
      </c>
      <c r="Y369" s="280">
        <v>87</v>
      </c>
      <c r="Z369" s="280">
        <v>88</v>
      </c>
      <c r="AA369" s="280">
        <v>88</v>
      </c>
      <c r="AB369" s="280">
        <v>90</v>
      </c>
      <c r="AC369" s="280">
        <v>93</v>
      </c>
      <c r="AD369" s="280">
        <v>97</v>
      </c>
      <c r="AE369" s="280">
        <v>99</v>
      </c>
      <c r="AF369" s="280">
        <v>100</v>
      </c>
      <c r="AG369" s="280">
        <v>101</v>
      </c>
      <c r="AH369" s="280">
        <v>104</v>
      </c>
    </row>
    <row r="370" spans="1:34" s="1" customFormat="1" ht="13" x14ac:dyDescent="0.25">
      <c r="A370" s="280" t="s">
        <v>912</v>
      </c>
      <c r="B370" s="286">
        <v>442</v>
      </c>
      <c r="C370" s="286">
        <v>727.875</v>
      </c>
      <c r="D370" s="286">
        <v>1013.7500000000001</v>
      </c>
      <c r="E370" s="286">
        <v>1</v>
      </c>
      <c r="F370" s="281">
        <v>5</v>
      </c>
      <c r="G370" s="282">
        <v>80.489678562500004</v>
      </c>
      <c r="H370" s="282">
        <v>83.583515885416659</v>
      </c>
      <c r="I370" s="282">
        <v>86.466831245833333</v>
      </c>
      <c r="J370" s="282">
        <v>90.138123223333324</v>
      </c>
      <c r="K370" s="282">
        <v>89.318939775277784</v>
      </c>
      <c r="L370" s="282">
        <v>90.555796171527774</v>
      </c>
      <c r="M370" s="282">
        <v>93.661056482777795</v>
      </c>
      <c r="N370" s="282">
        <v>96.688497531944435</v>
      </c>
      <c r="O370" s="282">
        <v>99.544705766666667</v>
      </c>
      <c r="P370" s="282">
        <v>100.52217171333334</v>
      </c>
      <c r="Q370" s="282">
        <v>101.16472072479166</v>
      </c>
      <c r="R370" s="283">
        <v>101.51278669583331</v>
      </c>
      <c r="S370" s="284">
        <v>1033.1571452167361</v>
      </c>
      <c r="T370" s="284">
        <v>533.72426278416674</v>
      </c>
      <c r="U370" s="296">
        <f t="shared" si="10"/>
        <v>115.36814521673591</v>
      </c>
      <c r="V370" s="296">
        <f t="shared" si="11"/>
        <v>33.930262784166757</v>
      </c>
      <c r="W370" s="287">
        <v>87</v>
      </c>
      <c r="X370" s="280">
        <v>85</v>
      </c>
      <c r="Y370" s="280">
        <v>88</v>
      </c>
      <c r="Z370" s="280">
        <v>90</v>
      </c>
      <c r="AA370" s="280">
        <v>91</v>
      </c>
      <c r="AB370" s="280">
        <v>94</v>
      </c>
      <c r="AC370" s="280">
        <v>98</v>
      </c>
      <c r="AD370" s="280">
        <v>103</v>
      </c>
      <c r="AE370" s="280">
        <v>106</v>
      </c>
      <c r="AF370" s="280">
        <v>108</v>
      </c>
      <c r="AG370" s="280">
        <v>110</v>
      </c>
      <c r="AH370" s="280">
        <v>114</v>
      </c>
    </row>
    <row r="371" spans="1:34" s="1" customFormat="1" ht="13" x14ac:dyDescent="0.25">
      <c r="A371" s="280" t="s">
        <v>913</v>
      </c>
      <c r="B371" s="286">
        <v>442</v>
      </c>
      <c r="C371" s="286">
        <v>727.875</v>
      </c>
      <c r="D371" s="286">
        <v>1013.7500000000001</v>
      </c>
      <c r="E371" s="286">
        <v>2</v>
      </c>
      <c r="F371" s="281">
        <v>0</v>
      </c>
      <c r="G371" s="282">
        <v>80.489678562500004</v>
      </c>
      <c r="H371" s="282">
        <v>82.210477968749998</v>
      </c>
      <c r="I371" s="282">
        <v>83.090674120833327</v>
      </c>
      <c r="J371" s="282">
        <v>84.475855140000007</v>
      </c>
      <c r="K371" s="282">
        <v>81.726207108611106</v>
      </c>
      <c r="L371" s="282">
        <v>80.927671171527763</v>
      </c>
      <c r="M371" s="282">
        <v>81.427150232777763</v>
      </c>
      <c r="N371" s="282">
        <v>81.88058086527775</v>
      </c>
      <c r="O371" s="282">
        <v>81.729445349999992</v>
      </c>
      <c r="P371" s="282">
        <v>80.052692546666663</v>
      </c>
      <c r="Q371" s="282">
        <v>77.829147808124986</v>
      </c>
      <c r="R371" s="283">
        <v>75.252265862499982</v>
      </c>
      <c r="S371" s="284">
        <v>890.60216817506921</v>
      </c>
      <c r="T371" s="284">
        <v>493.85803574249996</v>
      </c>
      <c r="U371" s="296">
        <f t="shared" si="10"/>
        <v>-27.186831824931005</v>
      </c>
      <c r="V371" s="296">
        <f t="shared" si="11"/>
        <v>-5.935964257500018</v>
      </c>
      <c r="W371" s="287">
        <v>87</v>
      </c>
      <c r="X371" s="280">
        <v>85</v>
      </c>
      <c r="Y371" s="280">
        <v>83</v>
      </c>
      <c r="Z371" s="280">
        <v>80</v>
      </c>
      <c r="AA371" s="280">
        <v>76</v>
      </c>
      <c r="AB371" s="280">
        <v>74</v>
      </c>
      <c r="AC371" s="280">
        <v>73</v>
      </c>
      <c r="AD371" s="280">
        <v>73</v>
      </c>
      <c r="AE371" s="280">
        <v>71</v>
      </c>
      <c r="AF371" s="280">
        <v>68</v>
      </c>
      <c r="AG371" s="280">
        <v>65</v>
      </c>
      <c r="AH371" s="280">
        <v>64</v>
      </c>
    </row>
    <row r="372" spans="1:34" s="1" customFormat="1" ht="13" x14ac:dyDescent="0.25">
      <c r="A372" s="280" t="s">
        <v>914</v>
      </c>
      <c r="B372" s="286">
        <v>442</v>
      </c>
      <c r="C372" s="286">
        <v>727.875</v>
      </c>
      <c r="D372" s="286">
        <v>1013.7500000000001</v>
      </c>
      <c r="E372" s="286">
        <v>2</v>
      </c>
      <c r="F372" s="281">
        <v>1</v>
      </c>
      <c r="G372" s="282">
        <v>80.489678562500004</v>
      </c>
      <c r="H372" s="282">
        <v>82.210477968749998</v>
      </c>
      <c r="I372" s="282">
        <v>83.53567412083332</v>
      </c>
      <c r="J372" s="282">
        <v>85.365855140000008</v>
      </c>
      <c r="K372" s="282">
        <v>83.061207108611114</v>
      </c>
      <c r="L372" s="282">
        <v>82.775046171527762</v>
      </c>
      <c r="M372" s="282">
        <v>83.786900232777768</v>
      </c>
      <c r="N372" s="282">
        <v>84.752705865277775</v>
      </c>
      <c r="O372" s="282">
        <v>85.167726599999995</v>
      </c>
      <c r="P372" s="282">
        <v>84.057130046666671</v>
      </c>
      <c r="Q372" s="282">
        <v>82.399741558125001</v>
      </c>
      <c r="R372" s="283">
        <v>80.389015862499988</v>
      </c>
      <c r="S372" s="284">
        <v>917.50148067506939</v>
      </c>
      <c r="T372" s="284">
        <v>500.7351607425</v>
      </c>
      <c r="U372" s="296">
        <f t="shared" si="10"/>
        <v>-0.28751932493082677</v>
      </c>
      <c r="V372" s="296">
        <f t="shared" si="11"/>
        <v>0.94116074250001702</v>
      </c>
      <c r="W372" s="287">
        <v>87</v>
      </c>
      <c r="X372" s="280">
        <v>85</v>
      </c>
      <c r="Y372" s="280">
        <v>84</v>
      </c>
      <c r="Z372" s="280">
        <v>82</v>
      </c>
      <c r="AA372" s="280">
        <v>79</v>
      </c>
      <c r="AB372" s="280">
        <v>78</v>
      </c>
      <c r="AC372" s="280">
        <v>78</v>
      </c>
      <c r="AD372" s="280">
        <v>79</v>
      </c>
      <c r="AE372" s="280">
        <v>78</v>
      </c>
      <c r="AF372" s="280">
        <v>76</v>
      </c>
      <c r="AG372" s="280">
        <v>74</v>
      </c>
      <c r="AH372" s="280">
        <v>74</v>
      </c>
    </row>
    <row r="373" spans="1:34" s="1" customFormat="1" ht="13" x14ac:dyDescent="0.25">
      <c r="A373" s="280" t="s">
        <v>915</v>
      </c>
      <c r="B373" s="286">
        <v>442</v>
      </c>
      <c r="C373" s="286">
        <v>727.875</v>
      </c>
      <c r="D373" s="286">
        <v>1013.7500000000001</v>
      </c>
      <c r="E373" s="286">
        <v>2</v>
      </c>
      <c r="F373" s="281">
        <v>2</v>
      </c>
      <c r="G373" s="282">
        <v>80.489678562500004</v>
      </c>
      <c r="H373" s="282">
        <v>82.210477968749998</v>
      </c>
      <c r="I373" s="282">
        <v>83.980674120833328</v>
      </c>
      <c r="J373" s="282">
        <v>86.255855140000008</v>
      </c>
      <c r="K373" s="282">
        <v>84.396207108611122</v>
      </c>
      <c r="L373" s="282">
        <v>84.622421171527762</v>
      </c>
      <c r="M373" s="282">
        <v>86.146650232777773</v>
      </c>
      <c r="N373" s="282">
        <v>87.624830865277772</v>
      </c>
      <c r="O373" s="282">
        <v>88.606007849999997</v>
      </c>
      <c r="P373" s="282">
        <v>88.061567546666652</v>
      </c>
      <c r="Q373" s="282">
        <v>86.970335308125001</v>
      </c>
      <c r="R373" s="283">
        <v>85.525765862500009</v>
      </c>
      <c r="S373" s="284">
        <v>944.40079317506934</v>
      </c>
      <c r="T373" s="284">
        <v>507.61228574250003</v>
      </c>
      <c r="U373" s="296">
        <f t="shared" si="10"/>
        <v>26.611793175069124</v>
      </c>
      <c r="V373" s="296">
        <f t="shared" si="11"/>
        <v>7.818285742500052</v>
      </c>
      <c r="W373" s="287">
        <v>87</v>
      </c>
      <c r="X373" s="280">
        <v>85</v>
      </c>
      <c r="Y373" s="280">
        <v>85</v>
      </c>
      <c r="Z373" s="280">
        <v>84</v>
      </c>
      <c r="AA373" s="280">
        <v>82</v>
      </c>
      <c r="AB373" s="280">
        <v>82</v>
      </c>
      <c r="AC373" s="280">
        <v>83</v>
      </c>
      <c r="AD373" s="280">
        <v>85</v>
      </c>
      <c r="AE373" s="280">
        <v>85</v>
      </c>
      <c r="AF373" s="280">
        <v>84</v>
      </c>
      <c r="AG373" s="280">
        <v>83</v>
      </c>
      <c r="AH373" s="280">
        <v>84</v>
      </c>
    </row>
    <row r="374" spans="1:34" s="1" customFormat="1" ht="13" x14ac:dyDescent="0.25">
      <c r="A374" s="280" t="s">
        <v>916</v>
      </c>
      <c r="B374" s="286">
        <v>442</v>
      </c>
      <c r="C374" s="286">
        <v>727.875</v>
      </c>
      <c r="D374" s="286">
        <v>1013.7500000000001</v>
      </c>
      <c r="E374" s="286">
        <v>2</v>
      </c>
      <c r="F374" s="281">
        <v>3</v>
      </c>
      <c r="G374" s="282">
        <v>80.489678562500004</v>
      </c>
      <c r="H374" s="282">
        <v>82.210477968749998</v>
      </c>
      <c r="I374" s="282">
        <v>84.425674120833321</v>
      </c>
      <c r="J374" s="282">
        <v>87.145855140000009</v>
      </c>
      <c r="K374" s="282">
        <v>85.73120710861113</v>
      </c>
      <c r="L374" s="282">
        <v>86.469796171527761</v>
      </c>
      <c r="M374" s="282">
        <v>88.506400232777779</v>
      </c>
      <c r="N374" s="282">
        <v>90.496955865277769</v>
      </c>
      <c r="O374" s="282">
        <v>92.0442891</v>
      </c>
      <c r="P374" s="282">
        <v>92.066005046666675</v>
      </c>
      <c r="Q374" s="282">
        <v>91.540929058125002</v>
      </c>
      <c r="R374" s="283">
        <v>90.662515862500001</v>
      </c>
      <c r="S374" s="284">
        <v>971.3001056750694</v>
      </c>
      <c r="T374" s="284">
        <v>514.48941074250001</v>
      </c>
      <c r="U374" s="296">
        <f t="shared" si="10"/>
        <v>53.511105675069189</v>
      </c>
      <c r="V374" s="296">
        <f t="shared" si="11"/>
        <v>14.69541074250003</v>
      </c>
      <c r="W374" s="287">
        <v>87</v>
      </c>
      <c r="X374" s="280">
        <v>85</v>
      </c>
      <c r="Y374" s="280">
        <v>86</v>
      </c>
      <c r="Z374" s="280">
        <v>86</v>
      </c>
      <c r="AA374" s="280">
        <v>85</v>
      </c>
      <c r="AB374" s="280">
        <v>86</v>
      </c>
      <c r="AC374" s="280">
        <v>88</v>
      </c>
      <c r="AD374" s="280">
        <v>91</v>
      </c>
      <c r="AE374" s="280">
        <v>92</v>
      </c>
      <c r="AF374" s="280">
        <v>92</v>
      </c>
      <c r="AG374" s="280">
        <v>92</v>
      </c>
      <c r="AH374" s="280">
        <v>94</v>
      </c>
    </row>
    <row r="375" spans="1:34" s="1" customFormat="1" ht="13" x14ac:dyDescent="0.25">
      <c r="A375" s="280" t="s">
        <v>917</v>
      </c>
      <c r="B375" s="286">
        <v>442</v>
      </c>
      <c r="C375" s="286">
        <v>727.875</v>
      </c>
      <c r="D375" s="286">
        <v>1013.7500000000001</v>
      </c>
      <c r="E375" s="286">
        <v>2</v>
      </c>
      <c r="F375" s="281">
        <v>4</v>
      </c>
      <c r="G375" s="282">
        <v>80.489678562500004</v>
      </c>
      <c r="H375" s="282">
        <v>82.210477968749998</v>
      </c>
      <c r="I375" s="282">
        <v>84.870674120833328</v>
      </c>
      <c r="J375" s="282">
        <v>88.03585514000001</v>
      </c>
      <c r="K375" s="282">
        <v>87.066207108611124</v>
      </c>
      <c r="L375" s="282">
        <v>88.317171171527761</v>
      </c>
      <c r="M375" s="282">
        <v>90.866150232777784</v>
      </c>
      <c r="N375" s="282">
        <v>93.369080865277766</v>
      </c>
      <c r="O375" s="282">
        <v>95.482570350000003</v>
      </c>
      <c r="P375" s="282">
        <v>96.070442546666669</v>
      </c>
      <c r="Q375" s="282">
        <v>96.111522808125002</v>
      </c>
      <c r="R375" s="283">
        <v>95.799265862500008</v>
      </c>
      <c r="S375" s="284">
        <v>998.19941817506935</v>
      </c>
      <c r="T375" s="284">
        <v>521.36653574249999</v>
      </c>
      <c r="U375" s="296">
        <f t="shared" si="10"/>
        <v>80.41041817506914</v>
      </c>
      <c r="V375" s="296">
        <f t="shared" si="11"/>
        <v>21.572535742500008</v>
      </c>
      <c r="W375" s="287">
        <v>87</v>
      </c>
      <c r="X375" s="280">
        <v>85</v>
      </c>
      <c r="Y375" s="280">
        <v>87</v>
      </c>
      <c r="Z375" s="280">
        <v>88</v>
      </c>
      <c r="AA375" s="280">
        <v>88</v>
      </c>
      <c r="AB375" s="280">
        <v>90</v>
      </c>
      <c r="AC375" s="280">
        <v>93</v>
      </c>
      <c r="AD375" s="280">
        <v>97</v>
      </c>
      <c r="AE375" s="280">
        <v>99</v>
      </c>
      <c r="AF375" s="280">
        <v>100</v>
      </c>
      <c r="AG375" s="280">
        <v>101</v>
      </c>
      <c r="AH375" s="280">
        <v>104</v>
      </c>
    </row>
    <row r="376" spans="1:34" s="1" customFormat="1" ht="13" x14ac:dyDescent="0.25">
      <c r="A376" s="280" t="s">
        <v>918</v>
      </c>
      <c r="B376" s="286">
        <v>442</v>
      </c>
      <c r="C376" s="286">
        <v>727.875</v>
      </c>
      <c r="D376" s="286">
        <v>1013.7500000000001</v>
      </c>
      <c r="E376" s="286">
        <v>2</v>
      </c>
      <c r="F376" s="281">
        <v>5</v>
      </c>
      <c r="G376" s="282">
        <v>80.489678562500004</v>
      </c>
      <c r="H376" s="282">
        <v>82.210477968749998</v>
      </c>
      <c r="I376" s="282">
        <v>85.315674120833322</v>
      </c>
      <c r="J376" s="282">
        <v>88.925855139999996</v>
      </c>
      <c r="K376" s="282">
        <v>88.401207108611132</v>
      </c>
      <c r="L376" s="282">
        <v>90.164546171527761</v>
      </c>
      <c r="M376" s="282">
        <v>93.225900232777789</v>
      </c>
      <c r="N376" s="282">
        <v>96.241205865277777</v>
      </c>
      <c r="O376" s="282">
        <v>98.920851600000006</v>
      </c>
      <c r="P376" s="282">
        <v>100.07488004666668</v>
      </c>
      <c r="Q376" s="282">
        <v>100.682116558125</v>
      </c>
      <c r="R376" s="283">
        <v>100.9360158625</v>
      </c>
      <c r="S376" s="284">
        <v>1025.0987306750694</v>
      </c>
      <c r="T376" s="284">
        <v>528.24366074249997</v>
      </c>
      <c r="U376" s="296">
        <f t="shared" si="10"/>
        <v>107.3097306750692</v>
      </c>
      <c r="V376" s="296">
        <f t="shared" si="11"/>
        <v>28.449660742499987</v>
      </c>
      <c r="W376" s="287">
        <v>87</v>
      </c>
      <c r="X376" s="280">
        <v>85</v>
      </c>
      <c r="Y376" s="280">
        <v>88</v>
      </c>
      <c r="Z376" s="280">
        <v>90</v>
      </c>
      <c r="AA376" s="280">
        <v>91</v>
      </c>
      <c r="AB376" s="280">
        <v>94</v>
      </c>
      <c r="AC376" s="280">
        <v>98</v>
      </c>
      <c r="AD376" s="280">
        <v>103</v>
      </c>
      <c r="AE376" s="280">
        <v>106</v>
      </c>
      <c r="AF376" s="280">
        <v>108</v>
      </c>
      <c r="AG376" s="280">
        <v>110</v>
      </c>
      <c r="AH376" s="280">
        <v>114</v>
      </c>
    </row>
    <row r="377" spans="1:34" s="1" customFormat="1" ht="13" x14ac:dyDescent="0.25">
      <c r="A377" s="280" t="s">
        <v>919</v>
      </c>
      <c r="B377" s="286">
        <v>442</v>
      </c>
      <c r="C377" s="286">
        <v>727.875</v>
      </c>
      <c r="D377" s="286">
        <v>1013.7500000000001</v>
      </c>
      <c r="E377" s="286">
        <v>3</v>
      </c>
      <c r="F377" s="281">
        <v>0</v>
      </c>
      <c r="G377" s="282">
        <v>80.489678562500004</v>
      </c>
      <c r="H377" s="282">
        <v>81.650996171527765</v>
      </c>
      <c r="I377" s="282">
        <v>82.207551968055554</v>
      </c>
      <c r="J377" s="282">
        <v>83.773704584444431</v>
      </c>
      <c r="K377" s="282">
        <v>80.968950164166671</v>
      </c>
      <c r="L377" s="282">
        <v>80.394060060416663</v>
      </c>
      <c r="M377" s="282">
        <v>80.993591204999987</v>
      </c>
      <c r="N377" s="282">
        <v>81.464678087499962</v>
      </c>
      <c r="O377" s="282">
        <v>81.223299516666657</v>
      </c>
      <c r="P377" s="282">
        <v>79.487692546666665</v>
      </c>
      <c r="Q377" s="282">
        <v>77.370085308124999</v>
      </c>
      <c r="R377" s="283">
        <v>74.738272806944437</v>
      </c>
      <c r="S377" s="284">
        <v>884.27288241951373</v>
      </c>
      <c r="T377" s="284">
        <v>489.98885415361104</v>
      </c>
      <c r="U377" s="296">
        <f t="shared" si="10"/>
        <v>-33.51611758048648</v>
      </c>
      <c r="V377" s="296">
        <f t="shared" si="11"/>
        <v>-9.8051458463889389</v>
      </c>
      <c r="W377" s="287">
        <v>87</v>
      </c>
      <c r="X377" s="280">
        <v>85</v>
      </c>
      <c r="Y377" s="280">
        <v>83</v>
      </c>
      <c r="Z377" s="280">
        <v>80</v>
      </c>
      <c r="AA377" s="280">
        <v>76</v>
      </c>
      <c r="AB377" s="280">
        <v>74</v>
      </c>
      <c r="AC377" s="280">
        <v>73</v>
      </c>
      <c r="AD377" s="280">
        <v>73</v>
      </c>
      <c r="AE377" s="280">
        <v>71</v>
      </c>
      <c r="AF377" s="280">
        <v>68</v>
      </c>
      <c r="AG377" s="280">
        <v>65</v>
      </c>
      <c r="AH377" s="280">
        <v>64</v>
      </c>
    </row>
    <row r="378" spans="1:34" s="1" customFormat="1" ht="13" x14ac:dyDescent="0.25">
      <c r="A378" s="280" t="s">
        <v>920</v>
      </c>
      <c r="B378" s="286">
        <v>442</v>
      </c>
      <c r="C378" s="286">
        <v>727.875</v>
      </c>
      <c r="D378" s="286">
        <v>1013.7500000000001</v>
      </c>
      <c r="E378" s="286">
        <v>3</v>
      </c>
      <c r="F378" s="281">
        <v>1</v>
      </c>
      <c r="G378" s="282">
        <v>80.489678562500004</v>
      </c>
      <c r="H378" s="282">
        <v>81.650996171527765</v>
      </c>
      <c r="I378" s="282">
        <v>82.652551968055562</v>
      </c>
      <c r="J378" s="282">
        <v>84.663704584444446</v>
      </c>
      <c r="K378" s="282">
        <v>82.303950164166679</v>
      </c>
      <c r="L378" s="282">
        <v>82.241435060416663</v>
      </c>
      <c r="M378" s="282">
        <v>83.353341205000007</v>
      </c>
      <c r="N378" s="282">
        <v>84.336803087499973</v>
      </c>
      <c r="O378" s="282">
        <v>84.661580766666674</v>
      </c>
      <c r="P378" s="282">
        <v>83.492130046666674</v>
      </c>
      <c r="Q378" s="282">
        <v>81.940679058125014</v>
      </c>
      <c r="R378" s="283">
        <v>79.875022806944443</v>
      </c>
      <c r="S378" s="284">
        <v>911.17219491951403</v>
      </c>
      <c r="T378" s="284">
        <v>496.86597915361114</v>
      </c>
      <c r="U378" s="296">
        <f t="shared" si="10"/>
        <v>-6.6168050804861878</v>
      </c>
      <c r="V378" s="296">
        <f t="shared" si="11"/>
        <v>-2.9280208463888471</v>
      </c>
      <c r="W378" s="287">
        <v>87</v>
      </c>
      <c r="X378" s="280">
        <v>85</v>
      </c>
      <c r="Y378" s="280">
        <v>84</v>
      </c>
      <c r="Z378" s="280">
        <v>82</v>
      </c>
      <c r="AA378" s="280">
        <v>79</v>
      </c>
      <c r="AB378" s="280">
        <v>78</v>
      </c>
      <c r="AC378" s="280">
        <v>78</v>
      </c>
      <c r="AD378" s="280">
        <v>79</v>
      </c>
      <c r="AE378" s="280">
        <v>78</v>
      </c>
      <c r="AF378" s="280">
        <v>76</v>
      </c>
      <c r="AG378" s="280">
        <v>74</v>
      </c>
      <c r="AH378" s="280">
        <v>74</v>
      </c>
    </row>
    <row r="379" spans="1:34" s="1" customFormat="1" ht="13" x14ac:dyDescent="0.25">
      <c r="A379" s="280" t="s">
        <v>921</v>
      </c>
      <c r="B379" s="286">
        <v>442</v>
      </c>
      <c r="C379" s="286">
        <v>727.875</v>
      </c>
      <c r="D379" s="286">
        <v>1013.7500000000001</v>
      </c>
      <c r="E379" s="286">
        <v>3</v>
      </c>
      <c r="F379" s="281">
        <v>2</v>
      </c>
      <c r="G379" s="282">
        <v>80.489678562500004</v>
      </c>
      <c r="H379" s="282">
        <v>81.650996171527765</v>
      </c>
      <c r="I379" s="282">
        <v>83.097551968055555</v>
      </c>
      <c r="J379" s="282">
        <v>85.553704584444446</v>
      </c>
      <c r="K379" s="282">
        <v>83.638950164166687</v>
      </c>
      <c r="L379" s="282">
        <v>84.088810060416662</v>
      </c>
      <c r="M379" s="282">
        <v>85.713091204999998</v>
      </c>
      <c r="N379" s="282">
        <v>87.208928087499984</v>
      </c>
      <c r="O379" s="282">
        <v>88.099862016666677</v>
      </c>
      <c r="P379" s="282">
        <v>87.496567546666682</v>
      </c>
      <c r="Q379" s="282">
        <v>86.511272808125014</v>
      </c>
      <c r="R379" s="283">
        <v>85.01177280694445</v>
      </c>
      <c r="S379" s="284">
        <v>938.07150741951386</v>
      </c>
      <c r="T379" s="284">
        <v>503.74310415361111</v>
      </c>
      <c r="U379" s="296">
        <f t="shared" si="10"/>
        <v>20.282507419513649</v>
      </c>
      <c r="V379" s="296">
        <f t="shared" si="11"/>
        <v>3.9491041536111311</v>
      </c>
      <c r="W379" s="287">
        <v>87</v>
      </c>
      <c r="X379" s="280">
        <v>85</v>
      </c>
      <c r="Y379" s="280">
        <v>85</v>
      </c>
      <c r="Z379" s="280">
        <v>84</v>
      </c>
      <c r="AA379" s="280">
        <v>82</v>
      </c>
      <c r="AB379" s="280">
        <v>82</v>
      </c>
      <c r="AC379" s="280">
        <v>83</v>
      </c>
      <c r="AD379" s="280">
        <v>85</v>
      </c>
      <c r="AE379" s="280">
        <v>85</v>
      </c>
      <c r="AF379" s="280">
        <v>84</v>
      </c>
      <c r="AG379" s="280">
        <v>83</v>
      </c>
      <c r="AH379" s="280">
        <v>84</v>
      </c>
    </row>
    <row r="380" spans="1:34" s="1" customFormat="1" ht="13" x14ac:dyDescent="0.25">
      <c r="A380" s="280" t="s">
        <v>922</v>
      </c>
      <c r="B380" s="286">
        <v>442</v>
      </c>
      <c r="C380" s="286">
        <v>727.875</v>
      </c>
      <c r="D380" s="286">
        <v>1013.7500000000001</v>
      </c>
      <c r="E380" s="286">
        <v>3</v>
      </c>
      <c r="F380" s="281">
        <v>3</v>
      </c>
      <c r="G380" s="282">
        <v>80.489678562500004</v>
      </c>
      <c r="H380" s="282">
        <v>81.650996171527765</v>
      </c>
      <c r="I380" s="282">
        <v>83.542551968055562</v>
      </c>
      <c r="J380" s="282">
        <v>86.443704584444447</v>
      </c>
      <c r="K380" s="282">
        <v>84.973950164166695</v>
      </c>
      <c r="L380" s="282">
        <v>85.936185060416662</v>
      </c>
      <c r="M380" s="282">
        <v>88.072841205000003</v>
      </c>
      <c r="N380" s="282">
        <v>90.081053087499996</v>
      </c>
      <c r="O380" s="282">
        <v>91.538143266666665</v>
      </c>
      <c r="P380" s="282">
        <v>91.501005046666677</v>
      </c>
      <c r="Q380" s="282">
        <v>91.081866558125</v>
      </c>
      <c r="R380" s="283">
        <v>90.148522806944456</v>
      </c>
      <c r="S380" s="284">
        <v>964.97081991951393</v>
      </c>
      <c r="T380" s="284">
        <v>510.62022915361115</v>
      </c>
      <c r="U380" s="296">
        <f t="shared" si="10"/>
        <v>47.181819919513714</v>
      </c>
      <c r="V380" s="296">
        <f t="shared" si="11"/>
        <v>10.826229153611166</v>
      </c>
      <c r="W380" s="287">
        <v>87</v>
      </c>
      <c r="X380" s="280">
        <v>85</v>
      </c>
      <c r="Y380" s="280">
        <v>86</v>
      </c>
      <c r="Z380" s="280">
        <v>86</v>
      </c>
      <c r="AA380" s="280">
        <v>85</v>
      </c>
      <c r="AB380" s="280">
        <v>86</v>
      </c>
      <c r="AC380" s="280">
        <v>88</v>
      </c>
      <c r="AD380" s="280">
        <v>91</v>
      </c>
      <c r="AE380" s="280">
        <v>92</v>
      </c>
      <c r="AF380" s="280">
        <v>92</v>
      </c>
      <c r="AG380" s="280">
        <v>92</v>
      </c>
      <c r="AH380" s="280">
        <v>94</v>
      </c>
    </row>
    <row r="381" spans="1:34" s="1" customFormat="1" ht="13" x14ac:dyDescent="0.25">
      <c r="A381" s="280" t="s">
        <v>923</v>
      </c>
      <c r="B381" s="286">
        <v>442</v>
      </c>
      <c r="C381" s="286">
        <v>727.875</v>
      </c>
      <c r="D381" s="286">
        <v>1013.7500000000001</v>
      </c>
      <c r="E381" s="286">
        <v>3</v>
      </c>
      <c r="F381" s="281">
        <v>4</v>
      </c>
      <c r="G381" s="282">
        <v>80.489678562500004</v>
      </c>
      <c r="H381" s="282">
        <v>81.650996171527765</v>
      </c>
      <c r="I381" s="282">
        <v>83.987551968055556</v>
      </c>
      <c r="J381" s="282">
        <v>87.333704584444448</v>
      </c>
      <c r="K381" s="282">
        <v>86.308950164166689</v>
      </c>
      <c r="L381" s="282">
        <v>87.783560060416661</v>
      </c>
      <c r="M381" s="282">
        <v>90.432591205000008</v>
      </c>
      <c r="N381" s="282">
        <v>92.953178087499992</v>
      </c>
      <c r="O381" s="282">
        <v>94.976424516666668</v>
      </c>
      <c r="P381" s="282">
        <v>95.505442546666671</v>
      </c>
      <c r="Q381" s="282">
        <v>95.652460308125001</v>
      </c>
      <c r="R381" s="283">
        <v>95.285272806944448</v>
      </c>
      <c r="S381" s="284">
        <v>991.87013241951399</v>
      </c>
      <c r="T381" s="284">
        <v>517.49735415361113</v>
      </c>
      <c r="U381" s="296">
        <f t="shared" si="10"/>
        <v>74.081132419513779</v>
      </c>
      <c r="V381" s="296">
        <f t="shared" si="11"/>
        <v>17.703354153611144</v>
      </c>
      <c r="W381" s="287">
        <v>87</v>
      </c>
      <c r="X381" s="280">
        <v>85</v>
      </c>
      <c r="Y381" s="280">
        <v>87</v>
      </c>
      <c r="Z381" s="280">
        <v>88</v>
      </c>
      <c r="AA381" s="280">
        <v>88</v>
      </c>
      <c r="AB381" s="280">
        <v>90</v>
      </c>
      <c r="AC381" s="280">
        <v>93</v>
      </c>
      <c r="AD381" s="280">
        <v>97</v>
      </c>
      <c r="AE381" s="280">
        <v>99</v>
      </c>
      <c r="AF381" s="280">
        <v>100</v>
      </c>
      <c r="AG381" s="280">
        <v>101</v>
      </c>
      <c r="AH381" s="280">
        <v>104</v>
      </c>
    </row>
    <row r="382" spans="1:34" s="1" customFormat="1" ht="13" x14ac:dyDescent="0.25">
      <c r="A382" s="280" t="s">
        <v>924</v>
      </c>
      <c r="B382" s="286">
        <v>442</v>
      </c>
      <c r="C382" s="286">
        <v>727.875</v>
      </c>
      <c r="D382" s="286">
        <v>1013.7500000000001</v>
      </c>
      <c r="E382" s="286">
        <v>3</v>
      </c>
      <c r="F382" s="281">
        <v>5</v>
      </c>
      <c r="G382" s="282">
        <v>80.489678562500004</v>
      </c>
      <c r="H382" s="282">
        <v>81.650996171527765</v>
      </c>
      <c r="I382" s="282">
        <v>84.432551968055563</v>
      </c>
      <c r="J382" s="282">
        <v>88.223704584444448</v>
      </c>
      <c r="K382" s="282">
        <v>87.643950164166682</v>
      </c>
      <c r="L382" s="282">
        <v>89.630935060416661</v>
      </c>
      <c r="M382" s="282">
        <v>92.792341205</v>
      </c>
      <c r="N382" s="282">
        <v>95.825303087499989</v>
      </c>
      <c r="O382" s="282">
        <v>98.414705766666671</v>
      </c>
      <c r="P382" s="282">
        <v>99.50988004666668</v>
      </c>
      <c r="Q382" s="282">
        <v>100.223054058125</v>
      </c>
      <c r="R382" s="283">
        <v>100.42202280694445</v>
      </c>
      <c r="S382" s="284">
        <v>1018.7694449195138</v>
      </c>
      <c r="T382" s="284">
        <v>524.37447915361111</v>
      </c>
      <c r="U382" s="296">
        <f t="shared" si="10"/>
        <v>100.98044491951362</v>
      </c>
      <c r="V382" s="296">
        <f t="shared" si="11"/>
        <v>24.580479153611122</v>
      </c>
      <c r="W382" s="287">
        <v>87</v>
      </c>
      <c r="X382" s="280">
        <v>85</v>
      </c>
      <c r="Y382" s="280">
        <v>88</v>
      </c>
      <c r="Z382" s="280">
        <v>90</v>
      </c>
      <c r="AA382" s="280">
        <v>91</v>
      </c>
      <c r="AB382" s="280">
        <v>94</v>
      </c>
      <c r="AC382" s="280">
        <v>98</v>
      </c>
      <c r="AD382" s="280">
        <v>103</v>
      </c>
      <c r="AE382" s="280">
        <v>106</v>
      </c>
      <c r="AF382" s="280">
        <v>108</v>
      </c>
      <c r="AG382" s="280">
        <v>110</v>
      </c>
      <c r="AH382" s="280">
        <v>114</v>
      </c>
    </row>
    <row r="383" spans="1:34" s="1" customFormat="1" ht="13" x14ac:dyDescent="0.25">
      <c r="A383" s="280" t="s">
        <v>925</v>
      </c>
      <c r="B383" s="286">
        <v>442</v>
      </c>
      <c r="C383" s="286">
        <v>727.875</v>
      </c>
      <c r="D383" s="286">
        <v>1013.7500000000001</v>
      </c>
      <c r="E383" s="286">
        <v>4</v>
      </c>
      <c r="F383" s="281">
        <v>0</v>
      </c>
      <c r="G383" s="282">
        <v>80.489678562500004</v>
      </c>
      <c r="H383" s="282">
        <v>81.348080310416663</v>
      </c>
      <c r="I383" s="282">
        <v>81.686789266666651</v>
      </c>
      <c r="J383" s="282">
        <v>83.092895306666662</v>
      </c>
      <c r="K383" s="282">
        <v>80.325739858611115</v>
      </c>
      <c r="L383" s="282">
        <v>79.805563504861098</v>
      </c>
      <c r="M383" s="282">
        <v>80.517853357777767</v>
      </c>
      <c r="N383" s="282">
        <v>81.080164198611101</v>
      </c>
      <c r="O383" s="282">
        <v>80.770122433333313</v>
      </c>
      <c r="P383" s="282">
        <v>78.98154671333333</v>
      </c>
      <c r="Q383" s="282">
        <v>76.828626974791646</v>
      </c>
      <c r="R383" s="283">
        <v>74.257630445833314</v>
      </c>
      <c r="S383" s="284">
        <v>878.69501237090265</v>
      </c>
      <c r="T383" s="284">
        <v>486.77692160499998</v>
      </c>
      <c r="U383" s="296">
        <f t="shared" si="10"/>
        <v>-39.093987629097569</v>
      </c>
      <c r="V383" s="296">
        <f t="shared" si="11"/>
        <v>-13.017078394999999</v>
      </c>
      <c r="W383" s="287">
        <v>87</v>
      </c>
      <c r="X383" s="280">
        <v>85</v>
      </c>
      <c r="Y383" s="280">
        <v>83</v>
      </c>
      <c r="Z383" s="280">
        <v>80</v>
      </c>
      <c r="AA383" s="280">
        <v>76</v>
      </c>
      <c r="AB383" s="280">
        <v>74</v>
      </c>
      <c r="AC383" s="280">
        <v>73</v>
      </c>
      <c r="AD383" s="280">
        <v>73</v>
      </c>
      <c r="AE383" s="280">
        <v>71</v>
      </c>
      <c r="AF383" s="280">
        <v>68</v>
      </c>
      <c r="AG383" s="280">
        <v>65</v>
      </c>
      <c r="AH383" s="280">
        <v>64</v>
      </c>
    </row>
    <row r="384" spans="1:34" s="1" customFormat="1" ht="13" x14ac:dyDescent="0.25">
      <c r="A384" s="280" t="s">
        <v>926</v>
      </c>
      <c r="B384" s="286">
        <v>442</v>
      </c>
      <c r="C384" s="286">
        <v>727.875</v>
      </c>
      <c r="D384" s="286">
        <v>1013.7500000000001</v>
      </c>
      <c r="E384" s="286">
        <v>4</v>
      </c>
      <c r="F384" s="281">
        <v>1</v>
      </c>
      <c r="G384" s="282">
        <v>80.489678562500004</v>
      </c>
      <c r="H384" s="282">
        <v>81.348080310416663</v>
      </c>
      <c r="I384" s="282">
        <v>82.131789266666672</v>
      </c>
      <c r="J384" s="282">
        <v>83.982895306666677</v>
      </c>
      <c r="K384" s="282">
        <v>81.660739858611109</v>
      </c>
      <c r="L384" s="282">
        <v>81.652938504861098</v>
      </c>
      <c r="M384" s="282">
        <v>82.877603357777772</v>
      </c>
      <c r="N384" s="282">
        <v>83.952289198611112</v>
      </c>
      <c r="O384" s="282">
        <v>84.20840368333333</v>
      </c>
      <c r="P384" s="282">
        <v>82.985984213333339</v>
      </c>
      <c r="Q384" s="282">
        <v>81.399220724791661</v>
      </c>
      <c r="R384" s="283">
        <v>79.39438044583332</v>
      </c>
      <c r="S384" s="284">
        <v>905.59432487090282</v>
      </c>
      <c r="T384" s="284">
        <v>493.65404660499996</v>
      </c>
      <c r="U384" s="296">
        <f t="shared" si="10"/>
        <v>-12.194675129097391</v>
      </c>
      <c r="V384" s="296">
        <f t="shared" si="11"/>
        <v>-6.1399533950000205</v>
      </c>
      <c r="W384" s="287">
        <v>87</v>
      </c>
      <c r="X384" s="280">
        <v>85</v>
      </c>
      <c r="Y384" s="280">
        <v>84</v>
      </c>
      <c r="Z384" s="280">
        <v>82</v>
      </c>
      <c r="AA384" s="280">
        <v>79</v>
      </c>
      <c r="AB384" s="280">
        <v>78</v>
      </c>
      <c r="AC384" s="280">
        <v>78</v>
      </c>
      <c r="AD384" s="280">
        <v>79</v>
      </c>
      <c r="AE384" s="280">
        <v>78</v>
      </c>
      <c r="AF384" s="280">
        <v>76</v>
      </c>
      <c r="AG384" s="280">
        <v>74</v>
      </c>
      <c r="AH384" s="280">
        <v>74</v>
      </c>
    </row>
    <row r="385" spans="1:34" s="1" customFormat="1" ht="13" x14ac:dyDescent="0.25">
      <c r="A385" s="280" t="s">
        <v>927</v>
      </c>
      <c r="B385" s="286">
        <v>442</v>
      </c>
      <c r="C385" s="286">
        <v>727.875</v>
      </c>
      <c r="D385" s="286">
        <v>1013.7500000000001</v>
      </c>
      <c r="E385" s="286">
        <v>4</v>
      </c>
      <c r="F385" s="281">
        <v>2</v>
      </c>
      <c r="G385" s="282">
        <v>80.489678562500004</v>
      </c>
      <c r="H385" s="282">
        <v>81.348080310416663</v>
      </c>
      <c r="I385" s="282">
        <v>82.576789266666665</v>
      </c>
      <c r="J385" s="282">
        <v>84.872895306666678</v>
      </c>
      <c r="K385" s="282">
        <v>82.995739858611117</v>
      </c>
      <c r="L385" s="282">
        <v>83.500313504861111</v>
      </c>
      <c r="M385" s="282">
        <v>85.237353357777764</v>
      </c>
      <c r="N385" s="282">
        <v>86.824414198611109</v>
      </c>
      <c r="O385" s="282">
        <v>87.646684933333333</v>
      </c>
      <c r="P385" s="282">
        <v>86.990421713333333</v>
      </c>
      <c r="Q385" s="282">
        <v>85.969814474791661</v>
      </c>
      <c r="R385" s="283">
        <v>84.531130445833313</v>
      </c>
      <c r="S385" s="284">
        <v>932.49363737090277</v>
      </c>
      <c r="T385" s="284">
        <v>500.531171605</v>
      </c>
      <c r="U385" s="296">
        <f t="shared" si="10"/>
        <v>14.70463737090256</v>
      </c>
      <c r="V385" s="296">
        <f t="shared" si="11"/>
        <v>0.73717160500001455</v>
      </c>
      <c r="W385" s="287">
        <v>87</v>
      </c>
      <c r="X385" s="280">
        <v>85</v>
      </c>
      <c r="Y385" s="280">
        <v>85</v>
      </c>
      <c r="Z385" s="280">
        <v>84</v>
      </c>
      <c r="AA385" s="280">
        <v>82</v>
      </c>
      <c r="AB385" s="280">
        <v>82</v>
      </c>
      <c r="AC385" s="280">
        <v>83</v>
      </c>
      <c r="AD385" s="280">
        <v>85</v>
      </c>
      <c r="AE385" s="280">
        <v>85</v>
      </c>
      <c r="AF385" s="280">
        <v>84</v>
      </c>
      <c r="AG385" s="280">
        <v>83</v>
      </c>
      <c r="AH385" s="280">
        <v>84</v>
      </c>
    </row>
    <row r="386" spans="1:34" s="1" customFormat="1" ht="13" x14ac:dyDescent="0.25">
      <c r="A386" s="280" t="s">
        <v>928</v>
      </c>
      <c r="B386" s="286">
        <v>442</v>
      </c>
      <c r="C386" s="286">
        <v>727.875</v>
      </c>
      <c r="D386" s="286">
        <v>1013.7500000000001</v>
      </c>
      <c r="E386" s="286">
        <v>4</v>
      </c>
      <c r="F386" s="281">
        <v>3</v>
      </c>
      <c r="G386" s="282">
        <v>80.489678562500004</v>
      </c>
      <c r="H386" s="282">
        <v>81.348080310416663</v>
      </c>
      <c r="I386" s="282">
        <v>83.021789266666673</v>
      </c>
      <c r="J386" s="282">
        <v>85.762895306666678</v>
      </c>
      <c r="K386" s="282">
        <v>84.330739858611125</v>
      </c>
      <c r="L386" s="282">
        <v>85.347688504861111</v>
      </c>
      <c r="M386" s="282">
        <v>87.597103357777783</v>
      </c>
      <c r="N386" s="282">
        <v>89.69653919861112</v>
      </c>
      <c r="O386" s="282">
        <v>91.084966183333322</v>
      </c>
      <c r="P386" s="282">
        <v>90.994859213333328</v>
      </c>
      <c r="Q386" s="282">
        <v>90.540408224791662</v>
      </c>
      <c r="R386" s="283">
        <v>89.667880445833319</v>
      </c>
      <c r="S386" s="284">
        <v>959.39294987090295</v>
      </c>
      <c r="T386" s="284">
        <v>507.40829660500003</v>
      </c>
      <c r="U386" s="296">
        <f t="shared" si="10"/>
        <v>41.603949870902738</v>
      </c>
      <c r="V386" s="296">
        <f t="shared" si="11"/>
        <v>7.6142966050000496</v>
      </c>
      <c r="W386" s="287">
        <v>87</v>
      </c>
      <c r="X386" s="280">
        <v>85</v>
      </c>
      <c r="Y386" s="280">
        <v>86</v>
      </c>
      <c r="Z386" s="280">
        <v>86</v>
      </c>
      <c r="AA386" s="280">
        <v>85</v>
      </c>
      <c r="AB386" s="280">
        <v>86</v>
      </c>
      <c r="AC386" s="280">
        <v>88</v>
      </c>
      <c r="AD386" s="280">
        <v>91</v>
      </c>
      <c r="AE386" s="280">
        <v>92</v>
      </c>
      <c r="AF386" s="280">
        <v>92</v>
      </c>
      <c r="AG386" s="280">
        <v>92</v>
      </c>
      <c r="AH386" s="280">
        <v>94</v>
      </c>
    </row>
    <row r="387" spans="1:34" s="1" customFormat="1" ht="13" x14ac:dyDescent="0.25">
      <c r="A387" s="280" t="s">
        <v>929</v>
      </c>
      <c r="B387" s="286">
        <v>442</v>
      </c>
      <c r="C387" s="286">
        <v>727.875</v>
      </c>
      <c r="D387" s="286">
        <v>1013.7500000000001</v>
      </c>
      <c r="E387" s="286">
        <v>4</v>
      </c>
      <c r="F387" s="281">
        <v>4</v>
      </c>
      <c r="G387" s="282">
        <v>80.489678562500004</v>
      </c>
      <c r="H387" s="282">
        <v>81.348080310416663</v>
      </c>
      <c r="I387" s="282">
        <v>83.466789266666666</v>
      </c>
      <c r="J387" s="282">
        <v>86.652895306666679</v>
      </c>
      <c r="K387" s="282">
        <v>85.665739858611119</v>
      </c>
      <c r="L387" s="282">
        <v>87.19506350486111</v>
      </c>
      <c r="M387" s="282">
        <v>89.956853357777788</v>
      </c>
      <c r="N387" s="282">
        <v>92.568664198611117</v>
      </c>
      <c r="O387" s="282">
        <v>94.523247433333324</v>
      </c>
      <c r="P387" s="282">
        <v>94.999296713333337</v>
      </c>
      <c r="Q387" s="282">
        <v>95.111001974791662</v>
      </c>
      <c r="R387" s="283">
        <v>94.804630445833311</v>
      </c>
      <c r="S387" s="284">
        <v>986.29226237090279</v>
      </c>
      <c r="T387" s="284">
        <v>514.28542160500001</v>
      </c>
      <c r="U387" s="296">
        <f t="shared" si="10"/>
        <v>68.503262370902576</v>
      </c>
      <c r="V387" s="296">
        <f t="shared" si="11"/>
        <v>14.491421605000028</v>
      </c>
      <c r="W387" s="287">
        <v>87</v>
      </c>
      <c r="X387" s="280">
        <v>85</v>
      </c>
      <c r="Y387" s="280">
        <v>87</v>
      </c>
      <c r="Z387" s="280">
        <v>88</v>
      </c>
      <c r="AA387" s="280">
        <v>88</v>
      </c>
      <c r="AB387" s="280">
        <v>90</v>
      </c>
      <c r="AC387" s="280">
        <v>93</v>
      </c>
      <c r="AD387" s="280">
        <v>97</v>
      </c>
      <c r="AE387" s="280">
        <v>99</v>
      </c>
      <c r="AF387" s="280">
        <v>100</v>
      </c>
      <c r="AG387" s="280">
        <v>101</v>
      </c>
      <c r="AH387" s="280">
        <v>104</v>
      </c>
    </row>
    <row r="388" spans="1:34" s="1" customFormat="1" ht="13" x14ac:dyDescent="0.25">
      <c r="A388" s="280" t="s">
        <v>930</v>
      </c>
      <c r="B388" s="286">
        <v>442</v>
      </c>
      <c r="C388" s="286">
        <v>727.875</v>
      </c>
      <c r="D388" s="286">
        <v>1013.7500000000001</v>
      </c>
      <c r="E388" s="286">
        <v>4</v>
      </c>
      <c r="F388" s="281">
        <v>5</v>
      </c>
      <c r="G388" s="282">
        <v>80.489678562500004</v>
      </c>
      <c r="H388" s="282">
        <v>81.348080310416663</v>
      </c>
      <c r="I388" s="282">
        <v>83.911789266666673</v>
      </c>
      <c r="J388" s="282">
        <v>87.542895306666679</v>
      </c>
      <c r="K388" s="282">
        <v>87.000739858611126</v>
      </c>
      <c r="L388" s="282">
        <v>89.04243850486111</v>
      </c>
      <c r="M388" s="282">
        <v>92.31660335777778</v>
      </c>
      <c r="N388" s="282">
        <v>95.440789198611114</v>
      </c>
      <c r="O388" s="282">
        <v>97.961528683333327</v>
      </c>
      <c r="P388" s="282">
        <v>99.003734213333331</v>
      </c>
      <c r="Q388" s="282">
        <v>99.681595724791663</v>
      </c>
      <c r="R388" s="283">
        <v>99.941380445833317</v>
      </c>
      <c r="S388" s="284">
        <v>1013.191574870903</v>
      </c>
      <c r="T388" s="284">
        <v>521.1625466050001</v>
      </c>
      <c r="U388" s="296">
        <f t="shared" si="10"/>
        <v>95.402574870902754</v>
      </c>
      <c r="V388" s="296">
        <f t="shared" si="11"/>
        <v>21.36854660500012</v>
      </c>
      <c r="W388" s="287">
        <v>87</v>
      </c>
      <c r="X388" s="280">
        <v>85</v>
      </c>
      <c r="Y388" s="280">
        <v>88</v>
      </c>
      <c r="Z388" s="280">
        <v>90</v>
      </c>
      <c r="AA388" s="280">
        <v>91</v>
      </c>
      <c r="AB388" s="280">
        <v>94</v>
      </c>
      <c r="AC388" s="280">
        <v>98</v>
      </c>
      <c r="AD388" s="280">
        <v>103</v>
      </c>
      <c r="AE388" s="280">
        <v>106</v>
      </c>
      <c r="AF388" s="280">
        <v>108</v>
      </c>
      <c r="AG388" s="280">
        <v>110</v>
      </c>
      <c r="AH388" s="280">
        <v>114</v>
      </c>
    </row>
    <row r="389" spans="1:34" s="1" customFormat="1" ht="13" x14ac:dyDescent="0.25">
      <c r="A389" s="280" t="s">
        <v>931</v>
      </c>
      <c r="B389" s="286">
        <v>442</v>
      </c>
      <c r="C389" s="286">
        <v>727.875</v>
      </c>
      <c r="D389" s="286">
        <v>1013.7500000000001</v>
      </c>
      <c r="E389" s="286">
        <v>5</v>
      </c>
      <c r="F389" s="281">
        <v>0</v>
      </c>
      <c r="G389" s="282">
        <v>80.489678562500004</v>
      </c>
      <c r="H389" s="282">
        <v>81.162101143749993</v>
      </c>
      <c r="I389" s="282">
        <v>81.332610420833319</v>
      </c>
      <c r="J389" s="282">
        <v>82.605582806666661</v>
      </c>
      <c r="K389" s="282">
        <v>79.699140525277784</v>
      </c>
      <c r="L389" s="282">
        <v>79.264281004861104</v>
      </c>
      <c r="M389" s="282">
        <v>80.0440773161111</v>
      </c>
      <c r="N389" s="282">
        <v>80.642289198611081</v>
      </c>
      <c r="O389" s="282">
        <v>80.356966183333313</v>
      </c>
      <c r="P389" s="282">
        <v>78.517775880000002</v>
      </c>
      <c r="Q389" s="282">
        <v>76.324835308124989</v>
      </c>
      <c r="R389" s="283">
        <v>73.719703362499985</v>
      </c>
      <c r="S389" s="284">
        <v>873.66936315006944</v>
      </c>
      <c r="T389" s="284">
        <v>484.10779321749999</v>
      </c>
      <c r="U389" s="296">
        <f t="shared" ref="U389:U452" si="12">S389-S$3</f>
        <v>-44.119636849930771</v>
      </c>
      <c r="V389" s="296">
        <f t="shared" ref="V389:V452" si="13">T389-T$3</f>
        <v>-15.686206782499994</v>
      </c>
      <c r="W389" s="287">
        <v>87</v>
      </c>
      <c r="X389" s="280">
        <v>85</v>
      </c>
      <c r="Y389" s="280">
        <v>83</v>
      </c>
      <c r="Z389" s="280">
        <v>80</v>
      </c>
      <c r="AA389" s="280">
        <v>76</v>
      </c>
      <c r="AB389" s="280">
        <v>74</v>
      </c>
      <c r="AC389" s="280">
        <v>73</v>
      </c>
      <c r="AD389" s="280">
        <v>73</v>
      </c>
      <c r="AE389" s="280">
        <v>71</v>
      </c>
      <c r="AF389" s="280">
        <v>68</v>
      </c>
      <c r="AG389" s="280">
        <v>65</v>
      </c>
      <c r="AH389" s="280">
        <v>64</v>
      </c>
    </row>
    <row r="390" spans="1:34" s="1" customFormat="1" ht="13" x14ac:dyDescent="0.25">
      <c r="A390" s="280" t="s">
        <v>932</v>
      </c>
      <c r="B390" s="286">
        <v>442</v>
      </c>
      <c r="C390" s="286">
        <v>727.875</v>
      </c>
      <c r="D390" s="286">
        <v>1013.7500000000001</v>
      </c>
      <c r="E390" s="286">
        <v>5</v>
      </c>
      <c r="F390" s="281">
        <v>1</v>
      </c>
      <c r="G390" s="282">
        <v>80.489678562500004</v>
      </c>
      <c r="H390" s="282">
        <v>81.162101143749993</v>
      </c>
      <c r="I390" s="282">
        <v>81.777610420833341</v>
      </c>
      <c r="J390" s="282">
        <v>83.495582806666675</v>
      </c>
      <c r="K390" s="282">
        <v>81.034140525277778</v>
      </c>
      <c r="L390" s="282">
        <v>81.111656004861103</v>
      </c>
      <c r="M390" s="282">
        <v>82.403827316111091</v>
      </c>
      <c r="N390" s="282">
        <v>83.514414198611092</v>
      </c>
      <c r="O390" s="282">
        <v>83.79524743333333</v>
      </c>
      <c r="P390" s="282">
        <v>82.522213379999982</v>
      </c>
      <c r="Q390" s="282">
        <v>80.895429058124989</v>
      </c>
      <c r="R390" s="283">
        <v>78.856453362499991</v>
      </c>
      <c r="S390" s="284">
        <v>900.56867565006939</v>
      </c>
      <c r="T390" s="284">
        <v>490.98491821749997</v>
      </c>
      <c r="U390" s="296">
        <f t="shared" si="12"/>
        <v>-17.22032434993082</v>
      </c>
      <c r="V390" s="296">
        <f t="shared" si="13"/>
        <v>-8.8090817825000158</v>
      </c>
      <c r="W390" s="287">
        <v>87</v>
      </c>
      <c r="X390" s="280">
        <v>85</v>
      </c>
      <c r="Y390" s="280">
        <v>84</v>
      </c>
      <c r="Z390" s="280">
        <v>82</v>
      </c>
      <c r="AA390" s="280">
        <v>79</v>
      </c>
      <c r="AB390" s="280">
        <v>78</v>
      </c>
      <c r="AC390" s="280">
        <v>78</v>
      </c>
      <c r="AD390" s="280">
        <v>79</v>
      </c>
      <c r="AE390" s="280">
        <v>78</v>
      </c>
      <c r="AF390" s="280">
        <v>76</v>
      </c>
      <c r="AG390" s="280">
        <v>74</v>
      </c>
      <c r="AH390" s="280">
        <v>74</v>
      </c>
    </row>
    <row r="391" spans="1:34" s="1" customFormat="1" ht="13" x14ac:dyDescent="0.25">
      <c r="A391" s="280" t="s">
        <v>933</v>
      </c>
      <c r="B391" s="286">
        <v>442</v>
      </c>
      <c r="C391" s="286">
        <v>727.875</v>
      </c>
      <c r="D391" s="286">
        <v>1013.7500000000001</v>
      </c>
      <c r="E391" s="286">
        <v>5</v>
      </c>
      <c r="F391" s="281">
        <v>2</v>
      </c>
      <c r="G391" s="282">
        <v>80.489678562500004</v>
      </c>
      <c r="H391" s="282">
        <v>81.162101143749993</v>
      </c>
      <c r="I391" s="282">
        <v>82.222610420833334</v>
      </c>
      <c r="J391" s="282">
        <v>84.385582806666676</v>
      </c>
      <c r="K391" s="282">
        <v>82.369140525277771</v>
      </c>
      <c r="L391" s="282">
        <v>82.959031004861103</v>
      </c>
      <c r="M391" s="282">
        <v>84.763577316111096</v>
      </c>
      <c r="N391" s="282">
        <v>86.386539198611104</v>
      </c>
      <c r="O391" s="282">
        <v>87.233528683333333</v>
      </c>
      <c r="P391" s="282">
        <v>86.526650879999991</v>
      </c>
      <c r="Q391" s="282">
        <v>85.466022808125004</v>
      </c>
      <c r="R391" s="283">
        <v>83.993203362499997</v>
      </c>
      <c r="S391" s="284">
        <v>927.46798815006946</v>
      </c>
      <c r="T391" s="284">
        <v>497.86204321749995</v>
      </c>
      <c r="U391" s="296">
        <f t="shared" si="12"/>
        <v>9.6789881500692445</v>
      </c>
      <c r="V391" s="296">
        <f t="shared" si="13"/>
        <v>-1.9319567825000377</v>
      </c>
      <c r="W391" s="287">
        <v>87</v>
      </c>
      <c r="X391" s="280">
        <v>85</v>
      </c>
      <c r="Y391" s="280">
        <v>85</v>
      </c>
      <c r="Z391" s="280">
        <v>84</v>
      </c>
      <c r="AA391" s="280">
        <v>82</v>
      </c>
      <c r="AB391" s="280">
        <v>82</v>
      </c>
      <c r="AC391" s="280">
        <v>83</v>
      </c>
      <c r="AD391" s="280">
        <v>85</v>
      </c>
      <c r="AE391" s="280">
        <v>85</v>
      </c>
      <c r="AF391" s="280">
        <v>84</v>
      </c>
      <c r="AG391" s="280">
        <v>83</v>
      </c>
      <c r="AH391" s="280">
        <v>84</v>
      </c>
    </row>
    <row r="392" spans="1:34" s="1" customFormat="1" ht="13" x14ac:dyDescent="0.25">
      <c r="A392" s="280" t="s">
        <v>934</v>
      </c>
      <c r="B392" s="286">
        <v>442</v>
      </c>
      <c r="C392" s="286">
        <v>727.875</v>
      </c>
      <c r="D392" s="286">
        <v>1013.7500000000001</v>
      </c>
      <c r="E392" s="286">
        <v>5</v>
      </c>
      <c r="F392" s="281">
        <v>3</v>
      </c>
      <c r="G392" s="282">
        <v>80.489678562500004</v>
      </c>
      <c r="H392" s="282">
        <v>81.162101143749993</v>
      </c>
      <c r="I392" s="282">
        <v>82.667610420833341</v>
      </c>
      <c r="J392" s="282">
        <v>85.275582806666677</v>
      </c>
      <c r="K392" s="282">
        <v>83.704140525277793</v>
      </c>
      <c r="L392" s="282">
        <v>84.806406004861103</v>
      </c>
      <c r="M392" s="282">
        <v>87.123327316111101</v>
      </c>
      <c r="N392" s="282">
        <v>89.2586641986111</v>
      </c>
      <c r="O392" s="282">
        <v>90.671809933333336</v>
      </c>
      <c r="P392" s="282">
        <v>90.531088379999986</v>
      </c>
      <c r="Q392" s="282">
        <v>90.036616558125004</v>
      </c>
      <c r="R392" s="283">
        <v>89.129953362500004</v>
      </c>
      <c r="S392" s="284">
        <v>954.36730065006952</v>
      </c>
      <c r="T392" s="284">
        <v>504.73916821750004</v>
      </c>
      <c r="U392" s="296">
        <f t="shared" si="12"/>
        <v>36.578300650069309</v>
      </c>
      <c r="V392" s="296">
        <f t="shared" si="13"/>
        <v>4.9451682175000542</v>
      </c>
      <c r="W392" s="287">
        <v>87</v>
      </c>
      <c r="X392" s="280">
        <v>85</v>
      </c>
      <c r="Y392" s="280">
        <v>86</v>
      </c>
      <c r="Z392" s="280">
        <v>86</v>
      </c>
      <c r="AA392" s="280">
        <v>85</v>
      </c>
      <c r="AB392" s="280">
        <v>86</v>
      </c>
      <c r="AC392" s="280">
        <v>88</v>
      </c>
      <c r="AD392" s="280">
        <v>91</v>
      </c>
      <c r="AE392" s="280">
        <v>92</v>
      </c>
      <c r="AF392" s="280">
        <v>92</v>
      </c>
      <c r="AG392" s="280">
        <v>92</v>
      </c>
      <c r="AH392" s="280">
        <v>94</v>
      </c>
    </row>
    <row r="393" spans="1:34" s="1" customFormat="1" ht="13" x14ac:dyDescent="0.25">
      <c r="A393" s="280" t="s">
        <v>935</v>
      </c>
      <c r="B393" s="286">
        <v>442</v>
      </c>
      <c r="C393" s="286">
        <v>727.875</v>
      </c>
      <c r="D393" s="286">
        <v>1013.7500000000001</v>
      </c>
      <c r="E393" s="286">
        <v>5</v>
      </c>
      <c r="F393" s="281">
        <v>4</v>
      </c>
      <c r="G393" s="282">
        <v>80.489678562500004</v>
      </c>
      <c r="H393" s="282">
        <v>81.162101143749993</v>
      </c>
      <c r="I393" s="282">
        <v>83.112610420833335</v>
      </c>
      <c r="J393" s="282">
        <v>86.165582806666677</v>
      </c>
      <c r="K393" s="282">
        <v>85.039140525277787</v>
      </c>
      <c r="L393" s="282">
        <v>86.653781004861102</v>
      </c>
      <c r="M393" s="282">
        <v>89.483077316111107</v>
      </c>
      <c r="N393" s="282">
        <v>92.130789198611097</v>
      </c>
      <c r="O393" s="282">
        <v>94.110091183333324</v>
      </c>
      <c r="P393" s="282">
        <v>94.535525879999994</v>
      </c>
      <c r="Q393" s="282">
        <v>94.607210308125005</v>
      </c>
      <c r="R393" s="283">
        <v>94.266703362499996</v>
      </c>
      <c r="S393" s="284">
        <v>981.26661315006947</v>
      </c>
      <c r="T393" s="284">
        <v>511.61629321750002</v>
      </c>
      <c r="U393" s="296">
        <f t="shared" si="12"/>
        <v>63.47761315006926</v>
      </c>
      <c r="V393" s="296">
        <f t="shared" si="13"/>
        <v>11.822293217500032</v>
      </c>
      <c r="W393" s="287">
        <v>87</v>
      </c>
      <c r="X393" s="280">
        <v>85</v>
      </c>
      <c r="Y393" s="280">
        <v>87</v>
      </c>
      <c r="Z393" s="280">
        <v>88</v>
      </c>
      <c r="AA393" s="280">
        <v>88</v>
      </c>
      <c r="AB393" s="280">
        <v>90</v>
      </c>
      <c r="AC393" s="280">
        <v>93</v>
      </c>
      <c r="AD393" s="280">
        <v>97</v>
      </c>
      <c r="AE393" s="280">
        <v>99</v>
      </c>
      <c r="AF393" s="280">
        <v>100</v>
      </c>
      <c r="AG393" s="280">
        <v>101</v>
      </c>
      <c r="AH393" s="280">
        <v>104</v>
      </c>
    </row>
    <row r="394" spans="1:34" s="1" customFormat="1" ht="13" x14ac:dyDescent="0.25">
      <c r="A394" s="280" t="s">
        <v>936</v>
      </c>
      <c r="B394" s="286">
        <v>442</v>
      </c>
      <c r="C394" s="286">
        <v>727.875</v>
      </c>
      <c r="D394" s="286">
        <v>1013.7500000000001</v>
      </c>
      <c r="E394" s="286">
        <v>5</v>
      </c>
      <c r="F394" s="281">
        <v>5</v>
      </c>
      <c r="G394" s="282">
        <v>80.489678562500004</v>
      </c>
      <c r="H394" s="282">
        <v>81.162101143749993</v>
      </c>
      <c r="I394" s="282">
        <v>83.557610420833342</v>
      </c>
      <c r="J394" s="282">
        <v>87.055582806666678</v>
      </c>
      <c r="K394" s="282">
        <v>86.374140525277795</v>
      </c>
      <c r="L394" s="282">
        <v>88.501156004861102</v>
      </c>
      <c r="M394" s="282">
        <v>91.842827316111112</v>
      </c>
      <c r="N394" s="282">
        <v>95.002914198611094</v>
      </c>
      <c r="O394" s="282">
        <v>97.548372433333327</v>
      </c>
      <c r="P394" s="282">
        <v>98.539963379999989</v>
      </c>
      <c r="Q394" s="282">
        <v>99.177804058125005</v>
      </c>
      <c r="R394" s="283">
        <v>99.403453362500002</v>
      </c>
      <c r="S394" s="284">
        <v>1008.1659256500697</v>
      </c>
      <c r="T394" s="284">
        <v>518.49341821750011</v>
      </c>
      <c r="U394" s="296">
        <f t="shared" si="12"/>
        <v>90.376925650069438</v>
      </c>
      <c r="V394" s="296">
        <f t="shared" si="13"/>
        <v>18.699418217500124</v>
      </c>
      <c r="W394" s="287">
        <v>87</v>
      </c>
      <c r="X394" s="280">
        <v>85</v>
      </c>
      <c r="Y394" s="280">
        <v>88</v>
      </c>
      <c r="Z394" s="280">
        <v>90</v>
      </c>
      <c r="AA394" s="280">
        <v>91</v>
      </c>
      <c r="AB394" s="280">
        <v>94</v>
      </c>
      <c r="AC394" s="280">
        <v>98</v>
      </c>
      <c r="AD394" s="280">
        <v>103</v>
      </c>
      <c r="AE394" s="280">
        <v>106</v>
      </c>
      <c r="AF394" s="280">
        <v>108</v>
      </c>
      <c r="AG394" s="280">
        <v>110</v>
      </c>
      <c r="AH394" s="280">
        <v>114</v>
      </c>
    </row>
    <row r="395" spans="1:34" s="1" customFormat="1" ht="13" x14ac:dyDescent="0.25">
      <c r="A395" s="280" t="s">
        <v>937</v>
      </c>
      <c r="B395" s="286">
        <v>442</v>
      </c>
      <c r="C395" s="286">
        <v>727.875</v>
      </c>
      <c r="D395" s="286">
        <v>1013.7500000000001</v>
      </c>
      <c r="E395" s="286">
        <v>1</v>
      </c>
      <c r="F395" s="281">
        <v>0</v>
      </c>
      <c r="G395" s="282">
        <v>80.489678562500004</v>
      </c>
      <c r="H395" s="282">
        <v>83.796849218749998</v>
      </c>
      <c r="I395" s="282">
        <v>84.492091662499988</v>
      </c>
      <c r="J395" s="282">
        <v>85.954998223333334</v>
      </c>
      <c r="K395" s="282">
        <v>82.899981441944433</v>
      </c>
      <c r="L395" s="282">
        <v>81.574546171527771</v>
      </c>
      <c r="M395" s="282">
        <v>82.127723149444435</v>
      </c>
      <c r="N395" s="282">
        <v>82.605164198611092</v>
      </c>
      <c r="O395" s="282">
        <v>82.646424516666656</v>
      </c>
      <c r="P395" s="282">
        <v>80.792484213333339</v>
      </c>
      <c r="Q395" s="282">
        <v>78.600501974791655</v>
      </c>
      <c r="R395" s="283">
        <v>76.114245029166653</v>
      </c>
      <c r="S395" s="284">
        <v>901.60500980006941</v>
      </c>
      <c r="T395" s="284">
        <v>500.84618986749996</v>
      </c>
      <c r="U395" s="296">
        <f t="shared" si="12"/>
        <v>-16.183990199930804</v>
      </c>
      <c r="V395" s="296">
        <f t="shared" si="13"/>
        <v>1.0521898674999761</v>
      </c>
      <c r="W395" s="287">
        <v>87</v>
      </c>
      <c r="X395" s="280">
        <v>85</v>
      </c>
      <c r="Y395" s="280">
        <v>83</v>
      </c>
      <c r="Z395" s="280">
        <v>80</v>
      </c>
      <c r="AA395" s="280">
        <v>76</v>
      </c>
      <c r="AB395" s="280">
        <v>74</v>
      </c>
      <c r="AC395" s="280">
        <v>73</v>
      </c>
      <c r="AD395" s="280">
        <v>73</v>
      </c>
      <c r="AE395" s="280">
        <v>71</v>
      </c>
      <c r="AF395" s="280">
        <v>68</v>
      </c>
      <c r="AG395" s="280">
        <v>65</v>
      </c>
      <c r="AH395" s="280">
        <v>64</v>
      </c>
    </row>
    <row r="396" spans="1:34" s="1" customFormat="1" ht="13" x14ac:dyDescent="0.25">
      <c r="A396" s="280" t="s">
        <v>938</v>
      </c>
      <c r="B396" s="286">
        <v>442</v>
      </c>
      <c r="C396" s="286">
        <v>727.875</v>
      </c>
      <c r="D396" s="286">
        <v>1013.7500000000001</v>
      </c>
      <c r="E396" s="286">
        <v>1</v>
      </c>
      <c r="F396" s="281">
        <v>1</v>
      </c>
      <c r="G396" s="282">
        <v>80.489678562500004</v>
      </c>
      <c r="H396" s="282">
        <v>83.796849218749998</v>
      </c>
      <c r="I396" s="282">
        <v>84.937091662499995</v>
      </c>
      <c r="J396" s="282">
        <v>86.844998223333334</v>
      </c>
      <c r="K396" s="282">
        <v>84.234981441944441</v>
      </c>
      <c r="L396" s="282">
        <v>83.421921171527771</v>
      </c>
      <c r="M396" s="282">
        <v>84.48747314944444</v>
      </c>
      <c r="N396" s="282">
        <v>85.477289198611118</v>
      </c>
      <c r="O396" s="282">
        <v>86.085330766666658</v>
      </c>
      <c r="P396" s="282">
        <v>84.798171713333332</v>
      </c>
      <c r="Q396" s="282">
        <v>83.172970724791668</v>
      </c>
      <c r="R396" s="283">
        <v>81.253495029166658</v>
      </c>
      <c r="S396" s="284">
        <v>928.51057230006927</v>
      </c>
      <c r="T396" s="284">
        <v>507.72331486749999</v>
      </c>
      <c r="U396" s="296">
        <f t="shared" si="12"/>
        <v>10.721572300069056</v>
      </c>
      <c r="V396" s="296">
        <f t="shared" si="13"/>
        <v>7.9293148675000111</v>
      </c>
      <c r="W396" s="287">
        <v>87</v>
      </c>
      <c r="X396" s="280">
        <v>85</v>
      </c>
      <c r="Y396" s="280">
        <v>84</v>
      </c>
      <c r="Z396" s="280">
        <v>82</v>
      </c>
      <c r="AA396" s="280">
        <v>79</v>
      </c>
      <c r="AB396" s="280">
        <v>78</v>
      </c>
      <c r="AC396" s="280">
        <v>78</v>
      </c>
      <c r="AD396" s="280">
        <v>79</v>
      </c>
      <c r="AE396" s="280">
        <v>78</v>
      </c>
      <c r="AF396" s="280">
        <v>76</v>
      </c>
      <c r="AG396" s="280">
        <v>74</v>
      </c>
      <c r="AH396" s="280">
        <v>74</v>
      </c>
    </row>
    <row r="397" spans="1:34" s="1" customFormat="1" ht="13" x14ac:dyDescent="0.25">
      <c r="A397" s="280" t="s">
        <v>939</v>
      </c>
      <c r="B397" s="286">
        <v>442</v>
      </c>
      <c r="C397" s="286">
        <v>727.875</v>
      </c>
      <c r="D397" s="286">
        <v>1013.7500000000001</v>
      </c>
      <c r="E397" s="286">
        <v>1</v>
      </c>
      <c r="F397" s="281">
        <v>2</v>
      </c>
      <c r="G397" s="282">
        <v>80.489678562500004</v>
      </c>
      <c r="H397" s="282">
        <v>83.796849218749998</v>
      </c>
      <c r="I397" s="282">
        <v>85.382091662499988</v>
      </c>
      <c r="J397" s="282">
        <v>87.734998223333335</v>
      </c>
      <c r="K397" s="282">
        <v>85.569981441944449</v>
      </c>
      <c r="L397" s="282">
        <v>85.26929617152777</v>
      </c>
      <c r="M397" s="282">
        <v>86.847223149444446</v>
      </c>
      <c r="N397" s="282">
        <v>88.3494141986111</v>
      </c>
      <c r="O397" s="282">
        <v>89.52423701666666</v>
      </c>
      <c r="P397" s="282">
        <v>88.80385921333334</v>
      </c>
      <c r="Q397" s="282">
        <v>87.745439474791667</v>
      </c>
      <c r="R397" s="283">
        <v>86.392745029166662</v>
      </c>
      <c r="S397" s="284">
        <v>955.41613480006947</v>
      </c>
      <c r="T397" s="284">
        <v>514.60043986749997</v>
      </c>
      <c r="U397" s="296">
        <f t="shared" si="12"/>
        <v>37.627134800069257</v>
      </c>
      <c r="V397" s="296">
        <f t="shared" si="13"/>
        <v>14.806439867499989</v>
      </c>
      <c r="W397" s="287">
        <v>87</v>
      </c>
      <c r="X397" s="280">
        <v>85</v>
      </c>
      <c r="Y397" s="280">
        <v>85</v>
      </c>
      <c r="Z397" s="280">
        <v>84</v>
      </c>
      <c r="AA397" s="280">
        <v>82</v>
      </c>
      <c r="AB397" s="280">
        <v>82</v>
      </c>
      <c r="AC397" s="280">
        <v>83</v>
      </c>
      <c r="AD397" s="280">
        <v>85</v>
      </c>
      <c r="AE397" s="280">
        <v>85</v>
      </c>
      <c r="AF397" s="280">
        <v>84</v>
      </c>
      <c r="AG397" s="280">
        <v>83</v>
      </c>
      <c r="AH397" s="280">
        <v>84</v>
      </c>
    </row>
    <row r="398" spans="1:34" s="1" customFormat="1" ht="13" x14ac:dyDescent="0.25">
      <c r="A398" s="280" t="s">
        <v>940</v>
      </c>
      <c r="B398" s="286">
        <v>442</v>
      </c>
      <c r="C398" s="286">
        <v>727.875</v>
      </c>
      <c r="D398" s="286">
        <v>1013.7500000000001</v>
      </c>
      <c r="E398" s="286">
        <v>1</v>
      </c>
      <c r="F398" s="281">
        <v>3</v>
      </c>
      <c r="G398" s="282">
        <v>80.489678562500004</v>
      </c>
      <c r="H398" s="282">
        <v>83.796849218749998</v>
      </c>
      <c r="I398" s="282">
        <v>85.827091662499996</v>
      </c>
      <c r="J398" s="282">
        <v>88.624998223333321</v>
      </c>
      <c r="K398" s="282">
        <v>86.904981441944443</v>
      </c>
      <c r="L398" s="282">
        <v>87.11667117152777</v>
      </c>
      <c r="M398" s="282">
        <v>89.206973149444437</v>
      </c>
      <c r="N398" s="282">
        <v>91.221539198611097</v>
      </c>
      <c r="O398" s="282">
        <v>92.963143266666663</v>
      </c>
      <c r="P398" s="282">
        <v>92.809546713333333</v>
      </c>
      <c r="Q398" s="282">
        <v>92.317908224791665</v>
      </c>
      <c r="R398" s="283">
        <v>91.531995029166666</v>
      </c>
      <c r="S398" s="284">
        <v>982.32169730006945</v>
      </c>
      <c r="T398" s="284">
        <v>521.47756486749995</v>
      </c>
      <c r="U398" s="296">
        <f t="shared" si="12"/>
        <v>64.532697300069231</v>
      </c>
      <c r="V398" s="296">
        <f t="shared" si="13"/>
        <v>21.683564867499967</v>
      </c>
      <c r="W398" s="287">
        <v>87</v>
      </c>
      <c r="X398" s="280">
        <v>85</v>
      </c>
      <c r="Y398" s="280">
        <v>86</v>
      </c>
      <c r="Z398" s="280">
        <v>86</v>
      </c>
      <c r="AA398" s="280">
        <v>85</v>
      </c>
      <c r="AB398" s="280">
        <v>86</v>
      </c>
      <c r="AC398" s="280">
        <v>88</v>
      </c>
      <c r="AD398" s="280">
        <v>91</v>
      </c>
      <c r="AE398" s="280">
        <v>92</v>
      </c>
      <c r="AF398" s="280">
        <v>92</v>
      </c>
      <c r="AG398" s="280">
        <v>92</v>
      </c>
      <c r="AH398" s="280">
        <v>94</v>
      </c>
    </row>
    <row r="399" spans="1:34" s="1" customFormat="1" ht="13" x14ac:dyDescent="0.25">
      <c r="A399" s="280" t="s">
        <v>941</v>
      </c>
      <c r="B399" s="286">
        <v>442</v>
      </c>
      <c r="C399" s="286">
        <v>727.875</v>
      </c>
      <c r="D399" s="286">
        <v>1013.7500000000001</v>
      </c>
      <c r="E399" s="286">
        <v>1</v>
      </c>
      <c r="F399" s="281">
        <v>4</v>
      </c>
      <c r="G399" s="282">
        <v>80.489678562500004</v>
      </c>
      <c r="H399" s="282">
        <v>83.796849218749998</v>
      </c>
      <c r="I399" s="282">
        <v>86.272091662499989</v>
      </c>
      <c r="J399" s="282">
        <v>89.514998223333322</v>
      </c>
      <c r="K399" s="282">
        <v>88.239981441944451</v>
      </c>
      <c r="L399" s="282">
        <v>88.96404617152777</v>
      </c>
      <c r="M399" s="282">
        <v>91.566723149444442</v>
      </c>
      <c r="N399" s="282">
        <v>94.093664198611094</v>
      </c>
      <c r="O399" s="282">
        <v>96.402049516666651</v>
      </c>
      <c r="P399" s="282">
        <v>96.815234213333326</v>
      </c>
      <c r="Q399" s="282">
        <v>96.890376974791664</v>
      </c>
      <c r="R399" s="283">
        <v>96.671245029166656</v>
      </c>
      <c r="S399" s="284">
        <v>1009.2272598000696</v>
      </c>
      <c r="T399" s="284">
        <v>528.35468986750004</v>
      </c>
      <c r="U399" s="296">
        <f t="shared" si="12"/>
        <v>91.438259800069432</v>
      </c>
      <c r="V399" s="296">
        <f t="shared" si="13"/>
        <v>28.560689867500059</v>
      </c>
      <c r="W399" s="287">
        <v>87</v>
      </c>
      <c r="X399" s="280">
        <v>85</v>
      </c>
      <c r="Y399" s="280">
        <v>87</v>
      </c>
      <c r="Z399" s="280">
        <v>88</v>
      </c>
      <c r="AA399" s="280">
        <v>88</v>
      </c>
      <c r="AB399" s="280">
        <v>90</v>
      </c>
      <c r="AC399" s="280">
        <v>93</v>
      </c>
      <c r="AD399" s="280">
        <v>97</v>
      </c>
      <c r="AE399" s="280">
        <v>99</v>
      </c>
      <c r="AF399" s="280">
        <v>100</v>
      </c>
      <c r="AG399" s="280">
        <v>101</v>
      </c>
      <c r="AH399" s="280">
        <v>104</v>
      </c>
    </row>
    <row r="400" spans="1:34" s="1" customFormat="1" ht="13" x14ac:dyDescent="0.25">
      <c r="A400" s="280" t="s">
        <v>942</v>
      </c>
      <c r="B400" s="286">
        <v>442</v>
      </c>
      <c r="C400" s="286">
        <v>727.875</v>
      </c>
      <c r="D400" s="286">
        <v>1013.7500000000001</v>
      </c>
      <c r="E400" s="286">
        <v>1</v>
      </c>
      <c r="F400" s="281">
        <v>5</v>
      </c>
      <c r="G400" s="282">
        <v>80.489678562500004</v>
      </c>
      <c r="H400" s="282">
        <v>83.796849218749998</v>
      </c>
      <c r="I400" s="282">
        <v>86.717091662499996</v>
      </c>
      <c r="J400" s="282">
        <v>90.404998223333322</v>
      </c>
      <c r="K400" s="282">
        <v>89.574981441944459</v>
      </c>
      <c r="L400" s="282">
        <v>90.811421171527769</v>
      </c>
      <c r="M400" s="282">
        <v>93.926473149444433</v>
      </c>
      <c r="N400" s="282">
        <v>96.965789198611105</v>
      </c>
      <c r="O400" s="282">
        <v>99.840955766666653</v>
      </c>
      <c r="P400" s="282">
        <v>100.82092171333333</v>
      </c>
      <c r="Q400" s="282">
        <v>101.46284572479166</v>
      </c>
      <c r="R400" s="283">
        <v>101.81049502916666</v>
      </c>
      <c r="S400" s="284">
        <v>1036.1328223000694</v>
      </c>
      <c r="T400" s="284">
        <v>535.23181486749991</v>
      </c>
      <c r="U400" s="296">
        <f t="shared" si="12"/>
        <v>118.34382230006918</v>
      </c>
      <c r="V400" s="296">
        <f t="shared" si="13"/>
        <v>35.437814867499924</v>
      </c>
      <c r="W400" s="287">
        <v>87</v>
      </c>
      <c r="X400" s="280">
        <v>85</v>
      </c>
      <c r="Y400" s="280">
        <v>88</v>
      </c>
      <c r="Z400" s="280">
        <v>90</v>
      </c>
      <c r="AA400" s="280">
        <v>91</v>
      </c>
      <c r="AB400" s="280">
        <v>94</v>
      </c>
      <c r="AC400" s="280">
        <v>98</v>
      </c>
      <c r="AD400" s="280">
        <v>103</v>
      </c>
      <c r="AE400" s="280">
        <v>106</v>
      </c>
      <c r="AF400" s="280">
        <v>108</v>
      </c>
      <c r="AG400" s="280">
        <v>110</v>
      </c>
      <c r="AH400" s="280">
        <v>114</v>
      </c>
    </row>
    <row r="401" spans="1:34" s="1" customFormat="1" ht="13" x14ac:dyDescent="0.25">
      <c r="A401" s="280" t="s">
        <v>943</v>
      </c>
      <c r="B401" s="286">
        <v>442</v>
      </c>
      <c r="C401" s="286">
        <v>727.875</v>
      </c>
      <c r="D401" s="286">
        <v>1013.7500000000001</v>
      </c>
      <c r="E401" s="286">
        <v>2</v>
      </c>
      <c r="F401" s="281">
        <v>0</v>
      </c>
      <c r="G401" s="282">
        <v>80.489678562500004</v>
      </c>
      <c r="H401" s="282">
        <v>82.403602968750008</v>
      </c>
      <c r="I401" s="282">
        <v>83.315387662500001</v>
      </c>
      <c r="J401" s="282">
        <v>84.732938473333334</v>
      </c>
      <c r="K401" s="282">
        <v>81.977977941944445</v>
      </c>
      <c r="L401" s="282">
        <v>81.182046171527773</v>
      </c>
      <c r="M401" s="282">
        <v>81.690743982777775</v>
      </c>
      <c r="N401" s="282">
        <v>82.153914198611105</v>
      </c>
      <c r="O401" s="282">
        <v>82.017049516666646</v>
      </c>
      <c r="P401" s="282">
        <v>80.341234213333337</v>
      </c>
      <c r="Q401" s="282">
        <v>78.113626974791643</v>
      </c>
      <c r="R401" s="283">
        <v>75.532370029166657</v>
      </c>
      <c r="S401" s="284">
        <v>893.46089213340269</v>
      </c>
      <c r="T401" s="284">
        <v>495.30269720083334</v>
      </c>
      <c r="U401" s="296">
        <f t="shared" si="12"/>
        <v>-24.32810786659752</v>
      </c>
      <c r="V401" s="296">
        <f t="shared" si="13"/>
        <v>-4.4913027991666468</v>
      </c>
      <c r="W401" s="287">
        <v>87</v>
      </c>
      <c r="X401" s="280">
        <v>85</v>
      </c>
      <c r="Y401" s="280">
        <v>83</v>
      </c>
      <c r="Z401" s="280">
        <v>80</v>
      </c>
      <c r="AA401" s="280">
        <v>76</v>
      </c>
      <c r="AB401" s="280">
        <v>74</v>
      </c>
      <c r="AC401" s="280">
        <v>73</v>
      </c>
      <c r="AD401" s="280">
        <v>73</v>
      </c>
      <c r="AE401" s="280">
        <v>71</v>
      </c>
      <c r="AF401" s="280">
        <v>68</v>
      </c>
      <c r="AG401" s="280">
        <v>65</v>
      </c>
      <c r="AH401" s="280">
        <v>64</v>
      </c>
    </row>
    <row r="402" spans="1:34" s="1" customFormat="1" ht="13" x14ac:dyDescent="0.25">
      <c r="A402" s="280" t="s">
        <v>944</v>
      </c>
      <c r="B402" s="286">
        <v>442</v>
      </c>
      <c r="C402" s="286">
        <v>727.875</v>
      </c>
      <c r="D402" s="286">
        <v>1013.7500000000001</v>
      </c>
      <c r="E402" s="286">
        <v>2</v>
      </c>
      <c r="F402" s="281">
        <v>1</v>
      </c>
      <c r="G402" s="282">
        <v>80.489678562500004</v>
      </c>
      <c r="H402" s="282">
        <v>82.403602968750008</v>
      </c>
      <c r="I402" s="282">
        <v>83.760387662499994</v>
      </c>
      <c r="J402" s="282">
        <v>85.622938473333335</v>
      </c>
      <c r="K402" s="282">
        <v>83.312977941944453</v>
      </c>
      <c r="L402" s="282">
        <v>83.029421171527773</v>
      </c>
      <c r="M402" s="282">
        <v>84.05049398277778</v>
      </c>
      <c r="N402" s="282">
        <v>85.026039198611116</v>
      </c>
      <c r="O402" s="282">
        <v>85.455955766666662</v>
      </c>
      <c r="P402" s="282">
        <v>84.34692171333333</v>
      </c>
      <c r="Q402" s="282">
        <v>82.68609572479167</v>
      </c>
      <c r="R402" s="283">
        <v>80.671620029166661</v>
      </c>
      <c r="S402" s="284">
        <v>920.36645463340278</v>
      </c>
      <c r="T402" s="284">
        <v>502.17982220083331</v>
      </c>
      <c r="U402" s="296">
        <f t="shared" si="12"/>
        <v>2.5774546334025672</v>
      </c>
      <c r="V402" s="296">
        <f t="shared" si="13"/>
        <v>2.3858222008333314</v>
      </c>
      <c r="W402" s="287">
        <v>87</v>
      </c>
      <c r="X402" s="280">
        <v>85</v>
      </c>
      <c r="Y402" s="280">
        <v>84</v>
      </c>
      <c r="Z402" s="280">
        <v>82</v>
      </c>
      <c r="AA402" s="280">
        <v>79</v>
      </c>
      <c r="AB402" s="280">
        <v>78</v>
      </c>
      <c r="AC402" s="280">
        <v>78</v>
      </c>
      <c r="AD402" s="280">
        <v>79</v>
      </c>
      <c r="AE402" s="280">
        <v>78</v>
      </c>
      <c r="AF402" s="280">
        <v>76</v>
      </c>
      <c r="AG402" s="280">
        <v>74</v>
      </c>
      <c r="AH402" s="280">
        <v>74</v>
      </c>
    </row>
    <row r="403" spans="1:34" s="1" customFormat="1" ht="13" x14ac:dyDescent="0.25">
      <c r="A403" s="280" t="s">
        <v>945</v>
      </c>
      <c r="B403" s="286">
        <v>442</v>
      </c>
      <c r="C403" s="286">
        <v>727.875</v>
      </c>
      <c r="D403" s="286">
        <v>1013.7500000000001</v>
      </c>
      <c r="E403" s="286">
        <v>2</v>
      </c>
      <c r="F403" s="281">
        <v>2</v>
      </c>
      <c r="G403" s="282">
        <v>80.489678562500004</v>
      </c>
      <c r="H403" s="282">
        <v>82.403602968750008</v>
      </c>
      <c r="I403" s="282">
        <v>84.205387662500002</v>
      </c>
      <c r="J403" s="282">
        <v>86.512938473333321</v>
      </c>
      <c r="K403" s="282">
        <v>84.647977941944461</v>
      </c>
      <c r="L403" s="282">
        <v>84.876796171527772</v>
      </c>
      <c r="M403" s="282">
        <v>86.410243982777786</v>
      </c>
      <c r="N403" s="282">
        <v>87.898164198611099</v>
      </c>
      <c r="O403" s="282">
        <v>88.89486201666665</v>
      </c>
      <c r="P403" s="282">
        <v>88.352609213333338</v>
      </c>
      <c r="Q403" s="282">
        <v>87.258564474791669</v>
      </c>
      <c r="R403" s="283">
        <v>85.810870029166665</v>
      </c>
      <c r="S403" s="284">
        <v>947.27201713340287</v>
      </c>
      <c r="T403" s="284">
        <v>509.05694720083335</v>
      </c>
      <c r="U403" s="296">
        <f t="shared" si="12"/>
        <v>29.483017133402655</v>
      </c>
      <c r="V403" s="296">
        <f t="shared" si="13"/>
        <v>9.2629472008333664</v>
      </c>
      <c r="W403" s="287">
        <v>87</v>
      </c>
      <c r="X403" s="280">
        <v>85</v>
      </c>
      <c r="Y403" s="280">
        <v>85</v>
      </c>
      <c r="Z403" s="280">
        <v>84</v>
      </c>
      <c r="AA403" s="280">
        <v>82</v>
      </c>
      <c r="AB403" s="280">
        <v>82</v>
      </c>
      <c r="AC403" s="280">
        <v>83</v>
      </c>
      <c r="AD403" s="280">
        <v>85</v>
      </c>
      <c r="AE403" s="280">
        <v>85</v>
      </c>
      <c r="AF403" s="280">
        <v>84</v>
      </c>
      <c r="AG403" s="280">
        <v>83</v>
      </c>
      <c r="AH403" s="280">
        <v>84</v>
      </c>
    </row>
    <row r="404" spans="1:34" s="1" customFormat="1" ht="13" x14ac:dyDescent="0.25">
      <c r="A404" s="280" t="s">
        <v>946</v>
      </c>
      <c r="B404" s="286">
        <v>442</v>
      </c>
      <c r="C404" s="286">
        <v>727.875</v>
      </c>
      <c r="D404" s="286">
        <v>1013.7500000000001</v>
      </c>
      <c r="E404" s="286">
        <v>2</v>
      </c>
      <c r="F404" s="281">
        <v>3</v>
      </c>
      <c r="G404" s="282">
        <v>80.489678562500004</v>
      </c>
      <c r="H404" s="282">
        <v>82.403602968750008</v>
      </c>
      <c r="I404" s="282">
        <v>84.650387662499995</v>
      </c>
      <c r="J404" s="282">
        <v>87.402938473333322</v>
      </c>
      <c r="K404" s="282">
        <v>85.982977941944455</v>
      </c>
      <c r="L404" s="282">
        <v>86.724171171527772</v>
      </c>
      <c r="M404" s="282">
        <v>88.769993982777777</v>
      </c>
      <c r="N404" s="282">
        <v>90.770289198611096</v>
      </c>
      <c r="O404" s="282">
        <v>92.333768266666652</v>
      </c>
      <c r="P404" s="282">
        <v>92.358296713333331</v>
      </c>
      <c r="Q404" s="282">
        <v>91.831033224791668</v>
      </c>
      <c r="R404" s="283">
        <v>90.950120029166655</v>
      </c>
      <c r="S404" s="284">
        <v>974.17757963340262</v>
      </c>
      <c r="T404" s="284">
        <v>515.93407220083327</v>
      </c>
      <c r="U404" s="296">
        <f t="shared" si="12"/>
        <v>56.388579633402401</v>
      </c>
      <c r="V404" s="296">
        <f t="shared" si="13"/>
        <v>16.140072200833288</v>
      </c>
      <c r="W404" s="287">
        <v>87</v>
      </c>
      <c r="X404" s="280">
        <v>85</v>
      </c>
      <c r="Y404" s="280">
        <v>86</v>
      </c>
      <c r="Z404" s="280">
        <v>86</v>
      </c>
      <c r="AA404" s="280">
        <v>85</v>
      </c>
      <c r="AB404" s="280">
        <v>86</v>
      </c>
      <c r="AC404" s="280">
        <v>88</v>
      </c>
      <c r="AD404" s="280">
        <v>91</v>
      </c>
      <c r="AE404" s="280">
        <v>92</v>
      </c>
      <c r="AF404" s="280">
        <v>92</v>
      </c>
      <c r="AG404" s="280">
        <v>92</v>
      </c>
      <c r="AH404" s="280">
        <v>94</v>
      </c>
    </row>
    <row r="405" spans="1:34" s="1" customFormat="1" ht="13" x14ac:dyDescent="0.25">
      <c r="A405" s="280" t="s">
        <v>947</v>
      </c>
      <c r="B405" s="286">
        <v>442</v>
      </c>
      <c r="C405" s="286">
        <v>727.875</v>
      </c>
      <c r="D405" s="286">
        <v>1013.7500000000001</v>
      </c>
      <c r="E405" s="286">
        <v>2</v>
      </c>
      <c r="F405" s="281">
        <v>4</v>
      </c>
      <c r="G405" s="282">
        <v>80.489678562500004</v>
      </c>
      <c r="H405" s="282">
        <v>82.403602968750008</v>
      </c>
      <c r="I405" s="282">
        <v>85.095387662500002</v>
      </c>
      <c r="J405" s="282">
        <v>88.292938473333322</v>
      </c>
      <c r="K405" s="282">
        <v>87.317977941944449</v>
      </c>
      <c r="L405" s="282">
        <v>88.571546171527771</v>
      </c>
      <c r="M405" s="282">
        <v>91.129743982777782</v>
      </c>
      <c r="N405" s="282">
        <v>93.642414198611093</v>
      </c>
      <c r="O405" s="282">
        <v>95.772674516666655</v>
      </c>
      <c r="P405" s="282">
        <v>96.363984213333339</v>
      </c>
      <c r="Q405" s="282">
        <v>96.403501974791666</v>
      </c>
      <c r="R405" s="283">
        <v>96.089370029166659</v>
      </c>
      <c r="S405" s="284">
        <v>1001.0831421334026</v>
      </c>
      <c r="T405" s="284">
        <v>522.81119720083336</v>
      </c>
      <c r="U405" s="296">
        <f t="shared" si="12"/>
        <v>83.294142133402374</v>
      </c>
      <c r="V405" s="296">
        <f t="shared" si="13"/>
        <v>23.01719720083338</v>
      </c>
      <c r="W405" s="287">
        <v>87</v>
      </c>
      <c r="X405" s="280">
        <v>85</v>
      </c>
      <c r="Y405" s="280">
        <v>87</v>
      </c>
      <c r="Z405" s="280">
        <v>88</v>
      </c>
      <c r="AA405" s="280">
        <v>88</v>
      </c>
      <c r="AB405" s="280">
        <v>90</v>
      </c>
      <c r="AC405" s="280">
        <v>93</v>
      </c>
      <c r="AD405" s="280">
        <v>97</v>
      </c>
      <c r="AE405" s="280">
        <v>99</v>
      </c>
      <c r="AF405" s="280">
        <v>100</v>
      </c>
      <c r="AG405" s="280">
        <v>101</v>
      </c>
      <c r="AH405" s="280">
        <v>104</v>
      </c>
    </row>
    <row r="406" spans="1:34" s="1" customFormat="1" ht="13" x14ac:dyDescent="0.25">
      <c r="A406" s="280" t="s">
        <v>948</v>
      </c>
      <c r="B406" s="286">
        <v>442</v>
      </c>
      <c r="C406" s="286">
        <v>727.875</v>
      </c>
      <c r="D406" s="286">
        <v>1013.7500000000001</v>
      </c>
      <c r="E406" s="286">
        <v>2</v>
      </c>
      <c r="F406" s="281">
        <v>5</v>
      </c>
      <c r="G406" s="282">
        <v>80.489678562500004</v>
      </c>
      <c r="H406" s="282">
        <v>82.403602968750008</v>
      </c>
      <c r="I406" s="282">
        <v>85.540387662499995</v>
      </c>
      <c r="J406" s="282">
        <v>89.182938473333323</v>
      </c>
      <c r="K406" s="282">
        <v>88.652977941944457</v>
      </c>
      <c r="L406" s="282">
        <v>90.418921171527771</v>
      </c>
      <c r="M406" s="282">
        <v>93.489493982777788</v>
      </c>
      <c r="N406" s="282">
        <v>96.514539198611104</v>
      </c>
      <c r="O406" s="282">
        <v>99.211580766666657</v>
      </c>
      <c r="P406" s="282">
        <v>100.36967171333333</v>
      </c>
      <c r="Q406" s="282">
        <v>100.97597072479167</v>
      </c>
      <c r="R406" s="283">
        <v>101.22862002916666</v>
      </c>
      <c r="S406" s="284">
        <v>1027.9887046334027</v>
      </c>
      <c r="T406" s="284">
        <v>529.68832220083334</v>
      </c>
      <c r="U406" s="296">
        <f t="shared" si="12"/>
        <v>110.19970463340246</v>
      </c>
      <c r="V406" s="296">
        <f t="shared" si="13"/>
        <v>29.894322200833358</v>
      </c>
      <c r="W406" s="287">
        <v>87</v>
      </c>
      <c r="X406" s="280">
        <v>85</v>
      </c>
      <c r="Y406" s="280">
        <v>88</v>
      </c>
      <c r="Z406" s="280">
        <v>90</v>
      </c>
      <c r="AA406" s="280">
        <v>91</v>
      </c>
      <c r="AB406" s="280">
        <v>94</v>
      </c>
      <c r="AC406" s="280">
        <v>98</v>
      </c>
      <c r="AD406" s="280">
        <v>103</v>
      </c>
      <c r="AE406" s="280">
        <v>106</v>
      </c>
      <c r="AF406" s="280">
        <v>108</v>
      </c>
      <c r="AG406" s="280">
        <v>110</v>
      </c>
      <c r="AH406" s="280">
        <v>114</v>
      </c>
    </row>
    <row r="407" spans="1:34" s="1" customFormat="1" ht="13" x14ac:dyDescent="0.25">
      <c r="A407" s="280" t="s">
        <v>949</v>
      </c>
      <c r="B407" s="286">
        <v>442</v>
      </c>
      <c r="C407" s="286">
        <v>727.875</v>
      </c>
      <c r="D407" s="286">
        <v>1013.7500000000001</v>
      </c>
      <c r="E407" s="286">
        <v>3</v>
      </c>
      <c r="F407" s="281">
        <v>0</v>
      </c>
      <c r="G407" s="282">
        <v>80.489678562500004</v>
      </c>
      <c r="H407" s="282">
        <v>81.835301727083333</v>
      </c>
      <c r="I407" s="282">
        <v>82.415694329166669</v>
      </c>
      <c r="J407" s="282">
        <v>84.012176806666673</v>
      </c>
      <c r="K407" s="282">
        <v>81.214019608611096</v>
      </c>
      <c r="L407" s="282">
        <v>80.643712838194418</v>
      </c>
      <c r="M407" s="282">
        <v>81.253348149444435</v>
      </c>
      <c r="N407" s="282">
        <v>81.734330865277769</v>
      </c>
      <c r="O407" s="282">
        <v>81.506424516666641</v>
      </c>
      <c r="P407" s="282">
        <v>79.771234213333329</v>
      </c>
      <c r="Q407" s="282">
        <v>77.650501974791652</v>
      </c>
      <c r="R407" s="283">
        <v>75.013828362499993</v>
      </c>
      <c r="S407" s="284">
        <v>887.05057339173607</v>
      </c>
      <c r="T407" s="284">
        <v>491.37425345916665</v>
      </c>
      <c r="U407" s="296">
        <f t="shared" si="12"/>
        <v>-30.738426608264149</v>
      </c>
      <c r="V407" s="296">
        <f t="shared" si="13"/>
        <v>-8.4197465408333301</v>
      </c>
      <c r="W407" s="287">
        <v>87</v>
      </c>
      <c r="X407" s="280">
        <v>85</v>
      </c>
      <c r="Y407" s="280">
        <v>83</v>
      </c>
      <c r="Z407" s="280">
        <v>80</v>
      </c>
      <c r="AA407" s="280">
        <v>76</v>
      </c>
      <c r="AB407" s="280">
        <v>74</v>
      </c>
      <c r="AC407" s="280">
        <v>73</v>
      </c>
      <c r="AD407" s="280">
        <v>73</v>
      </c>
      <c r="AE407" s="280">
        <v>71</v>
      </c>
      <c r="AF407" s="280">
        <v>68</v>
      </c>
      <c r="AG407" s="280">
        <v>65</v>
      </c>
      <c r="AH407" s="280">
        <v>64</v>
      </c>
    </row>
    <row r="408" spans="1:34" s="1" customFormat="1" ht="13" x14ac:dyDescent="0.25">
      <c r="A408" s="280" t="s">
        <v>950</v>
      </c>
      <c r="B408" s="286">
        <v>442</v>
      </c>
      <c r="C408" s="286">
        <v>727.875</v>
      </c>
      <c r="D408" s="286">
        <v>1013.7500000000001</v>
      </c>
      <c r="E408" s="286">
        <v>3</v>
      </c>
      <c r="F408" s="281">
        <v>1</v>
      </c>
      <c r="G408" s="282">
        <v>80.489678562500004</v>
      </c>
      <c r="H408" s="282">
        <v>81.835301727083333</v>
      </c>
      <c r="I408" s="282">
        <v>82.860694329166662</v>
      </c>
      <c r="J408" s="282">
        <v>84.902176806666674</v>
      </c>
      <c r="K408" s="282">
        <v>82.54901960861109</v>
      </c>
      <c r="L408" s="282">
        <v>82.491087838194431</v>
      </c>
      <c r="M408" s="282">
        <v>83.613098149444454</v>
      </c>
      <c r="N408" s="282">
        <v>84.606455865277781</v>
      </c>
      <c r="O408" s="282">
        <v>84.945330766666657</v>
      </c>
      <c r="P408" s="282">
        <v>83.776921713333337</v>
      </c>
      <c r="Q408" s="282">
        <v>82.222970724791665</v>
      </c>
      <c r="R408" s="283">
        <v>80.153078362499983</v>
      </c>
      <c r="S408" s="284">
        <v>913.95613589173604</v>
      </c>
      <c r="T408" s="284">
        <v>498.25137845916663</v>
      </c>
      <c r="U408" s="296">
        <f t="shared" si="12"/>
        <v>-3.8328641082641752</v>
      </c>
      <c r="V408" s="296">
        <f t="shared" si="13"/>
        <v>-1.5426215408333519</v>
      </c>
      <c r="W408" s="287">
        <v>87</v>
      </c>
      <c r="X408" s="280">
        <v>85</v>
      </c>
      <c r="Y408" s="280">
        <v>84</v>
      </c>
      <c r="Z408" s="280">
        <v>82</v>
      </c>
      <c r="AA408" s="280">
        <v>79</v>
      </c>
      <c r="AB408" s="280">
        <v>78</v>
      </c>
      <c r="AC408" s="280">
        <v>78</v>
      </c>
      <c r="AD408" s="280">
        <v>79</v>
      </c>
      <c r="AE408" s="280">
        <v>78</v>
      </c>
      <c r="AF408" s="280">
        <v>76</v>
      </c>
      <c r="AG408" s="280">
        <v>74</v>
      </c>
      <c r="AH408" s="280">
        <v>74</v>
      </c>
    </row>
    <row r="409" spans="1:34" s="1" customFormat="1" ht="13" x14ac:dyDescent="0.25">
      <c r="A409" s="280" t="s">
        <v>951</v>
      </c>
      <c r="B409" s="286">
        <v>442</v>
      </c>
      <c r="C409" s="286">
        <v>727.875</v>
      </c>
      <c r="D409" s="286">
        <v>1013.7500000000001</v>
      </c>
      <c r="E409" s="286">
        <v>3</v>
      </c>
      <c r="F409" s="281">
        <v>2</v>
      </c>
      <c r="G409" s="282">
        <v>80.489678562500004</v>
      </c>
      <c r="H409" s="282">
        <v>81.835301727083333</v>
      </c>
      <c r="I409" s="282">
        <v>83.30569432916667</v>
      </c>
      <c r="J409" s="282">
        <v>85.792176806666674</v>
      </c>
      <c r="K409" s="282">
        <v>83.884019608611112</v>
      </c>
      <c r="L409" s="282">
        <v>84.338462838194431</v>
      </c>
      <c r="M409" s="282">
        <v>85.972848149444459</v>
      </c>
      <c r="N409" s="282">
        <v>87.478580865277792</v>
      </c>
      <c r="O409" s="282">
        <v>88.38423701666666</v>
      </c>
      <c r="P409" s="282">
        <v>87.78260921333333</v>
      </c>
      <c r="Q409" s="282">
        <v>86.795439474791664</v>
      </c>
      <c r="R409" s="283">
        <v>85.292328362500001</v>
      </c>
      <c r="S409" s="284">
        <v>940.86169839173624</v>
      </c>
      <c r="T409" s="284">
        <v>505.12850345916667</v>
      </c>
      <c r="U409" s="296">
        <f t="shared" si="12"/>
        <v>23.072698391736026</v>
      </c>
      <c r="V409" s="296">
        <f t="shared" si="13"/>
        <v>5.3345034591666831</v>
      </c>
      <c r="W409" s="287">
        <v>87</v>
      </c>
      <c r="X409" s="280">
        <v>85</v>
      </c>
      <c r="Y409" s="280">
        <v>85</v>
      </c>
      <c r="Z409" s="280">
        <v>84</v>
      </c>
      <c r="AA409" s="280">
        <v>82</v>
      </c>
      <c r="AB409" s="280">
        <v>82</v>
      </c>
      <c r="AC409" s="280">
        <v>83</v>
      </c>
      <c r="AD409" s="280">
        <v>85</v>
      </c>
      <c r="AE409" s="280">
        <v>85</v>
      </c>
      <c r="AF409" s="280">
        <v>84</v>
      </c>
      <c r="AG409" s="280">
        <v>83</v>
      </c>
      <c r="AH409" s="280">
        <v>84</v>
      </c>
    </row>
    <row r="410" spans="1:34" s="1" customFormat="1" ht="13" x14ac:dyDescent="0.25">
      <c r="A410" s="280" t="s">
        <v>952</v>
      </c>
      <c r="B410" s="286">
        <v>442</v>
      </c>
      <c r="C410" s="286">
        <v>727.875</v>
      </c>
      <c r="D410" s="286">
        <v>1013.7500000000001</v>
      </c>
      <c r="E410" s="286">
        <v>3</v>
      </c>
      <c r="F410" s="281">
        <v>3</v>
      </c>
      <c r="G410" s="282">
        <v>80.489678562500004</v>
      </c>
      <c r="H410" s="282">
        <v>81.835301727083333</v>
      </c>
      <c r="I410" s="282">
        <v>83.750694329166663</v>
      </c>
      <c r="J410" s="282">
        <v>86.682176806666675</v>
      </c>
      <c r="K410" s="282">
        <v>85.219019608611106</v>
      </c>
      <c r="L410" s="282">
        <v>86.185837838194431</v>
      </c>
      <c r="M410" s="282">
        <v>88.332598149444451</v>
      </c>
      <c r="N410" s="282">
        <v>90.350705865277789</v>
      </c>
      <c r="O410" s="282">
        <v>91.823143266666662</v>
      </c>
      <c r="P410" s="282">
        <v>91.788296713333338</v>
      </c>
      <c r="Q410" s="282">
        <v>91.367908224791663</v>
      </c>
      <c r="R410" s="283">
        <v>90.431578362500005</v>
      </c>
      <c r="S410" s="284">
        <v>967.7672608917361</v>
      </c>
      <c r="T410" s="284">
        <v>512.0056284591667</v>
      </c>
      <c r="U410" s="296">
        <f t="shared" si="12"/>
        <v>49.978260891735886</v>
      </c>
      <c r="V410" s="296">
        <f t="shared" si="13"/>
        <v>12.211628459166718</v>
      </c>
      <c r="W410" s="287">
        <v>87</v>
      </c>
      <c r="X410" s="280">
        <v>85</v>
      </c>
      <c r="Y410" s="280">
        <v>86</v>
      </c>
      <c r="Z410" s="280">
        <v>86</v>
      </c>
      <c r="AA410" s="280">
        <v>85</v>
      </c>
      <c r="AB410" s="280">
        <v>86</v>
      </c>
      <c r="AC410" s="280">
        <v>88</v>
      </c>
      <c r="AD410" s="280">
        <v>91</v>
      </c>
      <c r="AE410" s="280">
        <v>92</v>
      </c>
      <c r="AF410" s="280">
        <v>92</v>
      </c>
      <c r="AG410" s="280">
        <v>92</v>
      </c>
      <c r="AH410" s="280">
        <v>94</v>
      </c>
    </row>
    <row r="411" spans="1:34" s="1" customFormat="1" ht="13" x14ac:dyDescent="0.25">
      <c r="A411" s="280" t="s">
        <v>953</v>
      </c>
      <c r="B411" s="286">
        <v>442</v>
      </c>
      <c r="C411" s="286">
        <v>727.875</v>
      </c>
      <c r="D411" s="286">
        <v>1013.7500000000001</v>
      </c>
      <c r="E411" s="286">
        <v>3</v>
      </c>
      <c r="F411" s="281">
        <v>4</v>
      </c>
      <c r="G411" s="282">
        <v>80.489678562500004</v>
      </c>
      <c r="H411" s="282">
        <v>81.835301727083333</v>
      </c>
      <c r="I411" s="282">
        <v>84.19569432916667</v>
      </c>
      <c r="J411" s="282">
        <v>87.572176806666675</v>
      </c>
      <c r="K411" s="282">
        <v>86.554019608611114</v>
      </c>
      <c r="L411" s="282">
        <v>88.03321283819443</v>
      </c>
      <c r="M411" s="282">
        <v>90.69234814944447</v>
      </c>
      <c r="N411" s="282">
        <v>93.222830865277786</v>
      </c>
      <c r="O411" s="282">
        <v>95.26204951666665</v>
      </c>
      <c r="P411" s="282">
        <v>95.793984213333331</v>
      </c>
      <c r="Q411" s="282">
        <v>95.940376974791661</v>
      </c>
      <c r="R411" s="283">
        <v>95.570828362500009</v>
      </c>
      <c r="S411" s="284">
        <v>994.67282339173607</v>
      </c>
      <c r="T411" s="284">
        <v>518.88275345916668</v>
      </c>
      <c r="U411" s="296">
        <f t="shared" si="12"/>
        <v>76.883823391735859</v>
      </c>
      <c r="V411" s="296">
        <f t="shared" si="13"/>
        <v>19.088753459166696</v>
      </c>
      <c r="W411" s="287">
        <v>87</v>
      </c>
      <c r="X411" s="280">
        <v>85</v>
      </c>
      <c r="Y411" s="280">
        <v>87</v>
      </c>
      <c r="Z411" s="280">
        <v>88</v>
      </c>
      <c r="AA411" s="280">
        <v>88</v>
      </c>
      <c r="AB411" s="280">
        <v>90</v>
      </c>
      <c r="AC411" s="280">
        <v>93</v>
      </c>
      <c r="AD411" s="280">
        <v>97</v>
      </c>
      <c r="AE411" s="280">
        <v>99</v>
      </c>
      <c r="AF411" s="280">
        <v>100</v>
      </c>
      <c r="AG411" s="280">
        <v>101</v>
      </c>
      <c r="AH411" s="280">
        <v>104</v>
      </c>
    </row>
    <row r="412" spans="1:34" s="1" customFormat="1" ht="13" x14ac:dyDescent="0.25">
      <c r="A412" s="280" t="s">
        <v>954</v>
      </c>
      <c r="B412" s="286">
        <v>442</v>
      </c>
      <c r="C412" s="286">
        <v>727.875</v>
      </c>
      <c r="D412" s="286">
        <v>1013.7500000000001</v>
      </c>
      <c r="E412" s="286">
        <v>3</v>
      </c>
      <c r="F412" s="281">
        <v>5</v>
      </c>
      <c r="G412" s="282">
        <v>80.489678562500004</v>
      </c>
      <c r="H412" s="282">
        <v>81.835301727083333</v>
      </c>
      <c r="I412" s="282">
        <v>84.640694329166664</v>
      </c>
      <c r="J412" s="282">
        <v>88.462176806666676</v>
      </c>
      <c r="K412" s="282">
        <v>87.889019608611108</v>
      </c>
      <c r="L412" s="282">
        <v>89.880587838194444</v>
      </c>
      <c r="M412" s="282">
        <v>93.052098149444475</v>
      </c>
      <c r="N412" s="282">
        <v>96.094955865277782</v>
      </c>
      <c r="O412" s="282">
        <v>98.700955766666652</v>
      </c>
      <c r="P412" s="282">
        <v>99.799671713333339</v>
      </c>
      <c r="Q412" s="282">
        <v>100.51284572479166</v>
      </c>
      <c r="R412" s="283">
        <v>100.7100783625</v>
      </c>
      <c r="S412" s="284">
        <v>1021.5783858917362</v>
      </c>
      <c r="T412" s="284">
        <v>525.75987845916666</v>
      </c>
      <c r="U412" s="296">
        <f t="shared" si="12"/>
        <v>103.78938589173595</v>
      </c>
      <c r="V412" s="296">
        <f t="shared" si="13"/>
        <v>25.965878459166674</v>
      </c>
      <c r="W412" s="287">
        <v>87</v>
      </c>
      <c r="X412" s="280">
        <v>85</v>
      </c>
      <c r="Y412" s="280">
        <v>88</v>
      </c>
      <c r="Z412" s="280">
        <v>90</v>
      </c>
      <c r="AA412" s="280">
        <v>91</v>
      </c>
      <c r="AB412" s="280">
        <v>94</v>
      </c>
      <c r="AC412" s="280">
        <v>98</v>
      </c>
      <c r="AD412" s="280">
        <v>103</v>
      </c>
      <c r="AE412" s="280">
        <v>106</v>
      </c>
      <c r="AF412" s="280">
        <v>108</v>
      </c>
      <c r="AG412" s="280">
        <v>110</v>
      </c>
      <c r="AH412" s="280">
        <v>114</v>
      </c>
    </row>
    <row r="413" spans="1:34" s="1" customFormat="1" ht="13" x14ac:dyDescent="0.25">
      <c r="A413" s="280" t="s">
        <v>955</v>
      </c>
      <c r="B413" s="286">
        <v>442</v>
      </c>
      <c r="C413" s="286">
        <v>727.875</v>
      </c>
      <c r="D413" s="286">
        <v>1013.7500000000001</v>
      </c>
      <c r="E413" s="286">
        <v>4</v>
      </c>
      <c r="F413" s="281">
        <v>0</v>
      </c>
      <c r="G413" s="282">
        <v>80.489678562500004</v>
      </c>
      <c r="H413" s="282">
        <v>81.525476143749984</v>
      </c>
      <c r="I413" s="282">
        <v>81.884927287500005</v>
      </c>
      <c r="J413" s="282">
        <v>83.31362447333332</v>
      </c>
      <c r="K413" s="282">
        <v>80.550948191944443</v>
      </c>
      <c r="L413" s="282">
        <v>80.047959338194431</v>
      </c>
      <c r="M413" s="282">
        <v>80.773400232777774</v>
      </c>
      <c r="N413" s="282">
        <v>81.3464141986111</v>
      </c>
      <c r="O413" s="282">
        <v>81.049237016666638</v>
      </c>
      <c r="P413" s="282">
        <v>79.260609213333339</v>
      </c>
      <c r="Q413" s="282">
        <v>77.104251974791651</v>
      </c>
      <c r="R413" s="283">
        <v>74.528932529166653</v>
      </c>
      <c r="S413" s="284">
        <v>881.38578060006921</v>
      </c>
      <c r="T413" s="284">
        <v>488.09633566749989</v>
      </c>
      <c r="U413" s="296">
        <f t="shared" si="12"/>
        <v>-36.403219399931004</v>
      </c>
      <c r="V413" s="296">
        <f t="shared" si="13"/>
        <v>-11.697664332500096</v>
      </c>
      <c r="W413" s="287">
        <v>87</v>
      </c>
      <c r="X413" s="280">
        <v>85</v>
      </c>
      <c r="Y413" s="280">
        <v>83</v>
      </c>
      <c r="Z413" s="280">
        <v>80</v>
      </c>
      <c r="AA413" s="280">
        <v>76</v>
      </c>
      <c r="AB413" s="280">
        <v>74</v>
      </c>
      <c r="AC413" s="280">
        <v>73</v>
      </c>
      <c r="AD413" s="280">
        <v>73</v>
      </c>
      <c r="AE413" s="280">
        <v>71</v>
      </c>
      <c r="AF413" s="280">
        <v>68</v>
      </c>
      <c r="AG413" s="280">
        <v>65</v>
      </c>
      <c r="AH413" s="280">
        <v>64</v>
      </c>
    </row>
    <row r="414" spans="1:34" s="1" customFormat="1" ht="13" x14ac:dyDescent="0.25">
      <c r="A414" s="280" t="s">
        <v>956</v>
      </c>
      <c r="B414" s="286">
        <v>442</v>
      </c>
      <c r="C414" s="286">
        <v>727.875</v>
      </c>
      <c r="D414" s="286">
        <v>1013.7500000000001</v>
      </c>
      <c r="E414" s="286">
        <v>4</v>
      </c>
      <c r="F414" s="281">
        <v>1</v>
      </c>
      <c r="G414" s="282">
        <v>80.489678562500004</v>
      </c>
      <c r="H414" s="282">
        <v>81.525476143749984</v>
      </c>
      <c r="I414" s="282">
        <v>82.329927287499999</v>
      </c>
      <c r="J414" s="282">
        <v>84.203624473333335</v>
      </c>
      <c r="K414" s="282">
        <v>81.885948191944436</v>
      </c>
      <c r="L414" s="282">
        <v>81.895334338194431</v>
      </c>
      <c r="M414" s="282">
        <v>83.13315023277778</v>
      </c>
      <c r="N414" s="282">
        <v>84.218539198611111</v>
      </c>
      <c r="O414" s="282">
        <v>84.488143266666654</v>
      </c>
      <c r="P414" s="282">
        <v>83.266296713333332</v>
      </c>
      <c r="Q414" s="282">
        <v>81.676720724791664</v>
      </c>
      <c r="R414" s="283">
        <v>79.668182529166657</v>
      </c>
      <c r="S414" s="284">
        <v>908.2913431000693</v>
      </c>
      <c r="T414" s="284">
        <v>494.97346066749992</v>
      </c>
      <c r="U414" s="296">
        <f t="shared" si="12"/>
        <v>-9.4976568999309166</v>
      </c>
      <c r="V414" s="296">
        <f t="shared" si="13"/>
        <v>-4.8205393325000614</v>
      </c>
      <c r="W414" s="287">
        <v>87</v>
      </c>
      <c r="X414" s="280">
        <v>85</v>
      </c>
      <c r="Y414" s="280">
        <v>84</v>
      </c>
      <c r="Z414" s="280">
        <v>82</v>
      </c>
      <c r="AA414" s="280">
        <v>79</v>
      </c>
      <c r="AB414" s="280">
        <v>78</v>
      </c>
      <c r="AC414" s="280">
        <v>78</v>
      </c>
      <c r="AD414" s="280">
        <v>79</v>
      </c>
      <c r="AE414" s="280">
        <v>78</v>
      </c>
      <c r="AF414" s="280">
        <v>76</v>
      </c>
      <c r="AG414" s="280">
        <v>74</v>
      </c>
      <c r="AH414" s="280">
        <v>74</v>
      </c>
    </row>
    <row r="415" spans="1:34" s="1" customFormat="1" ht="13" x14ac:dyDescent="0.25">
      <c r="A415" s="280" t="s">
        <v>957</v>
      </c>
      <c r="B415" s="286">
        <v>442</v>
      </c>
      <c r="C415" s="286">
        <v>727.875</v>
      </c>
      <c r="D415" s="286">
        <v>1013.7500000000001</v>
      </c>
      <c r="E415" s="286">
        <v>4</v>
      </c>
      <c r="F415" s="281">
        <v>2</v>
      </c>
      <c r="G415" s="282">
        <v>80.489678562500004</v>
      </c>
      <c r="H415" s="282">
        <v>81.525476143749984</v>
      </c>
      <c r="I415" s="282">
        <v>82.774927287500006</v>
      </c>
      <c r="J415" s="282">
        <v>85.093624473333335</v>
      </c>
      <c r="K415" s="282">
        <v>83.220948191944458</v>
      </c>
      <c r="L415" s="282">
        <v>83.742709338194445</v>
      </c>
      <c r="M415" s="282">
        <v>85.492900232777785</v>
      </c>
      <c r="N415" s="282">
        <v>87.090664198611108</v>
      </c>
      <c r="O415" s="282">
        <v>87.927049516666656</v>
      </c>
      <c r="P415" s="282">
        <v>87.271984213333326</v>
      </c>
      <c r="Q415" s="282">
        <v>86.249189474791663</v>
      </c>
      <c r="R415" s="283">
        <v>84.807432529166661</v>
      </c>
      <c r="S415" s="284">
        <v>935.19690560006961</v>
      </c>
      <c r="T415" s="284">
        <v>501.85058566750007</v>
      </c>
      <c r="U415" s="296">
        <f t="shared" si="12"/>
        <v>17.407905600069398</v>
      </c>
      <c r="V415" s="296">
        <f t="shared" si="13"/>
        <v>2.0565856675000873</v>
      </c>
      <c r="W415" s="287">
        <v>87</v>
      </c>
      <c r="X415" s="280">
        <v>85</v>
      </c>
      <c r="Y415" s="280">
        <v>85</v>
      </c>
      <c r="Z415" s="280">
        <v>84</v>
      </c>
      <c r="AA415" s="280">
        <v>82</v>
      </c>
      <c r="AB415" s="280">
        <v>82</v>
      </c>
      <c r="AC415" s="280">
        <v>83</v>
      </c>
      <c r="AD415" s="280">
        <v>85</v>
      </c>
      <c r="AE415" s="280">
        <v>85</v>
      </c>
      <c r="AF415" s="280">
        <v>84</v>
      </c>
      <c r="AG415" s="280">
        <v>83</v>
      </c>
      <c r="AH415" s="280">
        <v>84</v>
      </c>
    </row>
    <row r="416" spans="1:34" s="1" customFormat="1" ht="13" x14ac:dyDescent="0.25">
      <c r="A416" s="280" t="s">
        <v>958</v>
      </c>
      <c r="B416" s="286">
        <v>442</v>
      </c>
      <c r="C416" s="286">
        <v>727.875</v>
      </c>
      <c r="D416" s="286">
        <v>1013.7500000000001</v>
      </c>
      <c r="E416" s="286">
        <v>4</v>
      </c>
      <c r="F416" s="281">
        <v>3</v>
      </c>
      <c r="G416" s="282">
        <v>80.489678562500004</v>
      </c>
      <c r="H416" s="282">
        <v>81.525476143749984</v>
      </c>
      <c r="I416" s="282">
        <v>83.219927287499999</v>
      </c>
      <c r="J416" s="282">
        <v>85.983624473333336</v>
      </c>
      <c r="K416" s="282">
        <v>84.555948191944452</v>
      </c>
      <c r="L416" s="282">
        <v>85.59008433819443</v>
      </c>
      <c r="M416" s="282">
        <v>87.852650232777776</v>
      </c>
      <c r="N416" s="282">
        <v>89.962789198611105</v>
      </c>
      <c r="O416" s="282">
        <v>91.365955766666659</v>
      </c>
      <c r="P416" s="282">
        <v>91.277671713333334</v>
      </c>
      <c r="Q416" s="282">
        <v>90.821658224791662</v>
      </c>
      <c r="R416" s="283">
        <v>89.946682529166665</v>
      </c>
      <c r="S416" s="284">
        <v>962.10246810006936</v>
      </c>
      <c r="T416" s="284">
        <v>508.72771066749993</v>
      </c>
      <c r="U416" s="296">
        <f t="shared" si="12"/>
        <v>44.313468100069144</v>
      </c>
      <c r="V416" s="296">
        <f t="shared" si="13"/>
        <v>8.9337106674999518</v>
      </c>
      <c r="W416" s="287">
        <v>87</v>
      </c>
      <c r="X416" s="280">
        <v>85</v>
      </c>
      <c r="Y416" s="280">
        <v>86</v>
      </c>
      <c r="Z416" s="280">
        <v>86</v>
      </c>
      <c r="AA416" s="280">
        <v>85</v>
      </c>
      <c r="AB416" s="280">
        <v>86</v>
      </c>
      <c r="AC416" s="280">
        <v>88</v>
      </c>
      <c r="AD416" s="280">
        <v>91</v>
      </c>
      <c r="AE416" s="280">
        <v>92</v>
      </c>
      <c r="AF416" s="280">
        <v>92</v>
      </c>
      <c r="AG416" s="280">
        <v>92</v>
      </c>
      <c r="AH416" s="280">
        <v>94</v>
      </c>
    </row>
    <row r="417" spans="1:34" s="1" customFormat="1" ht="13" x14ac:dyDescent="0.25">
      <c r="A417" s="280" t="s">
        <v>959</v>
      </c>
      <c r="B417" s="286">
        <v>442</v>
      </c>
      <c r="C417" s="286">
        <v>727.875</v>
      </c>
      <c r="D417" s="286">
        <v>1013.7500000000001</v>
      </c>
      <c r="E417" s="286">
        <v>4</v>
      </c>
      <c r="F417" s="281">
        <v>4</v>
      </c>
      <c r="G417" s="282">
        <v>80.489678562500004</v>
      </c>
      <c r="H417" s="282">
        <v>81.525476143749984</v>
      </c>
      <c r="I417" s="282">
        <v>83.664927287500007</v>
      </c>
      <c r="J417" s="282">
        <v>86.873624473333336</v>
      </c>
      <c r="K417" s="282">
        <v>85.890948191944446</v>
      </c>
      <c r="L417" s="282">
        <v>87.437459338194429</v>
      </c>
      <c r="M417" s="282">
        <v>90.212400232777782</v>
      </c>
      <c r="N417" s="282">
        <v>92.834914198611102</v>
      </c>
      <c r="O417" s="282">
        <v>94.804862016666661</v>
      </c>
      <c r="P417" s="282">
        <v>95.283359213333327</v>
      </c>
      <c r="Q417" s="282">
        <v>95.394126974791661</v>
      </c>
      <c r="R417" s="283">
        <v>95.085932529166655</v>
      </c>
      <c r="S417" s="284">
        <v>989.00803060006933</v>
      </c>
      <c r="T417" s="284">
        <v>515.60483566749997</v>
      </c>
      <c r="U417" s="296">
        <f t="shared" si="12"/>
        <v>71.219030600069118</v>
      </c>
      <c r="V417" s="296">
        <f t="shared" si="13"/>
        <v>15.810835667499987</v>
      </c>
      <c r="W417" s="287">
        <v>87</v>
      </c>
      <c r="X417" s="280">
        <v>85</v>
      </c>
      <c r="Y417" s="280">
        <v>87</v>
      </c>
      <c r="Z417" s="280">
        <v>88</v>
      </c>
      <c r="AA417" s="280">
        <v>88</v>
      </c>
      <c r="AB417" s="280">
        <v>90</v>
      </c>
      <c r="AC417" s="280">
        <v>93</v>
      </c>
      <c r="AD417" s="280">
        <v>97</v>
      </c>
      <c r="AE417" s="280">
        <v>99</v>
      </c>
      <c r="AF417" s="280">
        <v>100</v>
      </c>
      <c r="AG417" s="280">
        <v>101</v>
      </c>
      <c r="AH417" s="280">
        <v>104</v>
      </c>
    </row>
    <row r="418" spans="1:34" s="1" customFormat="1" ht="13" x14ac:dyDescent="0.25">
      <c r="A418" s="280" t="s">
        <v>960</v>
      </c>
      <c r="B418" s="286">
        <v>442</v>
      </c>
      <c r="C418" s="286">
        <v>727.875</v>
      </c>
      <c r="D418" s="286">
        <v>1013.7500000000001</v>
      </c>
      <c r="E418" s="286">
        <v>4</v>
      </c>
      <c r="F418" s="281">
        <v>5</v>
      </c>
      <c r="G418" s="282">
        <v>80.489678562500004</v>
      </c>
      <c r="H418" s="282">
        <v>81.525476143749984</v>
      </c>
      <c r="I418" s="282">
        <v>84.1099272875</v>
      </c>
      <c r="J418" s="282">
        <v>87.763624473333323</v>
      </c>
      <c r="K418" s="282">
        <v>87.225948191944454</v>
      </c>
      <c r="L418" s="282">
        <v>89.284834338194429</v>
      </c>
      <c r="M418" s="282">
        <v>92.572150232777787</v>
      </c>
      <c r="N418" s="282">
        <v>95.707039198611099</v>
      </c>
      <c r="O418" s="282">
        <v>98.243768266666663</v>
      </c>
      <c r="P418" s="282">
        <v>99.289046713333335</v>
      </c>
      <c r="Q418" s="282">
        <v>99.966595724791659</v>
      </c>
      <c r="R418" s="283">
        <v>100.22518252916666</v>
      </c>
      <c r="S418" s="284">
        <v>1015.9135931000694</v>
      </c>
      <c r="T418" s="284">
        <v>522.48196066749995</v>
      </c>
      <c r="U418" s="296">
        <f t="shared" si="12"/>
        <v>98.124593100069205</v>
      </c>
      <c r="V418" s="296">
        <f t="shared" si="13"/>
        <v>22.687960667499965</v>
      </c>
      <c r="W418" s="287">
        <v>87</v>
      </c>
      <c r="X418" s="280">
        <v>85</v>
      </c>
      <c r="Y418" s="280">
        <v>88</v>
      </c>
      <c r="Z418" s="280">
        <v>90</v>
      </c>
      <c r="AA418" s="280">
        <v>91</v>
      </c>
      <c r="AB418" s="280">
        <v>94</v>
      </c>
      <c r="AC418" s="280">
        <v>98</v>
      </c>
      <c r="AD418" s="280">
        <v>103</v>
      </c>
      <c r="AE418" s="280">
        <v>106</v>
      </c>
      <c r="AF418" s="280">
        <v>108</v>
      </c>
      <c r="AG418" s="280">
        <v>110</v>
      </c>
      <c r="AH418" s="280">
        <v>114</v>
      </c>
    </row>
    <row r="419" spans="1:34" s="1" customFormat="1" ht="13" x14ac:dyDescent="0.25">
      <c r="A419" s="280" t="s">
        <v>961</v>
      </c>
      <c r="B419" s="286">
        <v>442</v>
      </c>
      <c r="C419" s="286">
        <v>727.875</v>
      </c>
      <c r="D419" s="286">
        <v>1013.7500000000001</v>
      </c>
      <c r="E419" s="286">
        <v>5</v>
      </c>
      <c r="F419" s="281">
        <v>0</v>
      </c>
      <c r="G419" s="282">
        <v>80.489678562500004</v>
      </c>
      <c r="H419" s="282">
        <v>81.337851143749987</v>
      </c>
      <c r="I419" s="282">
        <v>81.523745837500002</v>
      </c>
      <c r="J419" s="282">
        <v>82.821360473333314</v>
      </c>
      <c r="K419" s="282">
        <v>79.910182191944429</v>
      </c>
      <c r="L419" s="282">
        <v>79.489489338194431</v>
      </c>
      <c r="M419" s="282">
        <v>80.295431482777772</v>
      </c>
      <c r="N419" s="282">
        <v>80.904664198611101</v>
      </c>
      <c r="O419" s="282">
        <v>80.632424516666646</v>
      </c>
      <c r="P419" s="282">
        <v>78.792734213333333</v>
      </c>
      <c r="Q419" s="282">
        <v>76.596001974791648</v>
      </c>
      <c r="R419" s="283">
        <v>73.986245029166653</v>
      </c>
      <c r="S419" s="284">
        <v>876.29013040006942</v>
      </c>
      <c r="T419" s="284">
        <v>485.37806046749995</v>
      </c>
      <c r="U419" s="296">
        <f t="shared" si="12"/>
        <v>-41.498869599930799</v>
      </c>
      <c r="V419" s="296">
        <f t="shared" si="13"/>
        <v>-14.415939532500033</v>
      </c>
      <c r="W419" s="287">
        <v>87</v>
      </c>
      <c r="X419" s="280">
        <v>85</v>
      </c>
      <c r="Y419" s="280">
        <v>83</v>
      </c>
      <c r="Z419" s="280">
        <v>80</v>
      </c>
      <c r="AA419" s="280">
        <v>76</v>
      </c>
      <c r="AB419" s="280">
        <v>74</v>
      </c>
      <c r="AC419" s="280">
        <v>73</v>
      </c>
      <c r="AD419" s="280">
        <v>73</v>
      </c>
      <c r="AE419" s="280">
        <v>71</v>
      </c>
      <c r="AF419" s="280">
        <v>68</v>
      </c>
      <c r="AG419" s="280">
        <v>65</v>
      </c>
      <c r="AH419" s="280">
        <v>64</v>
      </c>
    </row>
    <row r="420" spans="1:34" s="1" customFormat="1" ht="13" x14ac:dyDescent="0.25">
      <c r="A420" s="280" t="s">
        <v>962</v>
      </c>
      <c r="B420" s="286">
        <v>442</v>
      </c>
      <c r="C420" s="286">
        <v>727.875</v>
      </c>
      <c r="D420" s="286">
        <v>1013.7500000000001</v>
      </c>
      <c r="E420" s="286">
        <v>5</v>
      </c>
      <c r="F420" s="281">
        <v>1</v>
      </c>
      <c r="G420" s="282">
        <v>80.489678562500004</v>
      </c>
      <c r="H420" s="282">
        <v>81.337851143749987</v>
      </c>
      <c r="I420" s="282">
        <v>81.968745837499995</v>
      </c>
      <c r="J420" s="282">
        <v>83.711360473333329</v>
      </c>
      <c r="K420" s="282">
        <v>81.245182191944437</v>
      </c>
      <c r="L420" s="282">
        <v>81.336864338194431</v>
      </c>
      <c r="M420" s="282">
        <v>82.655181482777763</v>
      </c>
      <c r="N420" s="282">
        <v>83.776789198611112</v>
      </c>
      <c r="O420" s="282">
        <v>84.071330766666662</v>
      </c>
      <c r="P420" s="282">
        <v>82.798421713333326</v>
      </c>
      <c r="Q420" s="282">
        <v>81.168470724791646</v>
      </c>
      <c r="R420" s="283">
        <v>79.125495029166657</v>
      </c>
      <c r="S420" s="284">
        <v>903.19569290006939</v>
      </c>
      <c r="T420" s="284">
        <v>492.25518546749998</v>
      </c>
      <c r="U420" s="296">
        <f t="shared" si="12"/>
        <v>-14.593307099930826</v>
      </c>
      <c r="V420" s="296">
        <f t="shared" si="13"/>
        <v>-7.5388145324999982</v>
      </c>
      <c r="W420" s="287">
        <v>87</v>
      </c>
      <c r="X420" s="280">
        <v>85</v>
      </c>
      <c r="Y420" s="280">
        <v>84</v>
      </c>
      <c r="Z420" s="280">
        <v>82</v>
      </c>
      <c r="AA420" s="280">
        <v>79</v>
      </c>
      <c r="AB420" s="280">
        <v>78</v>
      </c>
      <c r="AC420" s="280">
        <v>78</v>
      </c>
      <c r="AD420" s="280">
        <v>79</v>
      </c>
      <c r="AE420" s="280">
        <v>78</v>
      </c>
      <c r="AF420" s="280">
        <v>76</v>
      </c>
      <c r="AG420" s="280">
        <v>74</v>
      </c>
      <c r="AH420" s="280">
        <v>74</v>
      </c>
    </row>
    <row r="421" spans="1:34" s="1" customFormat="1" ht="13" x14ac:dyDescent="0.25">
      <c r="A421" s="280" t="s">
        <v>963</v>
      </c>
      <c r="B421" s="286">
        <v>442</v>
      </c>
      <c r="C421" s="286">
        <v>727.875</v>
      </c>
      <c r="D421" s="286">
        <v>1013.7500000000001</v>
      </c>
      <c r="E421" s="286">
        <v>5</v>
      </c>
      <c r="F421" s="281">
        <v>2</v>
      </c>
      <c r="G421" s="282">
        <v>80.489678562500004</v>
      </c>
      <c r="H421" s="282">
        <v>81.337851143749987</v>
      </c>
      <c r="I421" s="282">
        <v>82.413745837500002</v>
      </c>
      <c r="J421" s="282">
        <v>84.60136047333333</v>
      </c>
      <c r="K421" s="282">
        <v>82.580182191944431</v>
      </c>
      <c r="L421" s="282">
        <v>83.184239338194431</v>
      </c>
      <c r="M421" s="282">
        <v>85.014931482777783</v>
      </c>
      <c r="N421" s="282">
        <v>86.648914198611109</v>
      </c>
      <c r="O421" s="282">
        <v>87.51023701666665</v>
      </c>
      <c r="P421" s="282">
        <v>86.804109213333334</v>
      </c>
      <c r="Q421" s="282">
        <v>85.740939474791659</v>
      </c>
      <c r="R421" s="283">
        <v>84.264745029166662</v>
      </c>
      <c r="S421" s="284">
        <v>930.10125540006925</v>
      </c>
      <c r="T421" s="284">
        <v>499.13231046749991</v>
      </c>
      <c r="U421" s="296">
        <f t="shared" si="12"/>
        <v>12.312255400069034</v>
      </c>
      <c r="V421" s="296">
        <f t="shared" si="13"/>
        <v>-0.66168953250007689</v>
      </c>
      <c r="W421" s="287">
        <v>87</v>
      </c>
      <c r="X421" s="280">
        <v>85</v>
      </c>
      <c r="Y421" s="280">
        <v>85</v>
      </c>
      <c r="Z421" s="280">
        <v>84</v>
      </c>
      <c r="AA421" s="280">
        <v>82</v>
      </c>
      <c r="AB421" s="280">
        <v>82</v>
      </c>
      <c r="AC421" s="280">
        <v>83</v>
      </c>
      <c r="AD421" s="280">
        <v>85</v>
      </c>
      <c r="AE421" s="280">
        <v>85</v>
      </c>
      <c r="AF421" s="280">
        <v>84</v>
      </c>
      <c r="AG421" s="280">
        <v>83</v>
      </c>
      <c r="AH421" s="280">
        <v>84</v>
      </c>
    </row>
    <row r="422" spans="1:34" s="1" customFormat="1" ht="13" x14ac:dyDescent="0.25">
      <c r="A422" s="280" t="s">
        <v>964</v>
      </c>
      <c r="B422" s="286">
        <v>442</v>
      </c>
      <c r="C422" s="286">
        <v>727.875</v>
      </c>
      <c r="D422" s="286">
        <v>1013.7500000000001</v>
      </c>
      <c r="E422" s="286">
        <v>5</v>
      </c>
      <c r="F422" s="281">
        <v>3</v>
      </c>
      <c r="G422" s="282">
        <v>80.489678562500004</v>
      </c>
      <c r="H422" s="282">
        <v>81.337851143749987</v>
      </c>
      <c r="I422" s="282">
        <v>82.858745837499995</v>
      </c>
      <c r="J422" s="282">
        <v>85.49136047333333</v>
      </c>
      <c r="K422" s="282">
        <v>83.915182191944453</v>
      </c>
      <c r="L422" s="282">
        <v>85.03161433819443</v>
      </c>
      <c r="M422" s="282">
        <v>87.374681482777788</v>
      </c>
      <c r="N422" s="282">
        <v>89.521039198611092</v>
      </c>
      <c r="O422" s="282">
        <v>90.949143266666653</v>
      </c>
      <c r="P422" s="282">
        <v>90.809796713333327</v>
      </c>
      <c r="Q422" s="282">
        <v>90.313408224791658</v>
      </c>
      <c r="R422" s="283">
        <v>89.403995029166666</v>
      </c>
      <c r="S422" s="284">
        <v>957.00681790006934</v>
      </c>
      <c r="T422" s="284">
        <v>506.00943546749988</v>
      </c>
      <c r="U422" s="296">
        <f t="shared" si="12"/>
        <v>39.217817900069122</v>
      </c>
      <c r="V422" s="296">
        <f t="shared" si="13"/>
        <v>6.2154354674999013</v>
      </c>
      <c r="W422" s="287">
        <v>87</v>
      </c>
      <c r="X422" s="280">
        <v>85</v>
      </c>
      <c r="Y422" s="280">
        <v>86</v>
      </c>
      <c r="Z422" s="280">
        <v>86</v>
      </c>
      <c r="AA422" s="280">
        <v>85</v>
      </c>
      <c r="AB422" s="280">
        <v>86</v>
      </c>
      <c r="AC422" s="280">
        <v>88</v>
      </c>
      <c r="AD422" s="280">
        <v>91</v>
      </c>
      <c r="AE422" s="280">
        <v>92</v>
      </c>
      <c r="AF422" s="280">
        <v>92</v>
      </c>
      <c r="AG422" s="280">
        <v>92</v>
      </c>
      <c r="AH422" s="280">
        <v>94</v>
      </c>
    </row>
    <row r="423" spans="1:34" s="1" customFormat="1" ht="13" x14ac:dyDescent="0.25">
      <c r="A423" s="280" t="s">
        <v>965</v>
      </c>
      <c r="B423" s="286">
        <v>442</v>
      </c>
      <c r="C423" s="286">
        <v>727.875</v>
      </c>
      <c r="D423" s="286">
        <v>1013.7500000000001</v>
      </c>
      <c r="E423" s="286">
        <v>5</v>
      </c>
      <c r="F423" s="281">
        <v>4</v>
      </c>
      <c r="G423" s="282">
        <v>80.489678562500004</v>
      </c>
      <c r="H423" s="282">
        <v>81.337851143749987</v>
      </c>
      <c r="I423" s="282">
        <v>83.303745837500003</v>
      </c>
      <c r="J423" s="282">
        <v>86.381360473333331</v>
      </c>
      <c r="K423" s="282">
        <v>85.250182191944447</v>
      </c>
      <c r="L423" s="282">
        <v>86.87898933819443</v>
      </c>
      <c r="M423" s="282">
        <v>89.734431482777779</v>
      </c>
      <c r="N423" s="282">
        <v>92.393164198611103</v>
      </c>
      <c r="O423" s="282">
        <v>94.388049516666655</v>
      </c>
      <c r="P423" s="282">
        <v>94.815484213333335</v>
      </c>
      <c r="Q423" s="282">
        <v>94.885876974791671</v>
      </c>
      <c r="R423" s="283">
        <v>94.543245029166656</v>
      </c>
      <c r="S423" s="284">
        <v>983.91238040006942</v>
      </c>
      <c r="T423" s="284">
        <v>512.88656046749998</v>
      </c>
      <c r="U423" s="296">
        <f t="shared" si="12"/>
        <v>66.123380400069209</v>
      </c>
      <c r="V423" s="296">
        <f t="shared" si="13"/>
        <v>13.092560467499993</v>
      </c>
      <c r="W423" s="287">
        <v>87</v>
      </c>
      <c r="X423" s="280">
        <v>85</v>
      </c>
      <c r="Y423" s="280">
        <v>87</v>
      </c>
      <c r="Z423" s="280">
        <v>88</v>
      </c>
      <c r="AA423" s="280">
        <v>88</v>
      </c>
      <c r="AB423" s="280">
        <v>90</v>
      </c>
      <c r="AC423" s="280">
        <v>93</v>
      </c>
      <c r="AD423" s="280">
        <v>97</v>
      </c>
      <c r="AE423" s="280">
        <v>99</v>
      </c>
      <c r="AF423" s="280">
        <v>100</v>
      </c>
      <c r="AG423" s="280">
        <v>101</v>
      </c>
      <c r="AH423" s="280">
        <v>104</v>
      </c>
    </row>
    <row r="424" spans="1:34" s="1" customFormat="1" ht="13" x14ac:dyDescent="0.25">
      <c r="A424" s="280" t="s">
        <v>966</v>
      </c>
      <c r="B424" s="286">
        <v>442</v>
      </c>
      <c r="C424" s="286">
        <v>727.875</v>
      </c>
      <c r="D424" s="286">
        <v>1013.7500000000001</v>
      </c>
      <c r="E424" s="286">
        <v>5</v>
      </c>
      <c r="F424" s="281">
        <v>5</v>
      </c>
      <c r="G424" s="282">
        <v>80.489678562500004</v>
      </c>
      <c r="H424" s="282">
        <v>81.337851143749987</v>
      </c>
      <c r="I424" s="282">
        <v>83.748745837499996</v>
      </c>
      <c r="J424" s="282">
        <v>87.271360473333331</v>
      </c>
      <c r="K424" s="282">
        <v>86.585182191944455</v>
      </c>
      <c r="L424" s="282">
        <v>88.726364338194429</v>
      </c>
      <c r="M424" s="282">
        <v>92.094181482777785</v>
      </c>
      <c r="N424" s="282">
        <v>95.2652891986111</v>
      </c>
      <c r="O424" s="282">
        <v>97.826955766666657</v>
      </c>
      <c r="P424" s="282">
        <v>98.821171713333328</v>
      </c>
      <c r="Q424" s="282">
        <v>99.45834572479167</v>
      </c>
      <c r="R424" s="283">
        <v>99.68249502916666</v>
      </c>
      <c r="S424" s="284">
        <v>1010.8179429000693</v>
      </c>
      <c r="T424" s="284">
        <v>519.76368546749995</v>
      </c>
      <c r="U424" s="296">
        <f t="shared" si="12"/>
        <v>93.028942900069069</v>
      </c>
      <c r="V424" s="296">
        <f t="shared" si="13"/>
        <v>19.969685467499971</v>
      </c>
      <c r="W424" s="287">
        <v>87</v>
      </c>
      <c r="X424" s="280">
        <v>85</v>
      </c>
      <c r="Y424" s="280">
        <v>88</v>
      </c>
      <c r="Z424" s="280">
        <v>90</v>
      </c>
      <c r="AA424" s="280">
        <v>91</v>
      </c>
      <c r="AB424" s="280">
        <v>94</v>
      </c>
      <c r="AC424" s="280">
        <v>98</v>
      </c>
      <c r="AD424" s="280">
        <v>103</v>
      </c>
      <c r="AE424" s="280">
        <v>106</v>
      </c>
      <c r="AF424" s="280">
        <v>108</v>
      </c>
      <c r="AG424" s="280">
        <v>110</v>
      </c>
      <c r="AH424" s="280">
        <v>114</v>
      </c>
    </row>
    <row r="425" spans="1:34" s="1" customFormat="1" ht="13" x14ac:dyDescent="0.25">
      <c r="A425" s="280" t="s">
        <v>967</v>
      </c>
      <c r="B425" s="286">
        <v>442</v>
      </c>
      <c r="C425" s="286">
        <v>727.875</v>
      </c>
      <c r="D425" s="286">
        <v>1013.7500000000001</v>
      </c>
      <c r="E425" s="286">
        <v>1</v>
      </c>
      <c r="F425" s="281">
        <v>0</v>
      </c>
      <c r="G425" s="282">
        <v>80.489678562500004</v>
      </c>
      <c r="H425" s="282">
        <v>84.010182552083322</v>
      </c>
      <c r="I425" s="282">
        <v>84.742352079166665</v>
      </c>
      <c r="J425" s="282">
        <v>86.221873223333347</v>
      </c>
      <c r="K425" s="282">
        <v>83.156023108611123</v>
      </c>
      <c r="L425" s="282">
        <v>81.830171171527766</v>
      </c>
      <c r="M425" s="282">
        <v>82.393139816111102</v>
      </c>
      <c r="N425" s="282">
        <v>82.882455865277777</v>
      </c>
      <c r="O425" s="282">
        <v>82.939549516666673</v>
      </c>
      <c r="P425" s="282">
        <v>81.084984213333328</v>
      </c>
      <c r="Q425" s="282">
        <v>78.889251974791648</v>
      </c>
      <c r="R425" s="283">
        <v>76.399453362499983</v>
      </c>
      <c r="S425" s="284">
        <v>904.5494368834029</v>
      </c>
      <c r="T425" s="284">
        <v>502.35374195083335</v>
      </c>
      <c r="U425" s="296">
        <f t="shared" si="12"/>
        <v>-13.23956311659731</v>
      </c>
      <c r="V425" s="296">
        <f t="shared" si="13"/>
        <v>2.5597419508333701</v>
      </c>
      <c r="W425" s="287">
        <v>87</v>
      </c>
      <c r="X425" s="280">
        <v>85</v>
      </c>
      <c r="Y425" s="280">
        <v>83</v>
      </c>
      <c r="Z425" s="280">
        <v>80</v>
      </c>
      <c r="AA425" s="280">
        <v>76</v>
      </c>
      <c r="AB425" s="280">
        <v>74</v>
      </c>
      <c r="AC425" s="280">
        <v>73</v>
      </c>
      <c r="AD425" s="280">
        <v>73</v>
      </c>
      <c r="AE425" s="280">
        <v>71</v>
      </c>
      <c r="AF425" s="280">
        <v>68</v>
      </c>
      <c r="AG425" s="280">
        <v>65</v>
      </c>
      <c r="AH425" s="280">
        <v>64</v>
      </c>
    </row>
    <row r="426" spans="1:34" s="1" customFormat="1" ht="13" x14ac:dyDescent="0.25">
      <c r="A426" s="280" t="s">
        <v>968</v>
      </c>
      <c r="B426" s="286">
        <v>442</v>
      </c>
      <c r="C426" s="286">
        <v>727.875</v>
      </c>
      <c r="D426" s="286">
        <v>1013.7500000000001</v>
      </c>
      <c r="E426" s="286">
        <v>1</v>
      </c>
      <c r="F426" s="281">
        <v>1</v>
      </c>
      <c r="G426" s="282">
        <v>80.489678562500004</v>
      </c>
      <c r="H426" s="282">
        <v>84.010182552083322</v>
      </c>
      <c r="I426" s="282">
        <v>85.187352079166658</v>
      </c>
      <c r="J426" s="282">
        <v>87.111873223333347</v>
      </c>
      <c r="K426" s="282">
        <v>84.491023108611117</v>
      </c>
      <c r="L426" s="282">
        <v>83.677546171527766</v>
      </c>
      <c r="M426" s="282">
        <v>84.752889816111093</v>
      </c>
      <c r="N426" s="282">
        <v>85.754580865277774</v>
      </c>
      <c r="O426" s="282">
        <v>86.379080766666675</v>
      </c>
      <c r="P426" s="282">
        <v>85.091921713333335</v>
      </c>
      <c r="Q426" s="282">
        <v>83.463595724791659</v>
      </c>
      <c r="R426" s="283">
        <v>81.541203362499985</v>
      </c>
      <c r="S426" s="284">
        <v>931.46124938340267</v>
      </c>
      <c r="T426" s="284">
        <v>509.23086695083327</v>
      </c>
      <c r="U426" s="296">
        <f t="shared" si="12"/>
        <v>13.672249383402459</v>
      </c>
      <c r="V426" s="296">
        <f t="shared" si="13"/>
        <v>9.4368669508332914</v>
      </c>
      <c r="W426" s="287">
        <v>87</v>
      </c>
      <c r="X426" s="280">
        <v>85</v>
      </c>
      <c r="Y426" s="280">
        <v>84</v>
      </c>
      <c r="Z426" s="280">
        <v>82</v>
      </c>
      <c r="AA426" s="280">
        <v>79</v>
      </c>
      <c r="AB426" s="280">
        <v>78</v>
      </c>
      <c r="AC426" s="280">
        <v>78</v>
      </c>
      <c r="AD426" s="280">
        <v>79</v>
      </c>
      <c r="AE426" s="280">
        <v>78</v>
      </c>
      <c r="AF426" s="280">
        <v>76</v>
      </c>
      <c r="AG426" s="280">
        <v>74</v>
      </c>
      <c r="AH426" s="280">
        <v>74</v>
      </c>
    </row>
    <row r="427" spans="1:34" s="1" customFormat="1" ht="13" x14ac:dyDescent="0.25">
      <c r="A427" s="280" t="s">
        <v>969</v>
      </c>
      <c r="B427" s="286">
        <v>442</v>
      </c>
      <c r="C427" s="286">
        <v>727.875</v>
      </c>
      <c r="D427" s="286">
        <v>1013.7500000000001</v>
      </c>
      <c r="E427" s="286">
        <v>1</v>
      </c>
      <c r="F427" s="281">
        <v>2</v>
      </c>
      <c r="G427" s="282">
        <v>80.489678562500004</v>
      </c>
      <c r="H427" s="282">
        <v>84.010182552083322</v>
      </c>
      <c r="I427" s="282">
        <v>85.632352079166665</v>
      </c>
      <c r="J427" s="282">
        <v>88.001873223333348</v>
      </c>
      <c r="K427" s="282">
        <v>85.826023108611111</v>
      </c>
      <c r="L427" s="282">
        <v>85.524921171527765</v>
      </c>
      <c r="M427" s="282">
        <v>87.112639816111098</v>
      </c>
      <c r="N427" s="282">
        <v>88.626705865277771</v>
      </c>
      <c r="O427" s="282">
        <v>89.818612016666677</v>
      </c>
      <c r="P427" s="282">
        <v>89.098859213333327</v>
      </c>
      <c r="Q427" s="282">
        <v>88.037939474791671</v>
      </c>
      <c r="R427" s="283">
        <v>86.682953362500001</v>
      </c>
      <c r="S427" s="284">
        <v>958.37306188340267</v>
      </c>
      <c r="T427" s="284">
        <v>516.10799195083325</v>
      </c>
      <c r="U427" s="296">
        <f t="shared" si="12"/>
        <v>40.584061883402455</v>
      </c>
      <c r="V427" s="296">
        <f t="shared" si="13"/>
        <v>16.31399195083327</v>
      </c>
      <c r="W427" s="287">
        <v>87</v>
      </c>
      <c r="X427" s="280">
        <v>85</v>
      </c>
      <c r="Y427" s="280">
        <v>85</v>
      </c>
      <c r="Z427" s="280">
        <v>84</v>
      </c>
      <c r="AA427" s="280">
        <v>82</v>
      </c>
      <c r="AB427" s="280">
        <v>82</v>
      </c>
      <c r="AC427" s="280">
        <v>83</v>
      </c>
      <c r="AD427" s="280">
        <v>85</v>
      </c>
      <c r="AE427" s="280">
        <v>85</v>
      </c>
      <c r="AF427" s="280">
        <v>84</v>
      </c>
      <c r="AG427" s="280">
        <v>83</v>
      </c>
      <c r="AH427" s="280">
        <v>84</v>
      </c>
    </row>
    <row r="428" spans="1:34" s="1" customFormat="1" ht="13" x14ac:dyDescent="0.25">
      <c r="A428" s="280" t="s">
        <v>970</v>
      </c>
      <c r="B428" s="286">
        <v>442</v>
      </c>
      <c r="C428" s="286">
        <v>727.875</v>
      </c>
      <c r="D428" s="286">
        <v>1013.7500000000001</v>
      </c>
      <c r="E428" s="286">
        <v>1</v>
      </c>
      <c r="F428" s="281">
        <v>3</v>
      </c>
      <c r="G428" s="282">
        <v>80.489678562500004</v>
      </c>
      <c r="H428" s="282">
        <v>84.010182552083322</v>
      </c>
      <c r="I428" s="282">
        <v>86.077352079166658</v>
      </c>
      <c r="J428" s="282">
        <v>88.891873223333334</v>
      </c>
      <c r="K428" s="282">
        <v>87.161023108611118</v>
      </c>
      <c r="L428" s="282">
        <v>87.372296171527765</v>
      </c>
      <c r="M428" s="282">
        <v>89.472389816111118</v>
      </c>
      <c r="N428" s="282">
        <v>91.498830865277768</v>
      </c>
      <c r="O428" s="282">
        <v>93.258143266666679</v>
      </c>
      <c r="P428" s="282">
        <v>93.105796713333334</v>
      </c>
      <c r="Q428" s="282">
        <v>92.612283224791668</v>
      </c>
      <c r="R428" s="283">
        <v>91.824703362500003</v>
      </c>
      <c r="S428" s="284">
        <v>985.28487438340289</v>
      </c>
      <c r="T428" s="284">
        <v>522.98511695083334</v>
      </c>
      <c r="U428" s="296">
        <f t="shared" si="12"/>
        <v>67.495874383402679</v>
      </c>
      <c r="V428" s="296">
        <f t="shared" si="13"/>
        <v>23.191116950833361</v>
      </c>
      <c r="W428" s="287">
        <v>87</v>
      </c>
      <c r="X428" s="280">
        <v>85</v>
      </c>
      <c r="Y428" s="280">
        <v>86</v>
      </c>
      <c r="Z428" s="280">
        <v>86</v>
      </c>
      <c r="AA428" s="280">
        <v>85</v>
      </c>
      <c r="AB428" s="280">
        <v>86</v>
      </c>
      <c r="AC428" s="280">
        <v>88</v>
      </c>
      <c r="AD428" s="280">
        <v>91</v>
      </c>
      <c r="AE428" s="280">
        <v>92</v>
      </c>
      <c r="AF428" s="280">
        <v>92</v>
      </c>
      <c r="AG428" s="280">
        <v>92</v>
      </c>
      <c r="AH428" s="280">
        <v>94</v>
      </c>
    </row>
    <row r="429" spans="1:34" s="1" customFormat="1" ht="13" x14ac:dyDescent="0.25">
      <c r="A429" s="280" t="s">
        <v>971</v>
      </c>
      <c r="B429" s="286">
        <v>442</v>
      </c>
      <c r="C429" s="286">
        <v>727.875</v>
      </c>
      <c r="D429" s="286">
        <v>1013.7500000000001</v>
      </c>
      <c r="E429" s="286">
        <v>1</v>
      </c>
      <c r="F429" s="281">
        <v>4</v>
      </c>
      <c r="G429" s="282">
        <v>80.489678562500004</v>
      </c>
      <c r="H429" s="282">
        <v>84.010182552083322</v>
      </c>
      <c r="I429" s="282">
        <v>86.522352079166666</v>
      </c>
      <c r="J429" s="282">
        <v>89.781873223333335</v>
      </c>
      <c r="K429" s="282">
        <v>88.496023108611126</v>
      </c>
      <c r="L429" s="282">
        <v>89.219671171527764</v>
      </c>
      <c r="M429" s="282">
        <v>91.832139816111109</v>
      </c>
      <c r="N429" s="282">
        <v>94.370955865277764</v>
      </c>
      <c r="O429" s="282">
        <v>96.697674516666666</v>
      </c>
      <c r="P429" s="282">
        <v>97.112734213333326</v>
      </c>
      <c r="Q429" s="282">
        <v>97.186626974791665</v>
      </c>
      <c r="R429" s="283">
        <v>96.966453362500005</v>
      </c>
      <c r="S429" s="284">
        <v>1012.1966868834028</v>
      </c>
      <c r="T429" s="284">
        <v>529.86224195083332</v>
      </c>
      <c r="U429" s="296">
        <f t="shared" si="12"/>
        <v>94.407686883402562</v>
      </c>
      <c r="V429" s="296">
        <f t="shared" si="13"/>
        <v>30.06824195083334</v>
      </c>
      <c r="W429" s="287">
        <v>87</v>
      </c>
      <c r="X429" s="280">
        <v>85</v>
      </c>
      <c r="Y429" s="280">
        <v>87</v>
      </c>
      <c r="Z429" s="280">
        <v>88</v>
      </c>
      <c r="AA429" s="280">
        <v>88</v>
      </c>
      <c r="AB429" s="280">
        <v>90</v>
      </c>
      <c r="AC429" s="280">
        <v>93</v>
      </c>
      <c r="AD429" s="280">
        <v>97</v>
      </c>
      <c r="AE429" s="280">
        <v>99</v>
      </c>
      <c r="AF429" s="280">
        <v>100</v>
      </c>
      <c r="AG429" s="280">
        <v>101</v>
      </c>
      <c r="AH429" s="280">
        <v>104</v>
      </c>
    </row>
    <row r="430" spans="1:34" s="1" customFormat="1" ht="13" x14ac:dyDescent="0.25">
      <c r="A430" s="280" t="s">
        <v>972</v>
      </c>
      <c r="B430" s="286">
        <v>442</v>
      </c>
      <c r="C430" s="286">
        <v>727.875</v>
      </c>
      <c r="D430" s="286">
        <v>1013.7500000000001</v>
      </c>
      <c r="E430" s="286">
        <v>1</v>
      </c>
      <c r="F430" s="281">
        <v>5</v>
      </c>
      <c r="G430" s="282">
        <v>80.489678562500004</v>
      </c>
      <c r="H430" s="282">
        <v>84.010182552083322</v>
      </c>
      <c r="I430" s="282">
        <v>86.967352079166659</v>
      </c>
      <c r="J430" s="282">
        <v>90.671873223333321</v>
      </c>
      <c r="K430" s="282">
        <v>89.831023108611134</v>
      </c>
      <c r="L430" s="282">
        <v>91.067046171527764</v>
      </c>
      <c r="M430" s="282">
        <v>94.191889816111114</v>
      </c>
      <c r="N430" s="282">
        <v>97.243080865277776</v>
      </c>
      <c r="O430" s="282">
        <v>100.13720576666667</v>
      </c>
      <c r="P430" s="282">
        <v>101.11967171333333</v>
      </c>
      <c r="Q430" s="282">
        <v>101.76097072479166</v>
      </c>
      <c r="R430" s="283">
        <v>102.10820336250001</v>
      </c>
      <c r="S430" s="284">
        <v>1039.1084993834027</v>
      </c>
      <c r="T430" s="284">
        <v>536.7393669508333</v>
      </c>
      <c r="U430" s="296">
        <f t="shared" si="12"/>
        <v>121.31949938340244</v>
      </c>
      <c r="V430" s="296">
        <f t="shared" si="13"/>
        <v>36.945366950833318</v>
      </c>
      <c r="W430" s="287">
        <v>87</v>
      </c>
      <c r="X430" s="280">
        <v>85</v>
      </c>
      <c r="Y430" s="280">
        <v>88</v>
      </c>
      <c r="Z430" s="280">
        <v>90</v>
      </c>
      <c r="AA430" s="280">
        <v>91</v>
      </c>
      <c r="AB430" s="280">
        <v>94</v>
      </c>
      <c r="AC430" s="280">
        <v>98</v>
      </c>
      <c r="AD430" s="280">
        <v>103</v>
      </c>
      <c r="AE430" s="280">
        <v>106</v>
      </c>
      <c r="AF430" s="280">
        <v>108</v>
      </c>
      <c r="AG430" s="280">
        <v>110</v>
      </c>
      <c r="AH430" s="280">
        <v>114</v>
      </c>
    </row>
    <row r="431" spans="1:34" s="1" customFormat="1" ht="13" x14ac:dyDescent="0.25">
      <c r="A431" s="280" t="s">
        <v>973</v>
      </c>
      <c r="B431" s="286">
        <v>442</v>
      </c>
      <c r="C431" s="286">
        <v>727.875</v>
      </c>
      <c r="D431" s="286">
        <v>1013.7500000000001</v>
      </c>
      <c r="E431" s="286">
        <v>2</v>
      </c>
      <c r="F431" s="281">
        <v>0</v>
      </c>
      <c r="G431" s="282">
        <v>80.489678562500004</v>
      </c>
      <c r="H431" s="282">
        <v>82.596727968749988</v>
      </c>
      <c r="I431" s="282">
        <v>83.540101204166675</v>
      </c>
      <c r="J431" s="282">
        <v>84.990021806666675</v>
      </c>
      <c r="K431" s="282">
        <v>82.22974877527777</v>
      </c>
      <c r="L431" s="282">
        <v>81.436421171527769</v>
      </c>
      <c r="M431" s="282">
        <v>81.954337732777773</v>
      </c>
      <c r="N431" s="282">
        <v>82.427247531944431</v>
      </c>
      <c r="O431" s="282">
        <v>82.304653683333328</v>
      </c>
      <c r="P431" s="282">
        <v>80.629775879999983</v>
      </c>
      <c r="Q431" s="282">
        <v>78.398106141458328</v>
      </c>
      <c r="R431" s="283">
        <v>75.812474195833317</v>
      </c>
      <c r="S431" s="284">
        <v>896.31961609173595</v>
      </c>
      <c r="T431" s="284">
        <v>496.74735865916665</v>
      </c>
      <c r="U431" s="296">
        <f t="shared" si="12"/>
        <v>-21.469383908264263</v>
      </c>
      <c r="V431" s="296">
        <f t="shared" si="13"/>
        <v>-3.0466413408333324</v>
      </c>
      <c r="W431" s="287">
        <v>87</v>
      </c>
      <c r="X431" s="280">
        <v>85</v>
      </c>
      <c r="Y431" s="280">
        <v>83</v>
      </c>
      <c r="Z431" s="280">
        <v>80</v>
      </c>
      <c r="AA431" s="280">
        <v>76</v>
      </c>
      <c r="AB431" s="280">
        <v>74</v>
      </c>
      <c r="AC431" s="280">
        <v>73</v>
      </c>
      <c r="AD431" s="280">
        <v>73</v>
      </c>
      <c r="AE431" s="280">
        <v>71</v>
      </c>
      <c r="AF431" s="280">
        <v>68</v>
      </c>
      <c r="AG431" s="280">
        <v>65</v>
      </c>
      <c r="AH431" s="280">
        <v>64</v>
      </c>
    </row>
    <row r="432" spans="1:34" s="1" customFormat="1" ht="13" x14ac:dyDescent="0.25">
      <c r="A432" s="280" t="s">
        <v>974</v>
      </c>
      <c r="B432" s="286">
        <v>442</v>
      </c>
      <c r="C432" s="286">
        <v>727.875</v>
      </c>
      <c r="D432" s="286">
        <v>1013.7500000000001</v>
      </c>
      <c r="E432" s="286">
        <v>2</v>
      </c>
      <c r="F432" s="281">
        <v>1</v>
      </c>
      <c r="G432" s="282">
        <v>80.489678562500004</v>
      </c>
      <c r="H432" s="282">
        <v>82.596727968749988</v>
      </c>
      <c r="I432" s="282">
        <v>83.985101204166682</v>
      </c>
      <c r="J432" s="282">
        <v>85.880021806666676</v>
      </c>
      <c r="K432" s="282">
        <v>83.564748775277778</v>
      </c>
      <c r="L432" s="282">
        <v>83.283796171527769</v>
      </c>
      <c r="M432" s="282">
        <v>84.314087732777764</v>
      </c>
      <c r="N432" s="282">
        <v>85.299372531944442</v>
      </c>
      <c r="O432" s="282">
        <v>85.744184933333344</v>
      </c>
      <c r="P432" s="282">
        <v>84.636713379999989</v>
      </c>
      <c r="Q432" s="282">
        <v>82.972449891458339</v>
      </c>
      <c r="R432" s="283">
        <v>80.954224195833319</v>
      </c>
      <c r="S432" s="284">
        <v>923.23142859173618</v>
      </c>
      <c r="T432" s="284">
        <v>503.62448365916663</v>
      </c>
      <c r="U432" s="296">
        <f t="shared" si="12"/>
        <v>5.4424285917359612</v>
      </c>
      <c r="V432" s="296">
        <f t="shared" si="13"/>
        <v>3.8304836591666458</v>
      </c>
      <c r="W432" s="287">
        <v>87</v>
      </c>
      <c r="X432" s="280">
        <v>85</v>
      </c>
      <c r="Y432" s="280">
        <v>84</v>
      </c>
      <c r="Z432" s="280">
        <v>82</v>
      </c>
      <c r="AA432" s="280">
        <v>79</v>
      </c>
      <c r="AB432" s="280">
        <v>78</v>
      </c>
      <c r="AC432" s="280">
        <v>78</v>
      </c>
      <c r="AD432" s="280">
        <v>79</v>
      </c>
      <c r="AE432" s="280">
        <v>78</v>
      </c>
      <c r="AF432" s="280">
        <v>76</v>
      </c>
      <c r="AG432" s="280">
        <v>74</v>
      </c>
      <c r="AH432" s="280">
        <v>74</v>
      </c>
    </row>
    <row r="433" spans="1:34" s="1" customFormat="1" ht="13" x14ac:dyDescent="0.25">
      <c r="A433" s="280" t="s">
        <v>975</v>
      </c>
      <c r="B433" s="286">
        <v>442</v>
      </c>
      <c r="C433" s="286">
        <v>727.875</v>
      </c>
      <c r="D433" s="286">
        <v>1013.7500000000001</v>
      </c>
      <c r="E433" s="286">
        <v>2</v>
      </c>
      <c r="F433" s="281">
        <v>2</v>
      </c>
      <c r="G433" s="282">
        <v>80.489678562500004</v>
      </c>
      <c r="H433" s="282">
        <v>82.596727968749988</v>
      </c>
      <c r="I433" s="282">
        <v>84.430101204166675</v>
      </c>
      <c r="J433" s="282">
        <v>86.770021806666676</v>
      </c>
      <c r="K433" s="282">
        <v>84.899748775277786</v>
      </c>
      <c r="L433" s="282">
        <v>85.131171171527768</v>
      </c>
      <c r="M433" s="282">
        <v>86.67383773277777</v>
      </c>
      <c r="N433" s="282">
        <v>88.171497531944439</v>
      </c>
      <c r="O433" s="282">
        <v>89.183716183333345</v>
      </c>
      <c r="P433" s="282">
        <v>88.643650879999996</v>
      </c>
      <c r="Q433" s="282">
        <v>87.546793641458322</v>
      </c>
      <c r="R433" s="283">
        <v>86.095974195833321</v>
      </c>
      <c r="S433" s="284">
        <v>950.14324109173594</v>
      </c>
      <c r="T433" s="284">
        <v>510.50160865916666</v>
      </c>
      <c r="U433" s="296">
        <f t="shared" si="12"/>
        <v>32.35424109173573</v>
      </c>
      <c r="V433" s="296">
        <f t="shared" si="13"/>
        <v>10.707608659166681</v>
      </c>
      <c r="W433" s="287">
        <v>87</v>
      </c>
      <c r="X433" s="280">
        <v>85</v>
      </c>
      <c r="Y433" s="280">
        <v>85</v>
      </c>
      <c r="Z433" s="280">
        <v>84</v>
      </c>
      <c r="AA433" s="280">
        <v>82</v>
      </c>
      <c r="AB433" s="280">
        <v>82</v>
      </c>
      <c r="AC433" s="280">
        <v>83</v>
      </c>
      <c r="AD433" s="280">
        <v>85</v>
      </c>
      <c r="AE433" s="280">
        <v>85</v>
      </c>
      <c r="AF433" s="280">
        <v>84</v>
      </c>
      <c r="AG433" s="280">
        <v>83</v>
      </c>
      <c r="AH433" s="280">
        <v>84</v>
      </c>
    </row>
    <row r="434" spans="1:34" s="1" customFormat="1" ht="13" x14ac:dyDescent="0.25">
      <c r="A434" s="280" t="s">
        <v>976</v>
      </c>
      <c r="B434" s="286">
        <v>442</v>
      </c>
      <c r="C434" s="286">
        <v>727.875</v>
      </c>
      <c r="D434" s="286">
        <v>1013.7500000000001</v>
      </c>
      <c r="E434" s="286">
        <v>2</v>
      </c>
      <c r="F434" s="281">
        <v>3</v>
      </c>
      <c r="G434" s="282">
        <v>80.489678562500004</v>
      </c>
      <c r="H434" s="282">
        <v>82.596727968749988</v>
      </c>
      <c r="I434" s="282">
        <v>84.875101204166683</v>
      </c>
      <c r="J434" s="282">
        <v>87.660021806666677</v>
      </c>
      <c r="K434" s="282">
        <v>86.234748775277779</v>
      </c>
      <c r="L434" s="282">
        <v>86.978546171527768</v>
      </c>
      <c r="M434" s="282">
        <v>89.033587732777789</v>
      </c>
      <c r="N434" s="282">
        <v>91.043622531944436</v>
      </c>
      <c r="O434" s="282">
        <v>92.623247433333347</v>
      </c>
      <c r="P434" s="282">
        <v>92.650588379999988</v>
      </c>
      <c r="Q434" s="282">
        <v>92.121137391458319</v>
      </c>
      <c r="R434" s="283">
        <v>91.237724195833323</v>
      </c>
      <c r="S434" s="284">
        <v>977.05505359173617</v>
      </c>
      <c r="T434" s="284">
        <v>517.37873365916676</v>
      </c>
      <c r="U434" s="296">
        <f t="shared" si="12"/>
        <v>59.266053591735954</v>
      </c>
      <c r="V434" s="296">
        <f t="shared" si="13"/>
        <v>17.584733659166773</v>
      </c>
      <c r="W434" s="287">
        <v>87</v>
      </c>
      <c r="X434" s="280">
        <v>85</v>
      </c>
      <c r="Y434" s="280">
        <v>86</v>
      </c>
      <c r="Z434" s="280">
        <v>86</v>
      </c>
      <c r="AA434" s="280">
        <v>85</v>
      </c>
      <c r="AB434" s="280">
        <v>86</v>
      </c>
      <c r="AC434" s="280">
        <v>88</v>
      </c>
      <c r="AD434" s="280">
        <v>91</v>
      </c>
      <c r="AE434" s="280">
        <v>92</v>
      </c>
      <c r="AF434" s="280">
        <v>92</v>
      </c>
      <c r="AG434" s="280">
        <v>92</v>
      </c>
      <c r="AH434" s="280">
        <v>94</v>
      </c>
    </row>
    <row r="435" spans="1:34" s="1" customFormat="1" ht="13" x14ac:dyDescent="0.25">
      <c r="A435" s="280" t="s">
        <v>977</v>
      </c>
      <c r="B435" s="286">
        <v>442</v>
      </c>
      <c r="C435" s="286">
        <v>727.875</v>
      </c>
      <c r="D435" s="286">
        <v>1013.7500000000001</v>
      </c>
      <c r="E435" s="286">
        <v>2</v>
      </c>
      <c r="F435" s="281">
        <v>4</v>
      </c>
      <c r="G435" s="282">
        <v>80.489678562500004</v>
      </c>
      <c r="H435" s="282">
        <v>82.596727968749988</v>
      </c>
      <c r="I435" s="282">
        <v>85.320101204166676</v>
      </c>
      <c r="J435" s="282">
        <v>88.550021806666678</v>
      </c>
      <c r="K435" s="282">
        <v>87.569748775277787</v>
      </c>
      <c r="L435" s="282">
        <v>88.825921171527767</v>
      </c>
      <c r="M435" s="282">
        <v>91.393337732777781</v>
      </c>
      <c r="N435" s="282">
        <v>93.915747531944447</v>
      </c>
      <c r="O435" s="282">
        <v>96.062778683333349</v>
      </c>
      <c r="P435" s="282">
        <v>96.657525879999994</v>
      </c>
      <c r="Q435" s="282">
        <v>96.695481141458316</v>
      </c>
      <c r="R435" s="283">
        <v>96.379474195833311</v>
      </c>
      <c r="S435" s="284">
        <v>1003.9668660917362</v>
      </c>
      <c r="T435" s="284">
        <v>524.25585865916673</v>
      </c>
      <c r="U435" s="296">
        <f t="shared" si="12"/>
        <v>86.17786609173595</v>
      </c>
      <c r="V435" s="296">
        <f t="shared" si="13"/>
        <v>24.461858659166751</v>
      </c>
      <c r="W435" s="287">
        <v>87</v>
      </c>
      <c r="X435" s="280">
        <v>85</v>
      </c>
      <c r="Y435" s="280">
        <v>87</v>
      </c>
      <c r="Z435" s="280">
        <v>88</v>
      </c>
      <c r="AA435" s="280">
        <v>88</v>
      </c>
      <c r="AB435" s="280">
        <v>90</v>
      </c>
      <c r="AC435" s="280">
        <v>93</v>
      </c>
      <c r="AD435" s="280">
        <v>97</v>
      </c>
      <c r="AE435" s="280">
        <v>99</v>
      </c>
      <c r="AF435" s="280">
        <v>100</v>
      </c>
      <c r="AG435" s="280">
        <v>101</v>
      </c>
      <c r="AH435" s="280">
        <v>104</v>
      </c>
    </row>
    <row r="436" spans="1:34" s="1" customFormat="1" ht="13" x14ac:dyDescent="0.25">
      <c r="A436" s="280" t="s">
        <v>978</v>
      </c>
      <c r="B436" s="286">
        <v>442</v>
      </c>
      <c r="C436" s="286">
        <v>727.875</v>
      </c>
      <c r="D436" s="286">
        <v>1013.7500000000001</v>
      </c>
      <c r="E436" s="286">
        <v>2</v>
      </c>
      <c r="F436" s="281">
        <v>5</v>
      </c>
      <c r="G436" s="282">
        <v>80.489678562500004</v>
      </c>
      <c r="H436" s="282">
        <v>82.596727968749988</v>
      </c>
      <c r="I436" s="282">
        <v>85.765101204166683</v>
      </c>
      <c r="J436" s="282">
        <v>89.44002180666665</v>
      </c>
      <c r="K436" s="282">
        <v>88.904748775277781</v>
      </c>
      <c r="L436" s="282">
        <v>90.673296171527767</v>
      </c>
      <c r="M436" s="282">
        <v>93.753087732777786</v>
      </c>
      <c r="N436" s="282">
        <v>96.787872531944444</v>
      </c>
      <c r="O436" s="282">
        <v>99.502309933333336</v>
      </c>
      <c r="P436" s="282">
        <v>100.66446337999999</v>
      </c>
      <c r="Q436" s="282">
        <v>101.26982489145833</v>
      </c>
      <c r="R436" s="283">
        <v>101.52122419583331</v>
      </c>
      <c r="S436" s="284">
        <v>1030.8786785917362</v>
      </c>
      <c r="T436" s="284">
        <v>531.1329836591666</v>
      </c>
      <c r="U436" s="296">
        <f t="shared" si="12"/>
        <v>113.08967859173595</v>
      </c>
      <c r="V436" s="296">
        <f t="shared" si="13"/>
        <v>31.338983659166615</v>
      </c>
      <c r="W436" s="287">
        <v>87</v>
      </c>
      <c r="X436" s="280">
        <v>85</v>
      </c>
      <c r="Y436" s="280">
        <v>88</v>
      </c>
      <c r="Z436" s="280">
        <v>90</v>
      </c>
      <c r="AA436" s="280">
        <v>91</v>
      </c>
      <c r="AB436" s="280">
        <v>94</v>
      </c>
      <c r="AC436" s="280">
        <v>98</v>
      </c>
      <c r="AD436" s="280">
        <v>103</v>
      </c>
      <c r="AE436" s="280">
        <v>106</v>
      </c>
      <c r="AF436" s="280">
        <v>108</v>
      </c>
      <c r="AG436" s="280">
        <v>110</v>
      </c>
      <c r="AH436" s="280">
        <v>114</v>
      </c>
    </row>
    <row r="437" spans="1:34" s="1" customFormat="1" ht="13" x14ac:dyDescent="0.25">
      <c r="A437" s="280" t="s">
        <v>979</v>
      </c>
      <c r="B437" s="286">
        <v>442</v>
      </c>
      <c r="C437" s="286">
        <v>727.875</v>
      </c>
      <c r="D437" s="286">
        <v>1013.7500000000001</v>
      </c>
      <c r="E437" s="286">
        <v>3</v>
      </c>
      <c r="F437" s="281">
        <v>0</v>
      </c>
      <c r="G437" s="282">
        <v>80.489678562500004</v>
      </c>
      <c r="H437" s="282">
        <v>82.018323365972208</v>
      </c>
      <c r="I437" s="282">
        <v>82.623836690277784</v>
      </c>
      <c r="J437" s="282">
        <v>84.250649028888887</v>
      </c>
      <c r="K437" s="282">
        <v>81.459089053055536</v>
      </c>
      <c r="L437" s="282">
        <v>80.893365615972215</v>
      </c>
      <c r="M437" s="282">
        <v>81.513105093888882</v>
      </c>
      <c r="N437" s="282">
        <v>82.003983643055534</v>
      </c>
      <c r="O437" s="282">
        <v>81.789549516666639</v>
      </c>
      <c r="P437" s="282">
        <v>80.054775879999994</v>
      </c>
      <c r="Q437" s="282">
        <v>77.930918641458319</v>
      </c>
      <c r="R437" s="283">
        <v>75.289383918055549</v>
      </c>
      <c r="S437" s="284">
        <v>889.82698044729159</v>
      </c>
      <c r="T437" s="284">
        <v>492.75836884805557</v>
      </c>
      <c r="U437" s="296">
        <f t="shared" si="12"/>
        <v>-27.962019552708625</v>
      </c>
      <c r="V437" s="296">
        <f t="shared" si="13"/>
        <v>-7.0356311519444148</v>
      </c>
      <c r="W437" s="287">
        <v>87</v>
      </c>
      <c r="X437" s="280">
        <v>85</v>
      </c>
      <c r="Y437" s="280">
        <v>83</v>
      </c>
      <c r="Z437" s="280">
        <v>80</v>
      </c>
      <c r="AA437" s="280">
        <v>76</v>
      </c>
      <c r="AB437" s="280">
        <v>74</v>
      </c>
      <c r="AC437" s="280">
        <v>73</v>
      </c>
      <c r="AD437" s="280">
        <v>73</v>
      </c>
      <c r="AE437" s="280">
        <v>71</v>
      </c>
      <c r="AF437" s="280">
        <v>68</v>
      </c>
      <c r="AG437" s="280">
        <v>65</v>
      </c>
      <c r="AH437" s="280">
        <v>64</v>
      </c>
    </row>
    <row r="438" spans="1:34" s="1" customFormat="1" ht="13" x14ac:dyDescent="0.25">
      <c r="A438" s="280" t="s">
        <v>980</v>
      </c>
      <c r="B438" s="286">
        <v>442</v>
      </c>
      <c r="C438" s="286">
        <v>727.875</v>
      </c>
      <c r="D438" s="286">
        <v>1013.7500000000001</v>
      </c>
      <c r="E438" s="286">
        <v>3</v>
      </c>
      <c r="F438" s="281">
        <v>1</v>
      </c>
      <c r="G438" s="282">
        <v>80.489678562500004</v>
      </c>
      <c r="H438" s="282">
        <v>82.018323365972208</v>
      </c>
      <c r="I438" s="282">
        <v>83.068836690277791</v>
      </c>
      <c r="J438" s="282">
        <v>85.140649028888888</v>
      </c>
      <c r="K438" s="282">
        <v>82.794089053055529</v>
      </c>
      <c r="L438" s="282">
        <v>82.740740615972214</v>
      </c>
      <c r="M438" s="282">
        <v>83.872855093888887</v>
      </c>
      <c r="N438" s="282">
        <v>84.876108643055545</v>
      </c>
      <c r="O438" s="282">
        <v>85.229080766666655</v>
      </c>
      <c r="P438" s="282">
        <v>84.061713379999986</v>
      </c>
      <c r="Q438" s="282">
        <v>82.505262391458331</v>
      </c>
      <c r="R438" s="283">
        <v>80.431133918055551</v>
      </c>
      <c r="S438" s="284">
        <v>916.73879294729181</v>
      </c>
      <c r="T438" s="284">
        <v>499.6354938480556</v>
      </c>
      <c r="U438" s="296">
        <f t="shared" si="12"/>
        <v>-1.0502070527084015</v>
      </c>
      <c r="V438" s="296">
        <f t="shared" si="13"/>
        <v>-0.15850615194437978</v>
      </c>
      <c r="W438" s="287">
        <v>87</v>
      </c>
      <c r="X438" s="280">
        <v>85</v>
      </c>
      <c r="Y438" s="280">
        <v>84</v>
      </c>
      <c r="Z438" s="280">
        <v>82</v>
      </c>
      <c r="AA438" s="280">
        <v>79</v>
      </c>
      <c r="AB438" s="280">
        <v>78</v>
      </c>
      <c r="AC438" s="280">
        <v>78</v>
      </c>
      <c r="AD438" s="280">
        <v>79</v>
      </c>
      <c r="AE438" s="280">
        <v>78</v>
      </c>
      <c r="AF438" s="280">
        <v>76</v>
      </c>
      <c r="AG438" s="280">
        <v>74</v>
      </c>
      <c r="AH438" s="280">
        <v>74</v>
      </c>
    </row>
    <row r="439" spans="1:34" s="1" customFormat="1" ht="13" x14ac:dyDescent="0.25">
      <c r="A439" s="280" t="s">
        <v>981</v>
      </c>
      <c r="B439" s="286">
        <v>442</v>
      </c>
      <c r="C439" s="286">
        <v>727.875</v>
      </c>
      <c r="D439" s="286">
        <v>1013.7500000000001</v>
      </c>
      <c r="E439" s="286">
        <v>3</v>
      </c>
      <c r="F439" s="281">
        <v>2</v>
      </c>
      <c r="G439" s="282">
        <v>80.489678562500004</v>
      </c>
      <c r="H439" s="282">
        <v>82.018323365972208</v>
      </c>
      <c r="I439" s="282">
        <v>83.513836690277785</v>
      </c>
      <c r="J439" s="282">
        <v>86.030649028888888</v>
      </c>
      <c r="K439" s="282">
        <v>84.129089053055552</v>
      </c>
      <c r="L439" s="282">
        <v>84.5881156159722</v>
      </c>
      <c r="M439" s="282">
        <v>86.232605093888893</v>
      </c>
      <c r="N439" s="282">
        <v>87.74823364305557</v>
      </c>
      <c r="O439" s="282">
        <v>88.668612016666657</v>
      </c>
      <c r="P439" s="282">
        <v>88.068650879999993</v>
      </c>
      <c r="Q439" s="282">
        <v>87.079606141458328</v>
      </c>
      <c r="R439" s="283">
        <v>85.572883918055552</v>
      </c>
      <c r="S439" s="284">
        <v>943.65060544729158</v>
      </c>
      <c r="T439" s="284">
        <v>506.51261884805552</v>
      </c>
      <c r="U439" s="296">
        <f t="shared" si="12"/>
        <v>25.861605447291367</v>
      </c>
      <c r="V439" s="296">
        <f t="shared" si="13"/>
        <v>6.7186188480555415</v>
      </c>
      <c r="W439" s="287">
        <v>87</v>
      </c>
      <c r="X439" s="280">
        <v>85</v>
      </c>
      <c r="Y439" s="280">
        <v>85</v>
      </c>
      <c r="Z439" s="280">
        <v>84</v>
      </c>
      <c r="AA439" s="280">
        <v>82</v>
      </c>
      <c r="AB439" s="280">
        <v>82</v>
      </c>
      <c r="AC439" s="280">
        <v>83</v>
      </c>
      <c r="AD439" s="280">
        <v>85</v>
      </c>
      <c r="AE439" s="280">
        <v>85</v>
      </c>
      <c r="AF439" s="280">
        <v>84</v>
      </c>
      <c r="AG439" s="280">
        <v>83</v>
      </c>
      <c r="AH439" s="280">
        <v>84</v>
      </c>
    </row>
    <row r="440" spans="1:34" s="1" customFormat="1" ht="13" x14ac:dyDescent="0.25">
      <c r="A440" s="280" t="s">
        <v>982</v>
      </c>
      <c r="B440" s="286">
        <v>442</v>
      </c>
      <c r="C440" s="286">
        <v>727.875</v>
      </c>
      <c r="D440" s="286">
        <v>1013.7500000000001</v>
      </c>
      <c r="E440" s="286">
        <v>3</v>
      </c>
      <c r="F440" s="281">
        <v>3</v>
      </c>
      <c r="G440" s="282">
        <v>80.489678562500004</v>
      </c>
      <c r="H440" s="282">
        <v>82.018323365972208</v>
      </c>
      <c r="I440" s="282">
        <v>83.958836690277792</v>
      </c>
      <c r="J440" s="282">
        <v>86.920649028888889</v>
      </c>
      <c r="K440" s="282">
        <v>85.464089053055545</v>
      </c>
      <c r="L440" s="282">
        <v>86.435490615972199</v>
      </c>
      <c r="M440" s="282">
        <v>88.592355093888898</v>
      </c>
      <c r="N440" s="282">
        <v>90.620358643055553</v>
      </c>
      <c r="O440" s="282">
        <v>92.108143266666673</v>
      </c>
      <c r="P440" s="282">
        <v>92.075588379999985</v>
      </c>
      <c r="Q440" s="282">
        <v>91.653949891458325</v>
      </c>
      <c r="R440" s="283">
        <v>90.714633918055554</v>
      </c>
      <c r="S440" s="284">
        <v>970.56241794729158</v>
      </c>
      <c r="T440" s="284">
        <v>513.38974384805556</v>
      </c>
      <c r="U440" s="296">
        <f t="shared" si="12"/>
        <v>52.773417947291364</v>
      </c>
      <c r="V440" s="296">
        <f t="shared" si="13"/>
        <v>13.595743848055577</v>
      </c>
      <c r="W440" s="287">
        <v>87</v>
      </c>
      <c r="X440" s="280">
        <v>85</v>
      </c>
      <c r="Y440" s="280">
        <v>86</v>
      </c>
      <c r="Z440" s="280">
        <v>86</v>
      </c>
      <c r="AA440" s="280">
        <v>85</v>
      </c>
      <c r="AB440" s="280">
        <v>86</v>
      </c>
      <c r="AC440" s="280">
        <v>88</v>
      </c>
      <c r="AD440" s="280">
        <v>91</v>
      </c>
      <c r="AE440" s="280">
        <v>92</v>
      </c>
      <c r="AF440" s="280">
        <v>92</v>
      </c>
      <c r="AG440" s="280">
        <v>92</v>
      </c>
      <c r="AH440" s="280">
        <v>94</v>
      </c>
    </row>
    <row r="441" spans="1:34" s="1" customFormat="1" ht="13" x14ac:dyDescent="0.25">
      <c r="A441" s="280" t="s">
        <v>983</v>
      </c>
      <c r="B441" s="286">
        <v>442</v>
      </c>
      <c r="C441" s="286">
        <v>727.875</v>
      </c>
      <c r="D441" s="286">
        <v>1013.7500000000001</v>
      </c>
      <c r="E441" s="286">
        <v>3</v>
      </c>
      <c r="F441" s="281">
        <v>4</v>
      </c>
      <c r="G441" s="282">
        <v>80.489678562500004</v>
      </c>
      <c r="H441" s="282">
        <v>82.018323365972208</v>
      </c>
      <c r="I441" s="282">
        <v>84.403836690277785</v>
      </c>
      <c r="J441" s="282">
        <v>87.810649028888889</v>
      </c>
      <c r="K441" s="282">
        <v>86.799089053055553</v>
      </c>
      <c r="L441" s="282">
        <v>88.282865615972213</v>
      </c>
      <c r="M441" s="282">
        <v>90.952105093888889</v>
      </c>
      <c r="N441" s="282">
        <v>93.49248364305555</v>
      </c>
      <c r="O441" s="282">
        <v>95.547674516666675</v>
      </c>
      <c r="P441" s="282">
        <v>96.082525879999992</v>
      </c>
      <c r="Q441" s="282">
        <v>96.228293641458322</v>
      </c>
      <c r="R441" s="283">
        <v>95.856383918055556</v>
      </c>
      <c r="S441" s="284">
        <v>997.47423044729157</v>
      </c>
      <c r="T441" s="284">
        <v>520.26686884805554</v>
      </c>
      <c r="U441" s="296">
        <f t="shared" si="12"/>
        <v>79.68523044729136</v>
      </c>
      <c r="V441" s="296">
        <f t="shared" si="13"/>
        <v>20.472868848055555</v>
      </c>
      <c r="W441" s="287">
        <v>87</v>
      </c>
      <c r="X441" s="280">
        <v>85</v>
      </c>
      <c r="Y441" s="280">
        <v>87</v>
      </c>
      <c r="Z441" s="280">
        <v>88</v>
      </c>
      <c r="AA441" s="280">
        <v>88</v>
      </c>
      <c r="AB441" s="280">
        <v>90</v>
      </c>
      <c r="AC441" s="280">
        <v>93</v>
      </c>
      <c r="AD441" s="280">
        <v>97</v>
      </c>
      <c r="AE441" s="280">
        <v>99</v>
      </c>
      <c r="AF441" s="280">
        <v>100</v>
      </c>
      <c r="AG441" s="280">
        <v>101</v>
      </c>
      <c r="AH441" s="280">
        <v>104</v>
      </c>
    </row>
    <row r="442" spans="1:34" s="1" customFormat="1" ht="13" x14ac:dyDescent="0.25">
      <c r="A442" s="280" t="s">
        <v>984</v>
      </c>
      <c r="B442" s="286">
        <v>442</v>
      </c>
      <c r="C442" s="286">
        <v>727.875</v>
      </c>
      <c r="D442" s="286">
        <v>1013.7500000000001</v>
      </c>
      <c r="E442" s="286">
        <v>3</v>
      </c>
      <c r="F442" s="281">
        <v>5</v>
      </c>
      <c r="G442" s="282">
        <v>80.489678562500004</v>
      </c>
      <c r="H442" s="282">
        <v>82.018323365972208</v>
      </c>
      <c r="I442" s="282">
        <v>84.848836690277793</v>
      </c>
      <c r="J442" s="282">
        <v>88.70064902888889</v>
      </c>
      <c r="K442" s="282">
        <v>88.134089053055547</v>
      </c>
      <c r="L442" s="282">
        <v>90.130240615972227</v>
      </c>
      <c r="M442" s="282">
        <v>93.311855093888894</v>
      </c>
      <c r="N442" s="282">
        <v>96.364608643055547</v>
      </c>
      <c r="O442" s="282">
        <v>98.987205766666676</v>
      </c>
      <c r="P442" s="282">
        <v>100.08946337999998</v>
      </c>
      <c r="Q442" s="282">
        <v>100.80263739145832</v>
      </c>
      <c r="R442" s="283">
        <v>100.99813391805554</v>
      </c>
      <c r="S442" s="284">
        <v>1024.3860429472918</v>
      </c>
      <c r="T442" s="284">
        <v>527.14399384805563</v>
      </c>
      <c r="U442" s="296">
        <f t="shared" si="12"/>
        <v>106.59704294729158</v>
      </c>
      <c r="V442" s="296">
        <f t="shared" si="13"/>
        <v>27.349993848055647</v>
      </c>
      <c r="W442" s="287">
        <v>87</v>
      </c>
      <c r="X442" s="280">
        <v>85</v>
      </c>
      <c r="Y442" s="280">
        <v>88</v>
      </c>
      <c r="Z442" s="280">
        <v>90</v>
      </c>
      <c r="AA442" s="280">
        <v>91</v>
      </c>
      <c r="AB442" s="280">
        <v>94</v>
      </c>
      <c r="AC442" s="280">
        <v>98</v>
      </c>
      <c r="AD442" s="280">
        <v>103</v>
      </c>
      <c r="AE442" s="280">
        <v>106</v>
      </c>
      <c r="AF442" s="280">
        <v>108</v>
      </c>
      <c r="AG442" s="280">
        <v>110</v>
      </c>
      <c r="AH442" s="280">
        <v>114</v>
      </c>
    </row>
    <row r="443" spans="1:34" s="1" customFormat="1" ht="13" x14ac:dyDescent="0.25">
      <c r="A443" s="280" t="s">
        <v>985</v>
      </c>
      <c r="B443" s="286">
        <v>442</v>
      </c>
      <c r="C443" s="286">
        <v>727.875</v>
      </c>
      <c r="D443" s="286">
        <v>1013.7500000000001</v>
      </c>
      <c r="E443" s="286">
        <v>4</v>
      </c>
      <c r="F443" s="281">
        <v>0</v>
      </c>
      <c r="G443" s="282">
        <v>80.489678562500004</v>
      </c>
      <c r="H443" s="282">
        <v>81.702871977083333</v>
      </c>
      <c r="I443" s="282">
        <v>82.083065308333332</v>
      </c>
      <c r="J443" s="282">
        <v>83.534353639999992</v>
      </c>
      <c r="K443" s="282">
        <v>80.77615652527777</v>
      </c>
      <c r="L443" s="282">
        <v>80.290355171527779</v>
      </c>
      <c r="M443" s="282">
        <v>81.028947107777768</v>
      </c>
      <c r="N443" s="282">
        <v>81.612664198611085</v>
      </c>
      <c r="O443" s="282">
        <v>81.328351599999991</v>
      </c>
      <c r="P443" s="282">
        <v>79.539671713333334</v>
      </c>
      <c r="Q443" s="282">
        <v>77.379876974791657</v>
      </c>
      <c r="R443" s="283">
        <v>74.800234612499992</v>
      </c>
      <c r="S443" s="284">
        <v>884.07654882923589</v>
      </c>
      <c r="T443" s="284">
        <v>489.41574972999996</v>
      </c>
      <c r="U443" s="296">
        <f t="shared" si="12"/>
        <v>-33.712451170764325</v>
      </c>
      <c r="V443" s="296">
        <f t="shared" si="13"/>
        <v>-10.378250270000024</v>
      </c>
      <c r="W443" s="287">
        <v>87</v>
      </c>
      <c r="X443" s="280">
        <v>85</v>
      </c>
      <c r="Y443" s="280">
        <v>83</v>
      </c>
      <c r="Z443" s="280">
        <v>80</v>
      </c>
      <c r="AA443" s="280">
        <v>76</v>
      </c>
      <c r="AB443" s="280">
        <v>74</v>
      </c>
      <c r="AC443" s="280">
        <v>73</v>
      </c>
      <c r="AD443" s="280">
        <v>73</v>
      </c>
      <c r="AE443" s="280">
        <v>71</v>
      </c>
      <c r="AF443" s="280">
        <v>68</v>
      </c>
      <c r="AG443" s="280">
        <v>65</v>
      </c>
      <c r="AH443" s="280">
        <v>64</v>
      </c>
    </row>
    <row r="444" spans="1:34" s="1" customFormat="1" ht="13" x14ac:dyDescent="0.25">
      <c r="A444" s="280" t="s">
        <v>986</v>
      </c>
      <c r="B444" s="286">
        <v>442</v>
      </c>
      <c r="C444" s="286">
        <v>727.875</v>
      </c>
      <c r="D444" s="286">
        <v>1013.7500000000001</v>
      </c>
      <c r="E444" s="286">
        <v>4</v>
      </c>
      <c r="F444" s="281">
        <v>1</v>
      </c>
      <c r="G444" s="282">
        <v>80.489678562500004</v>
      </c>
      <c r="H444" s="282">
        <v>81.702871977083333</v>
      </c>
      <c r="I444" s="282">
        <v>82.528065308333325</v>
      </c>
      <c r="J444" s="282">
        <v>84.424353640000007</v>
      </c>
      <c r="K444" s="282">
        <v>82.111156525277764</v>
      </c>
      <c r="L444" s="282">
        <v>82.137730171527778</v>
      </c>
      <c r="M444" s="282">
        <v>83.388697107777773</v>
      </c>
      <c r="N444" s="282">
        <v>84.484789198611097</v>
      </c>
      <c r="O444" s="282">
        <v>84.767882850000007</v>
      </c>
      <c r="P444" s="282">
        <v>83.546609213333326</v>
      </c>
      <c r="Q444" s="282">
        <v>81.954220724791668</v>
      </c>
      <c r="R444" s="283">
        <v>79.941984612499994</v>
      </c>
      <c r="S444" s="284">
        <v>910.98836132923589</v>
      </c>
      <c r="T444" s="284">
        <v>496.29287472999994</v>
      </c>
      <c r="U444" s="296">
        <f t="shared" si="12"/>
        <v>-6.8006386707643287</v>
      </c>
      <c r="V444" s="296">
        <f t="shared" si="13"/>
        <v>-3.5011252700000455</v>
      </c>
      <c r="W444" s="287">
        <v>87</v>
      </c>
      <c r="X444" s="280">
        <v>85</v>
      </c>
      <c r="Y444" s="280">
        <v>84</v>
      </c>
      <c r="Z444" s="280">
        <v>82</v>
      </c>
      <c r="AA444" s="280">
        <v>79</v>
      </c>
      <c r="AB444" s="280">
        <v>78</v>
      </c>
      <c r="AC444" s="280">
        <v>78</v>
      </c>
      <c r="AD444" s="280">
        <v>79</v>
      </c>
      <c r="AE444" s="280">
        <v>78</v>
      </c>
      <c r="AF444" s="280">
        <v>76</v>
      </c>
      <c r="AG444" s="280">
        <v>74</v>
      </c>
      <c r="AH444" s="280">
        <v>74</v>
      </c>
    </row>
    <row r="445" spans="1:34" s="1" customFormat="1" ht="13" x14ac:dyDescent="0.25">
      <c r="A445" s="280" t="s">
        <v>987</v>
      </c>
      <c r="B445" s="286">
        <v>442</v>
      </c>
      <c r="C445" s="286">
        <v>727.875</v>
      </c>
      <c r="D445" s="286">
        <v>1013.7500000000001</v>
      </c>
      <c r="E445" s="286">
        <v>4</v>
      </c>
      <c r="F445" s="281">
        <v>2</v>
      </c>
      <c r="G445" s="282">
        <v>80.489678562500004</v>
      </c>
      <c r="H445" s="282">
        <v>81.702871977083333</v>
      </c>
      <c r="I445" s="282">
        <v>82.973065308333332</v>
      </c>
      <c r="J445" s="282">
        <v>85.314353640000007</v>
      </c>
      <c r="K445" s="282">
        <v>83.446156525277786</v>
      </c>
      <c r="L445" s="282">
        <v>83.985105171527763</v>
      </c>
      <c r="M445" s="282">
        <v>85.748447107777764</v>
      </c>
      <c r="N445" s="282">
        <v>87.356914198611094</v>
      </c>
      <c r="O445" s="282">
        <v>88.207414099999994</v>
      </c>
      <c r="P445" s="282">
        <v>87.553546713333333</v>
      </c>
      <c r="Q445" s="282">
        <v>86.528564474791665</v>
      </c>
      <c r="R445" s="283">
        <v>85.083734612499995</v>
      </c>
      <c r="S445" s="284">
        <v>937.90017382923611</v>
      </c>
      <c r="T445" s="284">
        <v>503.16999972999997</v>
      </c>
      <c r="U445" s="296">
        <f t="shared" si="12"/>
        <v>20.111173829235895</v>
      </c>
      <c r="V445" s="296">
        <f t="shared" si="13"/>
        <v>3.3759997299999895</v>
      </c>
      <c r="W445" s="287">
        <v>87</v>
      </c>
      <c r="X445" s="280">
        <v>85</v>
      </c>
      <c r="Y445" s="280">
        <v>85</v>
      </c>
      <c r="Z445" s="280">
        <v>84</v>
      </c>
      <c r="AA445" s="280">
        <v>82</v>
      </c>
      <c r="AB445" s="280">
        <v>82</v>
      </c>
      <c r="AC445" s="280">
        <v>83</v>
      </c>
      <c r="AD445" s="280">
        <v>85</v>
      </c>
      <c r="AE445" s="280">
        <v>85</v>
      </c>
      <c r="AF445" s="280">
        <v>84</v>
      </c>
      <c r="AG445" s="280">
        <v>83</v>
      </c>
      <c r="AH445" s="280">
        <v>84</v>
      </c>
    </row>
    <row r="446" spans="1:34" s="1" customFormat="1" ht="13" x14ac:dyDescent="0.25">
      <c r="A446" s="280" t="s">
        <v>988</v>
      </c>
      <c r="B446" s="286">
        <v>442</v>
      </c>
      <c r="C446" s="286">
        <v>727.875</v>
      </c>
      <c r="D446" s="286">
        <v>1013.7500000000001</v>
      </c>
      <c r="E446" s="286">
        <v>4</v>
      </c>
      <c r="F446" s="281">
        <v>3</v>
      </c>
      <c r="G446" s="282">
        <v>80.489678562500004</v>
      </c>
      <c r="H446" s="282">
        <v>81.702871977083333</v>
      </c>
      <c r="I446" s="282">
        <v>83.418065308333325</v>
      </c>
      <c r="J446" s="282">
        <v>86.204353640000008</v>
      </c>
      <c r="K446" s="282">
        <v>84.78115652527778</v>
      </c>
      <c r="L446" s="282">
        <v>85.832480171527763</v>
      </c>
      <c r="M446" s="282">
        <v>88.108197107777769</v>
      </c>
      <c r="N446" s="282">
        <v>90.229039198611105</v>
      </c>
      <c r="O446" s="282">
        <v>91.64694535000001</v>
      </c>
      <c r="P446" s="282">
        <v>91.560484213333339</v>
      </c>
      <c r="Q446" s="282">
        <v>91.102908224791662</v>
      </c>
      <c r="R446" s="283">
        <v>90.225484612499997</v>
      </c>
      <c r="S446" s="284">
        <v>964.81198632923611</v>
      </c>
      <c r="T446" s="284">
        <v>510.04712472999995</v>
      </c>
      <c r="U446" s="296">
        <f t="shared" si="12"/>
        <v>47.022986329235891</v>
      </c>
      <c r="V446" s="296">
        <f t="shared" si="13"/>
        <v>10.253124729999968</v>
      </c>
      <c r="W446" s="287">
        <v>87</v>
      </c>
      <c r="X446" s="280">
        <v>85</v>
      </c>
      <c r="Y446" s="280">
        <v>86</v>
      </c>
      <c r="Z446" s="280">
        <v>86</v>
      </c>
      <c r="AA446" s="280">
        <v>85</v>
      </c>
      <c r="AB446" s="280">
        <v>86</v>
      </c>
      <c r="AC446" s="280">
        <v>88</v>
      </c>
      <c r="AD446" s="280">
        <v>91</v>
      </c>
      <c r="AE446" s="280">
        <v>92</v>
      </c>
      <c r="AF446" s="280">
        <v>92</v>
      </c>
      <c r="AG446" s="280">
        <v>92</v>
      </c>
      <c r="AH446" s="280">
        <v>94</v>
      </c>
    </row>
    <row r="447" spans="1:34" s="1" customFormat="1" ht="13" x14ac:dyDescent="0.25">
      <c r="A447" s="280" t="s">
        <v>989</v>
      </c>
      <c r="B447" s="286">
        <v>442</v>
      </c>
      <c r="C447" s="286">
        <v>727.875</v>
      </c>
      <c r="D447" s="286">
        <v>1013.7500000000001</v>
      </c>
      <c r="E447" s="286">
        <v>4</v>
      </c>
      <c r="F447" s="281">
        <v>4</v>
      </c>
      <c r="G447" s="282">
        <v>80.489678562500004</v>
      </c>
      <c r="H447" s="282">
        <v>81.702871977083333</v>
      </c>
      <c r="I447" s="282">
        <v>83.863065308333333</v>
      </c>
      <c r="J447" s="282">
        <v>87.094353639999994</v>
      </c>
      <c r="K447" s="282">
        <v>86.116156525277788</v>
      </c>
      <c r="L447" s="282">
        <v>87.679855171527763</v>
      </c>
      <c r="M447" s="282">
        <v>90.467947107777789</v>
      </c>
      <c r="N447" s="282">
        <v>93.101164198611102</v>
      </c>
      <c r="O447" s="282">
        <v>95.086476600000012</v>
      </c>
      <c r="P447" s="282">
        <v>95.567421713333331</v>
      </c>
      <c r="Q447" s="282">
        <v>95.677251974791659</v>
      </c>
      <c r="R447" s="283">
        <v>95.367234612499999</v>
      </c>
      <c r="S447" s="284">
        <v>991.7237988292361</v>
      </c>
      <c r="T447" s="284">
        <v>516.92424973000004</v>
      </c>
      <c r="U447" s="296">
        <f t="shared" si="12"/>
        <v>73.934798829235888</v>
      </c>
      <c r="V447" s="296">
        <f t="shared" si="13"/>
        <v>17.13024973000006</v>
      </c>
      <c r="W447" s="287">
        <v>87</v>
      </c>
      <c r="X447" s="280">
        <v>85</v>
      </c>
      <c r="Y447" s="280">
        <v>87</v>
      </c>
      <c r="Z447" s="280">
        <v>88</v>
      </c>
      <c r="AA447" s="280">
        <v>88</v>
      </c>
      <c r="AB447" s="280">
        <v>90</v>
      </c>
      <c r="AC447" s="280">
        <v>93</v>
      </c>
      <c r="AD447" s="280">
        <v>97</v>
      </c>
      <c r="AE447" s="280">
        <v>99</v>
      </c>
      <c r="AF447" s="280">
        <v>100</v>
      </c>
      <c r="AG447" s="280">
        <v>101</v>
      </c>
      <c r="AH447" s="280">
        <v>104</v>
      </c>
    </row>
    <row r="448" spans="1:34" s="1" customFormat="1" ht="13" x14ac:dyDescent="0.25">
      <c r="A448" s="280" t="s">
        <v>990</v>
      </c>
      <c r="B448" s="286">
        <v>442</v>
      </c>
      <c r="C448" s="286">
        <v>727.875</v>
      </c>
      <c r="D448" s="286">
        <v>1013.7500000000001</v>
      </c>
      <c r="E448" s="286">
        <v>4</v>
      </c>
      <c r="F448" s="281">
        <v>5</v>
      </c>
      <c r="G448" s="282">
        <v>80.489678562500004</v>
      </c>
      <c r="H448" s="282">
        <v>81.702871977083333</v>
      </c>
      <c r="I448" s="282">
        <v>84.308065308333326</v>
      </c>
      <c r="J448" s="282">
        <v>87.984353639999995</v>
      </c>
      <c r="K448" s="282">
        <v>87.451156525277781</v>
      </c>
      <c r="L448" s="282">
        <v>89.527230171527762</v>
      </c>
      <c r="M448" s="282">
        <v>92.82769710777778</v>
      </c>
      <c r="N448" s="282">
        <v>95.973289198611099</v>
      </c>
      <c r="O448" s="282">
        <v>98.526007850000013</v>
      </c>
      <c r="P448" s="282">
        <v>99.574359213333338</v>
      </c>
      <c r="Q448" s="282">
        <v>100.25159572479167</v>
      </c>
      <c r="R448" s="283">
        <v>100.5089846125</v>
      </c>
      <c r="S448" s="284">
        <v>1018.6356113292361</v>
      </c>
      <c r="T448" s="284">
        <v>523.80137473000002</v>
      </c>
      <c r="U448" s="296">
        <f t="shared" si="12"/>
        <v>100.84661132923588</v>
      </c>
      <c r="V448" s="296">
        <f t="shared" si="13"/>
        <v>24.007374730000038</v>
      </c>
      <c r="W448" s="287">
        <v>87</v>
      </c>
      <c r="X448" s="280">
        <v>85</v>
      </c>
      <c r="Y448" s="280">
        <v>88</v>
      </c>
      <c r="Z448" s="280">
        <v>90</v>
      </c>
      <c r="AA448" s="280">
        <v>91</v>
      </c>
      <c r="AB448" s="280">
        <v>94</v>
      </c>
      <c r="AC448" s="280">
        <v>98</v>
      </c>
      <c r="AD448" s="280">
        <v>103</v>
      </c>
      <c r="AE448" s="280">
        <v>106</v>
      </c>
      <c r="AF448" s="280">
        <v>108</v>
      </c>
      <c r="AG448" s="280">
        <v>110</v>
      </c>
      <c r="AH448" s="280">
        <v>114</v>
      </c>
    </row>
    <row r="449" spans="1:34" s="1" customFormat="1" ht="13" x14ac:dyDescent="0.25">
      <c r="A449" s="280" t="s">
        <v>991</v>
      </c>
      <c r="B449" s="286">
        <v>442</v>
      </c>
      <c r="C449" s="286">
        <v>727.875</v>
      </c>
      <c r="D449" s="286">
        <v>1013.7500000000001</v>
      </c>
      <c r="E449" s="286">
        <v>5</v>
      </c>
      <c r="F449" s="281">
        <v>0</v>
      </c>
      <c r="G449" s="282">
        <v>80.489678562500004</v>
      </c>
      <c r="H449" s="282">
        <v>81.511214143749982</v>
      </c>
      <c r="I449" s="282">
        <v>81.71488125416667</v>
      </c>
      <c r="J449" s="282">
        <v>83.036027139999987</v>
      </c>
      <c r="K449" s="282">
        <v>80.121223858611103</v>
      </c>
      <c r="L449" s="282">
        <v>79.714697671527759</v>
      </c>
      <c r="M449" s="282">
        <v>80.546785649444445</v>
      </c>
      <c r="N449" s="282">
        <v>81.167039198611093</v>
      </c>
      <c r="O449" s="282">
        <v>80.907882849999979</v>
      </c>
      <c r="P449" s="282">
        <v>79.067692546666649</v>
      </c>
      <c r="Q449" s="282">
        <v>76.867168641458321</v>
      </c>
      <c r="R449" s="283">
        <v>74.252786695833322</v>
      </c>
      <c r="S449" s="284">
        <v>878.90739965006924</v>
      </c>
      <c r="T449" s="284">
        <v>486.64482971749987</v>
      </c>
      <c r="U449" s="296">
        <f t="shared" si="12"/>
        <v>-38.881600349930977</v>
      </c>
      <c r="V449" s="296">
        <f t="shared" si="13"/>
        <v>-13.149170282500108</v>
      </c>
      <c r="W449" s="287">
        <v>87</v>
      </c>
      <c r="X449" s="280">
        <v>85</v>
      </c>
      <c r="Y449" s="280">
        <v>83</v>
      </c>
      <c r="Z449" s="280">
        <v>80</v>
      </c>
      <c r="AA449" s="280">
        <v>76</v>
      </c>
      <c r="AB449" s="280">
        <v>74</v>
      </c>
      <c r="AC449" s="280">
        <v>73</v>
      </c>
      <c r="AD449" s="280">
        <v>73</v>
      </c>
      <c r="AE449" s="280">
        <v>71</v>
      </c>
      <c r="AF449" s="280">
        <v>68</v>
      </c>
      <c r="AG449" s="280">
        <v>65</v>
      </c>
      <c r="AH449" s="280">
        <v>64</v>
      </c>
    </row>
    <row r="450" spans="1:34" s="1" customFormat="1" ht="13" x14ac:dyDescent="0.25">
      <c r="A450" s="280" t="s">
        <v>992</v>
      </c>
      <c r="B450" s="286">
        <v>442</v>
      </c>
      <c r="C450" s="286">
        <v>727.875</v>
      </c>
      <c r="D450" s="286">
        <v>1013.7500000000001</v>
      </c>
      <c r="E450" s="286">
        <v>5</v>
      </c>
      <c r="F450" s="281">
        <v>1</v>
      </c>
      <c r="G450" s="282">
        <v>80.489678562500004</v>
      </c>
      <c r="H450" s="282">
        <v>81.511214143749982</v>
      </c>
      <c r="I450" s="282">
        <v>82.159881254166677</v>
      </c>
      <c r="J450" s="282">
        <v>83.926027140000002</v>
      </c>
      <c r="K450" s="282">
        <v>81.456223858611111</v>
      </c>
      <c r="L450" s="282">
        <v>81.562072671527758</v>
      </c>
      <c r="M450" s="282">
        <v>82.906535649444436</v>
      </c>
      <c r="N450" s="282">
        <v>84.039164198611118</v>
      </c>
      <c r="O450" s="282">
        <v>84.347414099999995</v>
      </c>
      <c r="P450" s="282">
        <v>83.07463004666667</v>
      </c>
      <c r="Q450" s="282">
        <v>81.441512391458318</v>
      </c>
      <c r="R450" s="283">
        <v>79.39453669583331</v>
      </c>
      <c r="S450" s="284">
        <v>905.81921215006946</v>
      </c>
      <c r="T450" s="284">
        <v>493.52195471749997</v>
      </c>
      <c r="U450" s="296">
        <f t="shared" si="12"/>
        <v>-11.969787849930754</v>
      </c>
      <c r="V450" s="296">
        <f t="shared" si="13"/>
        <v>-6.2720452825000166</v>
      </c>
      <c r="W450" s="287">
        <v>87</v>
      </c>
      <c r="X450" s="280">
        <v>85</v>
      </c>
      <c r="Y450" s="280">
        <v>84</v>
      </c>
      <c r="Z450" s="280">
        <v>82</v>
      </c>
      <c r="AA450" s="280">
        <v>79</v>
      </c>
      <c r="AB450" s="280">
        <v>78</v>
      </c>
      <c r="AC450" s="280">
        <v>78</v>
      </c>
      <c r="AD450" s="280">
        <v>79</v>
      </c>
      <c r="AE450" s="280">
        <v>78</v>
      </c>
      <c r="AF450" s="280">
        <v>76</v>
      </c>
      <c r="AG450" s="280">
        <v>74</v>
      </c>
      <c r="AH450" s="280">
        <v>74</v>
      </c>
    </row>
    <row r="451" spans="1:34" s="1" customFormat="1" ht="13" x14ac:dyDescent="0.25">
      <c r="A451" s="280" t="s">
        <v>993</v>
      </c>
      <c r="B451" s="286">
        <v>442</v>
      </c>
      <c r="C451" s="286">
        <v>727.875</v>
      </c>
      <c r="D451" s="286">
        <v>1013.7500000000001</v>
      </c>
      <c r="E451" s="286">
        <v>5</v>
      </c>
      <c r="F451" s="281">
        <v>2</v>
      </c>
      <c r="G451" s="282">
        <v>80.489678562500004</v>
      </c>
      <c r="H451" s="282">
        <v>81.511214143749982</v>
      </c>
      <c r="I451" s="282">
        <v>82.604881254166685</v>
      </c>
      <c r="J451" s="282">
        <v>84.816027140000003</v>
      </c>
      <c r="K451" s="282">
        <v>82.791223858611104</v>
      </c>
      <c r="L451" s="282">
        <v>83.409447671527758</v>
      </c>
      <c r="M451" s="282">
        <v>85.266285649444441</v>
      </c>
      <c r="N451" s="282">
        <v>86.911289198611115</v>
      </c>
      <c r="O451" s="282">
        <v>87.786945349999996</v>
      </c>
      <c r="P451" s="282">
        <v>87.081567546666676</v>
      </c>
      <c r="Q451" s="282">
        <v>86.015856141458315</v>
      </c>
      <c r="R451" s="283">
        <v>84.536286695833311</v>
      </c>
      <c r="S451" s="284">
        <v>932.73102465006934</v>
      </c>
      <c r="T451" s="284">
        <v>500.39907971749994</v>
      </c>
      <c r="U451" s="296">
        <f t="shared" si="12"/>
        <v>14.942024650069129</v>
      </c>
      <c r="V451" s="296">
        <f t="shared" si="13"/>
        <v>0.60507971749996159</v>
      </c>
      <c r="W451" s="287">
        <v>87</v>
      </c>
      <c r="X451" s="280">
        <v>85</v>
      </c>
      <c r="Y451" s="280">
        <v>85</v>
      </c>
      <c r="Z451" s="280">
        <v>84</v>
      </c>
      <c r="AA451" s="280">
        <v>82</v>
      </c>
      <c r="AB451" s="280">
        <v>82</v>
      </c>
      <c r="AC451" s="280">
        <v>83</v>
      </c>
      <c r="AD451" s="280">
        <v>85</v>
      </c>
      <c r="AE451" s="280">
        <v>85</v>
      </c>
      <c r="AF451" s="280">
        <v>84</v>
      </c>
      <c r="AG451" s="280">
        <v>83</v>
      </c>
      <c r="AH451" s="280">
        <v>84</v>
      </c>
    </row>
    <row r="452" spans="1:34" s="1" customFormat="1" ht="13" x14ac:dyDescent="0.25">
      <c r="A452" s="280" t="s">
        <v>994</v>
      </c>
      <c r="B452" s="286">
        <v>442</v>
      </c>
      <c r="C452" s="286">
        <v>727.875</v>
      </c>
      <c r="D452" s="286">
        <v>1013.7500000000001</v>
      </c>
      <c r="E452" s="286">
        <v>5</v>
      </c>
      <c r="F452" s="281">
        <v>3</v>
      </c>
      <c r="G452" s="282">
        <v>80.489678562500004</v>
      </c>
      <c r="H452" s="282">
        <v>81.511214143749982</v>
      </c>
      <c r="I452" s="282">
        <v>83.049881254166678</v>
      </c>
      <c r="J452" s="282">
        <v>85.706027140000003</v>
      </c>
      <c r="K452" s="282">
        <v>84.126223858611127</v>
      </c>
      <c r="L452" s="282">
        <v>85.256822671527743</v>
      </c>
      <c r="M452" s="282">
        <v>87.626035649444447</v>
      </c>
      <c r="N452" s="282">
        <v>89.783414198611098</v>
      </c>
      <c r="O452" s="282">
        <v>91.226476600000012</v>
      </c>
      <c r="P452" s="282">
        <v>91.08850504666664</v>
      </c>
      <c r="Q452" s="282">
        <v>90.590199891458326</v>
      </c>
      <c r="R452" s="283">
        <v>89.678036695833313</v>
      </c>
      <c r="S452" s="284">
        <v>959.64283715006945</v>
      </c>
      <c r="T452" s="284">
        <v>507.27620471750004</v>
      </c>
      <c r="U452" s="296">
        <f t="shared" si="12"/>
        <v>41.853837150069239</v>
      </c>
      <c r="V452" s="296">
        <f t="shared" si="13"/>
        <v>7.4822047175000534</v>
      </c>
      <c r="W452" s="287">
        <v>87</v>
      </c>
      <c r="X452" s="280">
        <v>85</v>
      </c>
      <c r="Y452" s="280">
        <v>86</v>
      </c>
      <c r="Z452" s="280">
        <v>86</v>
      </c>
      <c r="AA452" s="280">
        <v>85</v>
      </c>
      <c r="AB452" s="280">
        <v>86</v>
      </c>
      <c r="AC452" s="280">
        <v>88</v>
      </c>
      <c r="AD452" s="280">
        <v>91</v>
      </c>
      <c r="AE452" s="280">
        <v>92</v>
      </c>
      <c r="AF452" s="280">
        <v>92</v>
      </c>
      <c r="AG452" s="280">
        <v>92</v>
      </c>
      <c r="AH452" s="280">
        <v>94</v>
      </c>
    </row>
    <row r="453" spans="1:34" s="1" customFormat="1" ht="13" x14ac:dyDescent="0.25">
      <c r="A453" s="280" t="s">
        <v>995</v>
      </c>
      <c r="B453" s="286">
        <v>442</v>
      </c>
      <c r="C453" s="286">
        <v>727.875</v>
      </c>
      <c r="D453" s="286">
        <v>1013.7500000000001</v>
      </c>
      <c r="E453" s="286">
        <v>5</v>
      </c>
      <c r="F453" s="281">
        <v>4</v>
      </c>
      <c r="G453" s="282">
        <v>80.489678562500004</v>
      </c>
      <c r="H453" s="282">
        <v>81.511214143749982</v>
      </c>
      <c r="I453" s="282">
        <v>83.494881254166685</v>
      </c>
      <c r="J453" s="282">
        <v>86.596027140000004</v>
      </c>
      <c r="K453" s="282">
        <v>85.46122385861112</v>
      </c>
      <c r="L453" s="282">
        <v>87.104197671527743</v>
      </c>
      <c r="M453" s="282">
        <v>89.985785649444438</v>
      </c>
      <c r="N453" s="282">
        <v>92.655539198611095</v>
      </c>
      <c r="O453" s="282">
        <v>94.666007850000014</v>
      </c>
      <c r="P453" s="282">
        <v>95.095442546666646</v>
      </c>
      <c r="Q453" s="282">
        <v>95.164543641458323</v>
      </c>
      <c r="R453" s="283">
        <v>94.819786695833315</v>
      </c>
      <c r="S453" s="284">
        <v>986.55464965006922</v>
      </c>
      <c r="T453" s="284">
        <v>514.1533297174999</v>
      </c>
      <c r="U453" s="296">
        <f t="shared" ref="U453:U516" si="14">S453-S$3</f>
        <v>68.765649650069008</v>
      </c>
      <c r="V453" s="296">
        <f t="shared" ref="V453:V516" si="15">T453-T$3</f>
        <v>14.359329717499918</v>
      </c>
      <c r="W453" s="287">
        <v>87</v>
      </c>
      <c r="X453" s="280">
        <v>85</v>
      </c>
      <c r="Y453" s="280">
        <v>87</v>
      </c>
      <c r="Z453" s="280">
        <v>88</v>
      </c>
      <c r="AA453" s="280">
        <v>88</v>
      </c>
      <c r="AB453" s="280">
        <v>90</v>
      </c>
      <c r="AC453" s="280">
        <v>93</v>
      </c>
      <c r="AD453" s="280">
        <v>97</v>
      </c>
      <c r="AE453" s="280">
        <v>99</v>
      </c>
      <c r="AF453" s="280">
        <v>100</v>
      </c>
      <c r="AG453" s="280">
        <v>101</v>
      </c>
      <c r="AH453" s="280">
        <v>104</v>
      </c>
    </row>
    <row r="454" spans="1:34" s="1" customFormat="1" ht="13" x14ac:dyDescent="0.25">
      <c r="A454" s="280" t="s">
        <v>996</v>
      </c>
      <c r="B454" s="286">
        <v>442</v>
      </c>
      <c r="C454" s="286">
        <v>727.875</v>
      </c>
      <c r="D454" s="286">
        <v>1013.7500000000001</v>
      </c>
      <c r="E454" s="286">
        <v>5</v>
      </c>
      <c r="F454" s="281">
        <v>5</v>
      </c>
      <c r="G454" s="282">
        <v>80.489678562500004</v>
      </c>
      <c r="H454" s="282">
        <v>81.511214143749982</v>
      </c>
      <c r="I454" s="282">
        <v>83.939881254166679</v>
      </c>
      <c r="J454" s="282">
        <v>87.486027140000004</v>
      </c>
      <c r="K454" s="282">
        <v>86.796223858611114</v>
      </c>
      <c r="L454" s="282">
        <v>88.951572671527742</v>
      </c>
      <c r="M454" s="282">
        <v>92.345535649444443</v>
      </c>
      <c r="N454" s="282">
        <v>95.527664198611106</v>
      </c>
      <c r="O454" s="282">
        <v>98.105539100000016</v>
      </c>
      <c r="P454" s="282">
        <v>99.102380046666653</v>
      </c>
      <c r="Q454" s="282">
        <v>99.73888739145832</v>
      </c>
      <c r="R454" s="283">
        <v>99.961536695833317</v>
      </c>
      <c r="S454" s="284">
        <v>1013.4664621500693</v>
      </c>
      <c r="T454" s="284">
        <v>521.03045471749999</v>
      </c>
      <c r="U454" s="296">
        <f t="shared" si="14"/>
        <v>95.677462150069118</v>
      </c>
      <c r="V454" s="296">
        <f t="shared" si="15"/>
        <v>21.23645471750001</v>
      </c>
      <c r="W454" s="287">
        <v>87</v>
      </c>
      <c r="X454" s="280">
        <v>85</v>
      </c>
      <c r="Y454" s="280">
        <v>88</v>
      </c>
      <c r="Z454" s="280">
        <v>90</v>
      </c>
      <c r="AA454" s="280">
        <v>91</v>
      </c>
      <c r="AB454" s="280">
        <v>94</v>
      </c>
      <c r="AC454" s="280">
        <v>98</v>
      </c>
      <c r="AD454" s="280">
        <v>103</v>
      </c>
      <c r="AE454" s="280">
        <v>106</v>
      </c>
      <c r="AF454" s="280">
        <v>108</v>
      </c>
      <c r="AG454" s="280">
        <v>110</v>
      </c>
      <c r="AH454" s="280">
        <v>114</v>
      </c>
    </row>
    <row r="455" spans="1:34" s="1" customFormat="1" ht="13" x14ac:dyDescent="0.25">
      <c r="A455" s="280" t="s">
        <v>997</v>
      </c>
      <c r="B455" s="286">
        <v>442</v>
      </c>
      <c r="C455" s="286">
        <v>727.875</v>
      </c>
      <c r="D455" s="286">
        <v>1013.7500000000001</v>
      </c>
      <c r="E455" s="286">
        <v>1</v>
      </c>
      <c r="F455" s="281">
        <v>0</v>
      </c>
      <c r="G455" s="282">
        <v>80.489678562500004</v>
      </c>
      <c r="H455" s="282">
        <v>84.22351588541666</v>
      </c>
      <c r="I455" s="282">
        <v>84.992612495833342</v>
      </c>
      <c r="J455" s="282">
        <v>86.488748223333346</v>
      </c>
      <c r="K455" s="282">
        <v>83.412064775277784</v>
      </c>
      <c r="L455" s="282">
        <v>82.085796171527761</v>
      </c>
      <c r="M455" s="282">
        <v>82.658556482777783</v>
      </c>
      <c r="N455" s="282">
        <v>83.159747531944447</v>
      </c>
      <c r="O455" s="282">
        <v>83.232674516666677</v>
      </c>
      <c r="P455" s="282">
        <v>81.377484213333332</v>
      </c>
      <c r="Q455" s="282">
        <v>79.178001974791655</v>
      </c>
      <c r="R455" s="283">
        <v>76.684661695833313</v>
      </c>
      <c r="S455" s="284">
        <v>907.49386396673594</v>
      </c>
      <c r="T455" s="284">
        <v>503.86129403416669</v>
      </c>
      <c r="U455" s="296">
        <f t="shared" si="14"/>
        <v>-10.295136033264271</v>
      </c>
      <c r="V455" s="296">
        <f t="shared" si="15"/>
        <v>4.0672940341667072</v>
      </c>
      <c r="W455" s="287">
        <v>87</v>
      </c>
      <c r="X455" s="280">
        <v>85</v>
      </c>
      <c r="Y455" s="280">
        <v>83</v>
      </c>
      <c r="Z455" s="280">
        <v>80</v>
      </c>
      <c r="AA455" s="280">
        <v>76</v>
      </c>
      <c r="AB455" s="280">
        <v>74</v>
      </c>
      <c r="AC455" s="280">
        <v>73</v>
      </c>
      <c r="AD455" s="280">
        <v>73</v>
      </c>
      <c r="AE455" s="280">
        <v>71</v>
      </c>
      <c r="AF455" s="280">
        <v>68</v>
      </c>
      <c r="AG455" s="280">
        <v>65</v>
      </c>
      <c r="AH455" s="280">
        <v>64</v>
      </c>
    </row>
    <row r="456" spans="1:34" s="1" customFormat="1" ht="13" x14ac:dyDescent="0.25">
      <c r="A456" s="280" t="s">
        <v>998</v>
      </c>
      <c r="B456" s="286">
        <v>442</v>
      </c>
      <c r="C456" s="286">
        <v>727.875</v>
      </c>
      <c r="D456" s="286">
        <v>1013.7500000000001</v>
      </c>
      <c r="E456" s="286">
        <v>1</v>
      </c>
      <c r="F456" s="281">
        <v>1</v>
      </c>
      <c r="G456" s="282">
        <v>80.489678562500004</v>
      </c>
      <c r="H456" s="282">
        <v>84.22351588541666</v>
      </c>
      <c r="I456" s="282">
        <v>85.437612495833335</v>
      </c>
      <c r="J456" s="282">
        <v>87.378748223333346</v>
      </c>
      <c r="K456" s="282">
        <v>84.747064775277792</v>
      </c>
      <c r="L456" s="282">
        <v>83.933171171527761</v>
      </c>
      <c r="M456" s="282">
        <v>85.018306482777788</v>
      </c>
      <c r="N456" s="282">
        <v>86.031872531944444</v>
      </c>
      <c r="O456" s="282">
        <v>86.672830766666678</v>
      </c>
      <c r="P456" s="282">
        <v>85.385671713333338</v>
      </c>
      <c r="Q456" s="282">
        <v>83.754220724791665</v>
      </c>
      <c r="R456" s="283">
        <v>81.828911695833312</v>
      </c>
      <c r="S456" s="284">
        <v>934.41192646673619</v>
      </c>
      <c r="T456" s="284">
        <v>510.73841903416672</v>
      </c>
      <c r="U456" s="296">
        <f t="shared" si="14"/>
        <v>16.622926466735976</v>
      </c>
      <c r="V456" s="296">
        <f t="shared" si="15"/>
        <v>10.944419034166742</v>
      </c>
      <c r="W456" s="287">
        <v>87</v>
      </c>
      <c r="X456" s="280">
        <v>85</v>
      </c>
      <c r="Y456" s="280">
        <v>84</v>
      </c>
      <c r="Z456" s="280">
        <v>82</v>
      </c>
      <c r="AA456" s="280">
        <v>79</v>
      </c>
      <c r="AB456" s="280">
        <v>78</v>
      </c>
      <c r="AC456" s="280">
        <v>78</v>
      </c>
      <c r="AD456" s="280">
        <v>79</v>
      </c>
      <c r="AE456" s="280">
        <v>78</v>
      </c>
      <c r="AF456" s="280">
        <v>76</v>
      </c>
      <c r="AG456" s="280">
        <v>74</v>
      </c>
      <c r="AH456" s="280">
        <v>74</v>
      </c>
    </row>
    <row r="457" spans="1:34" s="1" customFormat="1" ht="13" x14ac:dyDescent="0.25">
      <c r="A457" s="280" t="s">
        <v>999</v>
      </c>
      <c r="B457" s="286">
        <v>442</v>
      </c>
      <c r="C457" s="286">
        <v>727.875</v>
      </c>
      <c r="D457" s="286">
        <v>1013.7500000000001</v>
      </c>
      <c r="E457" s="286">
        <v>1</v>
      </c>
      <c r="F457" s="281">
        <v>2</v>
      </c>
      <c r="G457" s="282">
        <v>80.489678562500004</v>
      </c>
      <c r="H457" s="282">
        <v>84.22351588541666</v>
      </c>
      <c r="I457" s="282">
        <v>85.882612495833342</v>
      </c>
      <c r="J457" s="282">
        <v>88.268748223333347</v>
      </c>
      <c r="K457" s="282">
        <v>86.082064775277786</v>
      </c>
      <c r="L457" s="282">
        <v>85.780546171527774</v>
      </c>
      <c r="M457" s="282">
        <v>87.378056482777794</v>
      </c>
      <c r="N457" s="282">
        <v>88.903997531944441</v>
      </c>
      <c r="O457" s="282">
        <v>90.112987016666665</v>
      </c>
      <c r="P457" s="282">
        <v>89.393859213333329</v>
      </c>
      <c r="Q457" s="282">
        <v>88.33043947479166</v>
      </c>
      <c r="R457" s="283">
        <v>86.973161695833312</v>
      </c>
      <c r="S457" s="284">
        <v>961.32998896673621</v>
      </c>
      <c r="T457" s="284">
        <v>517.61554403416676</v>
      </c>
      <c r="U457" s="296">
        <f t="shared" si="14"/>
        <v>43.540988966735995</v>
      </c>
      <c r="V457" s="296">
        <f t="shared" si="15"/>
        <v>17.821544034166777</v>
      </c>
      <c r="W457" s="287">
        <v>87</v>
      </c>
      <c r="X457" s="280">
        <v>85</v>
      </c>
      <c r="Y457" s="280">
        <v>85</v>
      </c>
      <c r="Z457" s="280">
        <v>84</v>
      </c>
      <c r="AA457" s="280">
        <v>82</v>
      </c>
      <c r="AB457" s="280">
        <v>82</v>
      </c>
      <c r="AC457" s="280">
        <v>83</v>
      </c>
      <c r="AD457" s="280">
        <v>85</v>
      </c>
      <c r="AE457" s="280">
        <v>85</v>
      </c>
      <c r="AF457" s="280">
        <v>84</v>
      </c>
      <c r="AG457" s="280">
        <v>83</v>
      </c>
      <c r="AH457" s="280">
        <v>84</v>
      </c>
    </row>
    <row r="458" spans="1:34" s="1" customFormat="1" ht="13" x14ac:dyDescent="0.25">
      <c r="A458" s="280" t="s">
        <v>1000</v>
      </c>
      <c r="B458" s="286">
        <v>442</v>
      </c>
      <c r="C458" s="286">
        <v>727.875</v>
      </c>
      <c r="D458" s="286">
        <v>1013.7500000000001</v>
      </c>
      <c r="E458" s="286">
        <v>1</v>
      </c>
      <c r="F458" s="281">
        <v>3</v>
      </c>
      <c r="G458" s="282">
        <v>80.489678562500004</v>
      </c>
      <c r="H458" s="282">
        <v>84.22351588541666</v>
      </c>
      <c r="I458" s="282">
        <v>86.327612495833336</v>
      </c>
      <c r="J458" s="282">
        <v>89.158748223333333</v>
      </c>
      <c r="K458" s="282">
        <v>87.417064775277794</v>
      </c>
      <c r="L458" s="282">
        <v>87.627921171527774</v>
      </c>
      <c r="M458" s="282">
        <v>89.737806482777799</v>
      </c>
      <c r="N458" s="282">
        <v>91.776122531944438</v>
      </c>
      <c r="O458" s="282">
        <v>93.553143266666666</v>
      </c>
      <c r="P458" s="282">
        <v>93.402046713333334</v>
      </c>
      <c r="Q458" s="282">
        <v>92.90665822479167</v>
      </c>
      <c r="R458" s="283">
        <v>92.117411695833312</v>
      </c>
      <c r="S458" s="284">
        <v>988.24805146673623</v>
      </c>
      <c r="T458" s="284">
        <v>524.49266903416674</v>
      </c>
      <c r="U458" s="296">
        <f t="shared" si="14"/>
        <v>70.459051466736014</v>
      </c>
      <c r="V458" s="296">
        <f t="shared" si="15"/>
        <v>24.698669034166755</v>
      </c>
      <c r="W458" s="287">
        <v>87</v>
      </c>
      <c r="X458" s="280">
        <v>85</v>
      </c>
      <c r="Y458" s="280">
        <v>86</v>
      </c>
      <c r="Z458" s="280">
        <v>86</v>
      </c>
      <c r="AA458" s="280">
        <v>85</v>
      </c>
      <c r="AB458" s="280">
        <v>86</v>
      </c>
      <c r="AC458" s="280">
        <v>88</v>
      </c>
      <c r="AD458" s="280">
        <v>91</v>
      </c>
      <c r="AE458" s="280">
        <v>92</v>
      </c>
      <c r="AF458" s="280">
        <v>92</v>
      </c>
      <c r="AG458" s="280">
        <v>92</v>
      </c>
      <c r="AH458" s="280">
        <v>94</v>
      </c>
    </row>
    <row r="459" spans="1:34" s="1" customFormat="1" ht="13" x14ac:dyDescent="0.25">
      <c r="A459" s="280" t="s">
        <v>1001</v>
      </c>
      <c r="B459" s="286">
        <v>442</v>
      </c>
      <c r="C459" s="286">
        <v>727.875</v>
      </c>
      <c r="D459" s="286">
        <v>1013.7500000000001</v>
      </c>
      <c r="E459" s="286">
        <v>1</v>
      </c>
      <c r="F459" s="281">
        <v>4</v>
      </c>
      <c r="G459" s="282">
        <v>80.489678562500004</v>
      </c>
      <c r="H459" s="282">
        <v>84.22351588541666</v>
      </c>
      <c r="I459" s="282">
        <v>86.772612495833343</v>
      </c>
      <c r="J459" s="282">
        <v>90.048748223333334</v>
      </c>
      <c r="K459" s="282">
        <v>88.752064775277788</v>
      </c>
      <c r="L459" s="282">
        <v>89.475296171527773</v>
      </c>
      <c r="M459" s="282">
        <v>92.097556482777804</v>
      </c>
      <c r="N459" s="282">
        <v>94.648247531944449</v>
      </c>
      <c r="O459" s="282">
        <v>96.993299516666667</v>
      </c>
      <c r="P459" s="282">
        <v>97.410234213333339</v>
      </c>
      <c r="Q459" s="282">
        <v>97.482876974791665</v>
      </c>
      <c r="R459" s="283">
        <v>97.261661695833311</v>
      </c>
      <c r="S459" s="284">
        <v>1015.166113966736</v>
      </c>
      <c r="T459" s="284">
        <v>531.36979403416672</v>
      </c>
      <c r="U459" s="296">
        <f t="shared" si="14"/>
        <v>97.377113966735806</v>
      </c>
      <c r="V459" s="296">
        <f t="shared" si="15"/>
        <v>31.575794034166734</v>
      </c>
      <c r="W459" s="287">
        <v>87</v>
      </c>
      <c r="X459" s="280">
        <v>85</v>
      </c>
      <c r="Y459" s="280">
        <v>87</v>
      </c>
      <c r="Z459" s="280">
        <v>88</v>
      </c>
      <c r="AA459" s="280">
        <v>88</v>
      </c>
      <c r="AB459" s="280">
        <v>90</v>
      </c>
      <c r="AC459" s="280">
        <v>93</v>
      </c>
      <c r="AD459" s="280">
        <v>97</v>
      </c>
      <c r="AE459" s="280">
        <v>99</v>
      </c>
      <c r="AF459" s="280">
        <v>100</v>
      </c>
      <c r="AG459" s="280">
        <v>101</v>
      </c>
      <c r="AH459" s="280">
        <v>104</v>
      </c>
    </row>
    <row r="460" spans="1:34" s="1" customFormat="1" ht="13" x14ac:dyDescent="0.25">
      <c r="A460" s="280" t="s">
        <v>1002</v>
      </c>
      <c r="B460" s="286">
        <v>442</v>
      </c>
      <c r="C460" s="286">
        <v>727.875</v>
      </c>
      <c r="D460" s="286">
        <v>1013.7500000000001</v>
      </c>
      <c r="E460" s="286">
        <v>1</v>
      </c>
      <c r="F460" s="281">
        <v>5</v>
      </c>
      <c r="G460" s="282">
        <v>80.489678562500004</v>
      </c>
      <c r="H460" s="282">
        <v>84.22351588541666</v>
      </c>
      <c r="I460" s="282">
        <v>87.217612495833336</v>
      </c>
      <c r="J460" s="282">
        <v>90.938748223333334</v>
      </c>
      <c r="K460" s="282">
        <v>90.087064775277796</v>
      </c>
      <c r="L460" s="282">
        <v>91.322671171527773</v>
      </c>
      <c r="M460" s="282">
        <v>94.457306482777796</v>
      </c>
      <c r="N460" s="282">
        <v>97.520372531944446</v>
      </c>
      <c r="O460" s="282">
        <v>100.43345576666667</v>
      </c>
      <c r="P460" s="282">
        <v>101.41842171333333</v>
      </c>
      <c r="Q460" s="282">
        <v>102.05909572479166</v>
      </c>
      <c r="R460" s="283">
        <v>102.40591169583331</v>
      </c>
      <c r="S460" s="284">
        <v>1042.0841764667362</v>
      </c>
      <c r="T460" s="284">
        <v>538.24691903416669</v>
      </c>
      <c r="U460" s="296">
        <f t="shared" si="14"/>
        <v>124.29517646673594</v>
      </c>
      <c r="V460" s="296">
        <f t="shared" si="15"/>
        <v>38.452919034166712</v>
      </c>
      <c r="W460" s="287">
        <v>87</v>
      </c>
      <c r="X460" s="280">
        <v>85</v>
      </c>
      <c r="Y460" s="280">
        <v>88</v>
      </c>
      <c r="Z460" s="280">
        <v>90</v>
      </c>
      <c r="AA460" s="280">
        <v>91</v>
      </c>
      <c r="AB460" s="280">
        <v>94</v>
      </c>
      <c r="AC460" s="280">
        <v>98</v>
      </c>
      <c r="AD460" s="280">
        <v>103</v>
      </c>
      <c r="AE460" s="280">
        <v>106</v>
      </c>
      <c r="AF460" s="280">
        <v>108</v>
      </c>
      <c r="AG460" s="280">
        <v>110</v>
      </c>
      <c r="AH460" s="280">
        <v>114</v>
      </c>
    </row>
    <row r="461" spans="1:34" s="1" customFormat="1" ht="13" x14ac:dyDescent="0.25">
      <c r="A461" s="280" t="s">
        <v>1003</v>
      </c>
      <c r="B461" s="286">
        <v>442</v>
      </c>
      <c r="C461" s="286">
        <v>727.875</v>
      </c>
      <c r="D461" s="286">
        <v>1013.7500000000001</v>
      </c>
      <c r="E461" s="286">
        <v>2</v>
      </c>
      <c r="F461" s="281">
        <v>0</v>
      </c>
      <c r="G461" s="282">
        <v>80.489678562500004</v>
      </c>
      <c r="H461" s="282">
        <v>82.789852968749997</v>
      </c>
      <c r="I461" s="282">
        <v>83.76481474583332</v>
      </c>
      <c r="J461" s="282">
        <v>85.247105140000016</v>
      </c>
      <c r="K461" s="282">
        <v>82.481519608611109</v>
      </c>
      <c r="L461" s="282">
        <v>81.690796171527765</v>
      </c>
      <c r="M461" s="282">
        <v>82.217931482777772</v>
      </c>
      <c r="N461" s="282">
        <v>82.700580865277772</v>
      </c>
      <c r="O461" s="282">
        <v>82.592257849999982</v>
      </c>
      <c r="P461" s="282">
        <v>80.918317546666657</v>
      </c>
      <c r="Q461" s="282">
        <v>78.682585308124999</v>
      </c>
      <c r="R461" s="283">
        <v>76.092578362499992</v>
      </c>
      <c r="S461" s="284">
        <v>899.17834005006955</v>
      </c>
      <c r="T461" s="284">
        <v>498.19202011750002</v>
      </c>
      <c r="U461" s="296">
        <f t="shared" si="14"/>
        <v>-18.610659949930664</v>
      </c>
      <c r="V461" s="296">
        <f t="shared" si="15"/>
        <v>-1.6019798824999611</v>
      </c>
      <c r="W461" s="287">
        <v>87</v>
      </c>
      <c r="X461" s="280">
        <v>85</v>
      </c>
      <c r="Y461" s="280">
        <v>83</v>
      </c>
      <c r="Z461" s="280">
        <v>80</v>
      </c>
      <c r="AA461" s="280">
        <v>76</v>
      </c>
      <c r="AB461" s="280">
        <v>74</v>
      </c>
      <c r="AC461" s="280">
        <v>73</v>
      </c>
      <c r="AD461" s="280">
        <v>73</v>
      </c>
      <c r="AE461" s="280">
        <v>71</v>
      </c>
      <c r="AF461" s="280">
        <v>68</v>
      </c>
      <c r="AG461" s="280">
        <v>65</v>
      </c>
      <c r="AH461" s="280">
        <v>64</v>
      </c>
    </row>
    <row r="462" spans="1:34" s="1" customFormat="1" ht="13" x14ac:dyDescent="0.25">
      <c r="A462" s="280" t="s">
        <v>1004</v>
      </c>
      <c r="B462" s="286">
        <v>442</v>
      </c>
      <c r="C462" s="286">
        <v>727.875</v>
      </c>
      <c r="D462" s="286">
        <v>1013.7500000000001</v>
      </c>
      <c r="E462" s="286">
        <v>2</v>
      </c>
      <c r="F462" s="281">
        <v>1</v>
      </c>
      <c r="G462" s="282">
        <v>80.489678562500004</v>
      </c>
      <c r="H462" s="282">
        <v>82.789852968749997</v>
      </c>
      <c r="I462" s="282">
        <v>84.209814745833327</v>
      </c>
      <c r="J462" s="282">
        <v>86.137105140000017</v>
      </c>
      <c r="K462" s="282">
        <v>83.816519608611131</v>
      </c>
      <c r="L462" s="282">
        <v>83.538171171527765</v>
      </c>
      <c r="M462" s="282">
        <v>84.577681482777763</v>
      </c>
      <c r="N462" s="282">
        <v>85.572705865277769</v>
      </c>
      <c r="O462" s="282">
        <v>86.032414099999997</v>
      </c>
      <c r="P462" s="282">
        <v>84.926505046666676</v>
      </c>
      <c r="Q462" s="282">
        <v>83.258804058125008</v>
      </c>
      <c r="R462" s="283">
        <v>81.236828362499992</v>
      </c>
      <c r="S462" s="284">
        <v>926.09640255006946</v>
      </c>
      <c r="T462" s="284">
        <v>505.06914511750006</v>
      </c>
      <c r="U462" s="296">
        <f t="shared" si="14"/>
        <v>8.3074025500692414</v>
      </c>
      <c r="V462" s="296">
        <f t="shared" si="15"/>
        <v>5.2751451175000739</v>
      </c>
      <c r="W462" s="287">
        <v>87</v>
      </c>
      <c r="X462" s="280">
        <v>85</v>
      </c>
      <c r="Y462" s="280">
        <v>84</v>
      </c>
      <c r="Z462" s="280">
        <v>82</v>
      </c>
      <c r="AA462" s="280">
        <v>79</v>
      </c>
      <c r="AB462" s="280">
        <v>78</v>
      </c>
      <c r="AC462" s="280">
        <v>78</v>
      </c>
      <c r="AD462" s="280">
        <v>79</v>
      </c>
      <c r="AE462" s="280">
        <v>78</v>
      </c>
      <c r="AF462" s="280">
        <v>76</v>
      </c>
      <c r="AG462" s="280">
        <v>74</v>
      </c>
      <c r="AH462" s="280">
        <v>74</v>
      </c>
    </row>
    <row r="463" spans="1:34" s="1" customFormat="1" ht="13" x14ac:dyDescent="0.25">
      <c r="A463" s="280" t="s">
        <v>1005</v>
      </c>
      <c r="B463" s="286">
        <v>442</v>
      </c>
      <c r="C463" s="286">
        <v>727.875</v>
      </c>
      <c r="D463" s="286">
        <v>1013.7500000000001</v>
      </c>
      <c r="E463" s="286">
        <v>2</v>
      </c>
      <c r="F463" s="281">
        <v>2</v>
      </c>
      <c r="G463" s="282">
        <v>80.489678562500004</v>
      </c>
      <c r="H463" s="282">
        <v>82.789852968749997</v>
      </c>
      <c r="I463" s="282">
        <v>84.65481474583332</v>
      </c>
      <c r="J463" s="282">
        <v>87.027105140000018</v>
      </c>
      <c r="K463" s="282">
        <v>85.151519608611125</v>
      </c>
      <c r="L463" s="282">
        <v>85.385546171527764</v>
      </c>
      <c r="M463" s="282">
        <v>86.937431482777768</v>
      </c>
      <c r="N463" s="282">
        <v>88.444830865277765</v>
      </c>
      <c r="O463" s="282">
        <v>89.472570349999998</v>
      </c>
      <c r="P463" s="282">
        <v>88.934692546666653</v>
      </c>
      <c r="Q463" s="282">
        <v>87.835022808125004</v>
      </c>
      <c r="R463" s="283">
        <v>86.381078362500006</v>
      </c>
      <c r="S463" s="284">
        <v>953.01446505006936</v>
      </c>
      <c r="T463" s="284">
        <v>511.94627011749998</v>
      </c>
      <c r="U463" s="296">
        <f t="shared" si="14"/>
        <v>35.225465050069147</v>
      </c>
      <c r="V463" s="296">
        <f t="shared" si="15"/>
        <v>12.152270117499995</v>
      </c>
      <c r="W463" s="287">
        <v>87</v>
      </c>
      <c r="X463" s="280">
        <v>85</v>
      </c>
      <c r="Y463" s="280">
        <v>85</v>
      </c>
      <c r="Z463" s="280">
        <v>84</v>
      </c>
      <c r="AA463" s="280">
        <v>82</v>
      </c>
      <c r="AB463" s="280">
        <v>82</v>
      </c>
      <c r="AC463" s="280">
        <v>83</v>
      </c>
      <c r="AD463" s="280">
        <v>85</v>
      </c>
      <c r="AE463" s="280">
        <v>85</v>
      </c>
      <c r="AF463" s="280">
        <v>84</v>
      </c>
      <c r="AG463" s="280">
        <v>83</v>
      </c>
      <c r="AH463" s="280">
        <v>84</v>
      </c>
    </row>
    <row r="464" spans="1:34" s="1" customFormat="1" ht="13" x14ac:dyDescent="0.25">
      <c r="A464" s="280" t="s">
        <v>1006</v>
      </c>
      <c r="B464" s="286">
        <v>442</v>
      </c>
      <c r="C464" s="286">
        <v>727.875</v>
      </c>
      <c r="D464" s="286">
        <v>1013.7500000000001</v>
      </c>
      <c r="E464" s="286">
        <v>2</v>
      </c>
      <c r="F464" s="281">
        <v>3</v>
      </c>
      <c r="G464" s="282">
        <v>80.489678562500004</v>
      </c>
      <c r="H464" s="282">
        <v>82.789852968749997</v>
      </c>
      <c r="I464" s="282">
        <v>85.099814745833328</v>
      </c>
      <c r="J464" s="282">
        <v>87.917105140000018</v>
      </c>
      <c r="K464" s="282">
        <v>86.486519608611133</v>
      </c>
      <c r="L464" s="282">
        <v>87.232921171527764</v>
      </c>
      <c r="M464" s="282">
        <v>89.297181482777788</v>
      </c>
      <c r="N464" s="282">
        <v>91.316955865277777</v>
      </c>
      <c r="O464" s="282">
        <v>92.912726599999999</v>
      </c>
      <c r="P464" s="282">
        <v>92.942880046666673</v>
      </c>
      <c r="Q464" s="282">
        <v>92.411241558125013</v>
      </c>
      <c r="R464" s="283">
        <v>91.525328362500005</v>
      </c>
      <c r="S464" s="284">
        <v>979.93252755006949</v>
      </c>
      <c r="T464" s="284">
        <v>518.82339511750001</v>
      </c>
      <c r="U464" s="296">
        <f t="shared" si="14"/>
        <v>62.14352755006928</v>
      </c>
      <c r="V464" s="296">
        <f t="shared" si="15"/>
        <v>19.02939511750003</v>
      </c>
      <c r="W464" s="287">
        <v>87</v>
      </c>
      <c r="X464" s="280">
        <v>85</v>
      </c>
      <c r="Y464" s="280">
        <v>86</v>
      </c>
      <c r="Z464" s="280">
        <v>86</v>
      </c>
      <c r="AA464" s="280">
        <v>85</v>
      </c>
      <c r="AB464" s="280">
        <v>86</v>
      </c>
      <c r="AC464" s="280">
        <v>88</v>
      </c>
      <c r="AD464" s="280">
        <v>91</v>
      </c>
      <c r="AE464" s="280">
        <v>92</v>
      </c>
      <c r="AF464" s="280">
        <v>92</v>
      </c>
      <c r="AG464" s="280">
        <v>92</v>
      </c>
      <c r="AH464" s="280">
        <v>94</v>
      </c>
    </row>
    <row r="465" spans="1:34" s="1" customFormat="1" ht="13" x14ac:dyDescent="0.25">
      <c r="A465" s="280" t="s">
        <v>1007</v>
      </c>
      <c r="B465" s="286">
        <v>442</v>
      </c>
      <c r="C465" s="286">
        <v>727.875</v>
      </c>
      <c r="D465" s="286">
        <v>1013.7500000000001</v>
      </c>
      <c r="E465" s="286">
        <v>2</v>
      </c>
      <c r="F465" s="281">
        <v>4</v>
      </c>
      <c r="G465" s="282">
        <v>80.489678562500004</v>
      </c>
      <c r="H465" s="282">
        <v>82.789852968749997</v>
      </c>
      <c r="I465" s="282">
        <v>85.544814745833321</v>
      </c>
      <c r="J465" s="282">
        <v>88.807105140000019</v>
      </c>
      <c r="K465" s="282">
        <v>87.821519608611126</v>
      </c>
      <c r="L465" s="282">
        <v>89.080296171527763</v>
      </c>
      <c r="M465" s="282">
        <v>91.656931482777779</v>
      </c>
      <c r="N465" s="282">
        <v>94.189080865277774</v>
      </c>
      <c r="O465" s="282">
        <v>96.35288285</v>
      </c>
      <c r="P465" s="282">
        <v>96.951067546666678</v>
      </c>
      <c r="Q465" s="282">
        <v>96.987460308125009</v>
      </c>
      <c r="R465" s="283">
        <v>96.669578362500005</v>
      </c>
      <c r="S465" s="284">
        <v>1006.8505900500695</v>
      </c>
      <c r="T465" s="284">
        <v>525.70052011749999</v>
      </c>
      <c r="U465" s="296">
        <f t="shared" si="14"/>
        <v>89.061590050069299</v>
      </c>
      <c r="V465" s="296">
        <f t="shared" si="15"/>
        <v>25.906520117500008</v>
      </c>
      <c r="W465" s="287">
        <v>87</v>
      </c>
      <c r="X465" s="280">
        <v>85</v>
      </c>
      <c r="Y465" s="280">
        <v>87</v>
      </c>
      <c r="Z465" s="280">
        <v>88</v>
      </c>
      <c r="AA465" s="280">
        <v>88</v>
      </c>
      <c r="AB465" s="280">
        <v>90</v>
      </c>
      <c r="AC465" s="280">
        <v>93</v>
      </c>
      <c r="AD465" s="280">
        <v>97</v>
      </c>
      <c r="AE465" s="280">
        <v>99</v>
      </c>
      <c r="AF465" s="280">
        <v>100</v>
      </c>
      <c r="AG465" s="280">
        <v>101</v>
      </c>
      <c r="AH465" s="280">
        <v>104</v>
      </c>
    </row>
    <row r="466" spans="1:34" s="1" customFormat="1" ht="13" x14ac:dyDescent="0.25">
      <c r="A466" s="280" t="s">
        <v>1008</v>
      </c>
      <c r="B466" s="286">
        <v>442</v>
      </c>
      <c r="C466" s="286">
        <v>727.875</v>
      </c>
      <c r="D466" s="286">
        <v>1013.7500000000001</v>
      </c>
      <c r="E466" s="286">
        <v>2</v>
      </c>
      <c r="F466" s="281">
        <v>5</v>
      </c>
      <c r="G466" s="282">
        <v>80.489678562500004</v>
      </c>
      <c r="H466" s="282">
        <v>82.789852968749997</v>
      </c>
      <c r="I466" s="282">
        <v>85.989814745833328</v>
      </c>
      <c r="J466" s="282">
        <v>89.697105140000005</v>
      </c>
      <c r="K466" s="282">
        <v>89.15651960861112</v>
      </c>
      <c r="L466" s="282">
        <v>90.927671171527763</v>
      </c>
      <c r="M466" s="282">
        <v>94.016681482777784</v>
      </c>
      <c r="N466" s="282">
        <v>97.06120586527777</v>
      </c>
      <c r="O466" s="282">
        <v>99.793039100000001</v>
      </c>
      <c r="P466" s="282">
        <v>100.95925504666667</v>
      </c>
      <c r="Q466" s="282">
        <v>101.563679058125</v>
      </c>
      <c r="R466" s="283">
        <v>101.8138283625</v>
      </c>
      <c r="S466" s="284">
        <v>1033.7686525500694</v>
      </c>
      <c r="T466" s="284">
        <v>532.57764511749997</v>
      </c>
      <c r="U466" s="296">
        <f t="shared" si="14"/>
        <v>115.9796525500692</v>
      </c>
      <c r="V466" s="296">
        <f t="shared" si="15"/>
        <v>32.783645117499987</v>
      </c>
      <c r="W466" s="287">
        <v>87</v>
      </c>
      <c r="X466" s="280">
        <v>85</v>
      </c>
      <c r="Y466" s="280">
        <v>88</v>
      </c>
      <c r="Z466" s="280">
        <v>90</v>
      </c>
      <c r="AA466" s="280">
        <v>91</v>
      </c>
      <c r="AB466" s="280">
        <v>94</v>
      </c>
      <c r="AC466" s="280">
        <v>98</v>
      </c>
      <c r="AD466" s="280">
        <v>103</v>
      </c>
      <c r="AE466" s="280">
        <v>106</v>
      </c>
      <c r="AF466" s="280">
        <v>108</v>
      </c>
      <c r="AG466" s="280">
        <v>110</v>
      </c>
      <c r="AH466" s="280">
        <v>114</v>
      </c>
    </row>
    <row r="467" spans="1:34" s="1" customFormat="1" ht="13" x14ac:dyDescent="0.25">
      <c r="A467" s="280" t="s">
        <v>1009</v>
      </c>
      <c r="B467" s="286">
        <v>442</v>
      </c>
      <c r="C467" s="286">
        <v>727.875</v>
      </c>
      <c r="D467" s="286">
        <v>1013.7500000000001</v>
      </c>
      <c r="E467" s="286">
        <v>3</v>
      </c>
      <c r="F467" s="281">
        <v>0</v>
      </c>
      <c r="G467" s="282">
        <v>80.489678562500004</v>
      </c>
      <c r="H467" s="282">
        <v>82.198462254861099</v>
      </c>
      <c r="I467" s="282">
        <v>82.831979051388871</v>
      </c>
      <c r="J467" s="282">
        <v>84.489121251111115</v>
      </c>
      <c r="K467" s="282">
        <v>81.704158497500003</v>
      </c>
      <c r="L467" s="282">
        <v>81.143018393749983</v>
      </c>
      <c r="M467" s="282">
        <v>81.772862038333329</v>
      </c>
      <c r="N467" s="282">
        <v>82.273636420833299</v>
      </c>
      <c r="O467" s="282">
        <v>82.072674516666652</v>
      </c>
      <c r="P467" s="282">
        <v>80.338317546666659</v>
      </c>
      <c r="Q467" s="282">
        <v>78.211335308124987</v>
      </c>
      <c r="R467" s="283">
        <v>75.564939473611091</v>
      </c>
      <c r="S467" s="284">
        <v>892.60050475284709</v>
      </c>
      <c r="T467" s="284">
        <v>494.13960148694446</v>
      </c>
      <c r="U467" s="296">
        <f t="shared" si="14"/>
        <v>-25.188495247153128</v>
      </c>
      <c r="V467" s="296">
        <f t="shared" si="15"/>
        <v>-5.6543985130555257</v>
      </c>
      <c r="W467" s="287">
        <v>87</v>
      </c>
      <c r="X467" s="280">
        <v>85</v>
      </c>
      <c r="Y467" s="280">
        <v>83</v>
      </c>
      <c r="Z467" s="280">
        <v>80</v>
      </c>
      <c r="AA467" s="280">
        <v>76</v>
      </c>
      <c r="AB467" s="280">
        <v>74</v>
      </c>
      <c r="AC467" s="280">
        <v>73</v>
      </c>
      <c r="AD467" s="280">
        <v>73</v>
      </c>
      <c r="AE467" s="280">
        <v>71</v>
      </c>
      <c r="AF467" s="280">
        <v>68</v>
      </c>
      <c r="AG467" s="280">
        <v>65</v>
      </c>
      <c r="AH467" s="280">
        <v>64</v>
      </c>
    </row>
    <row r="468" spans="1:34" s="1" customFormat="1" ht="13" x14ac:dyDescent="0.25">
      <c r="A468" s="280" t="s">
        <v>1010</v>
      </c>
      <c r="B468" s="286">
        <v>442</v>
      </c>
      <c r="C468" s="286">
        <v>727.875</v>
      </c>
      <c r="D468" s="286">
        <v>1013.7500000000001</v>
      </c>
      <c r="E468" s="286">
        <v>3</v>
      </c>
      <c r="F468" s="281">
        <v>1</v>
      </c>
      <c r="G468" s="282">
        <v>80.489678562500004</v>
      </c>
      <c r="H468" s="282">
        <v>82.198462254861099</v>
      </c>
      <c r="I468" s="282">
        <v>83.276979051388864</v>
      </c>
      <c r="J468" s="282">
        <v>85.379121251111101</v>
      </c>
      <c r="K468" s="282">
        <v>83.039158497499997</v>
      </c>
      <c r="L468" s="282">
        <v>82.990393393749983</v>
      </c>
      <c r="M468" s="282">
        <v>84.132612038333349</v>
      </c>
      <c r="N468" s="282">
        <v>85.145761420833324</v>
      </c>
      <c r="O468" s="282">
        <v>85.512830766666667</v>
      </c>
      <c r="P468" s="282">
        <v>84.346505046666678</v>
      </c>
      <c r="Q468" s="282">
        <v>82.787554058125011</v>
      </c>
      <c r="R468" s="283">
        <v>80.70918947361109</v>
      </c>
      <c r="S468" s="284">
        <v>919.51856725284722</v>
      </c>
      <c r="T468" s="284">
        <v>501.01672648694444</v>
      </c>
      <c r="U468" s="296">
        <f t="shared" si="14"/>
        <v>1.729567252847005</v>
      </c>
      <c r="V468" s="296">
        <f t="shared" si="15"/>
        <v>1.2227264869444525</v>
      </c>
      <c r="W468" s="287">
        <v>87</v>
      </c>
      <c r="X468" s="280">
        <v>85</v>
      </c>
      <c r="Y468" s="280">
        <v>84</v>
      </c>
      <c r="Z468" s="280">
        <v>82</v>
      </c>
      <c r="AA468" s="280">
        <v>79</v>
      </c>
      <c r="AB468" s="280">
        <v>78</v>
      </c>
      <c r="AC468" s="280">
        <v>78</v>
      </c>
      <c r="AD468" s="280">
        <v>79</v>
      </c>
      <c r="AE468" s="280">
        <v>78</v>
      </c>
      <c r="AF468" s="280">
        <v>76</v>
      </c>
      <c r="AG468" s="280">
        <v>74</v>
      </c>
      <c r="AH468" s="280">
        <v>74</v>
      </c>
    </row>
    <row r="469" spans="1:34" s="1" customFormat="1" ht="13" x14ac:dyDescent="0.25">
      <c r="A469" s="280" t="s">
        <v>1011</v>
      </c>
      <c r="B469" s="286">
        <v>442</v>
      </c>
      <c r="C469" s="286">
        <v>727.875</v>
      </c>
      <c r="D469" s="286">
        <v>1013.7500000000001</v>
      </c>
      <c r="E469" s="286">
        <v>3</v>
      </c>
      <c r="F469" s="281">
        <v>2</v>
      </c>
      <c r="G469" s="282">
        <v>80.489678562500004</v>
      </c>
      <c r="H469" s="282">
        <v>82.198462254861099</v>
      </c>
      <c r="I469" s="282">
        <v>83.721979051388871</v>
      </c>
      <c r="J469" s="282">
        <v>86.269121251111102</v>
      </c>
      <c r="K469" s="282">
        <v>84.374158497500019</v>
      </c>
      <c r="L469" s="282">
        <v>84.837768393749982</v>
      </c>
      <c r="M469" s="282">
        <v>86.49236203833334</v>
      </c>
      <c r="N469" s="282">
        <v>88.017886420833335</v>
      </c>
      <c r="O469" s="282">
        <v>88.952987016666668</v>
      </c>
      <c r="P469" s="282">
        <v>88.354692546666641</v>
      </c>
      <c r="Q469" s="282">
        <v>87.363772808125006</v>
      </c>
      <c r="R469" s="283">
        <v>85.853439473611118</v>
      </c>
      <c r="S469" s="284">
        <v>946.43662975284713</v>
      </c>
      <c r="T469" s="284">
        <v>507.89385148694441</v>
      </c>
      <c r="U469" s="296">
        <f t="shared" si="14"/>
        <v>28.64762975284691</v>
      </c>
      <c r="V469" s="296">
        <f t="shared" si="15"/>
        <v>8.0998514869444307</v>
      </c>
      <c r="W469" s="287">
        <v>87</v>
      </c>
      <c r="X469" s="280">
        <v>85</v>
      </c>
      <c r="Y469" s="280">
        <v>85</v>
      </c>
      <c r="Z469" s="280">
        <v>84</v>
      </c>
      <c r="AA469" s="280">
        <v>82</v>
      </c>
      <c r="AB469" s="280">
        <v>82</v>
      </c>
      <c r="AC469" s="280">
        <v>83</v>
      </c>
      <c r="AD469" s="280">
        <v>85</v>
      </c>
      <c r="AE469" s="280">
        <v>85</v>
      </c>
      <c r="AF469" s="280">
        <v>84</v>
      </c>
      <c r="AG469" s="280">
        <v>83</v>
      </c>
      <c r="AH469" s="280">
        <v>84</v>
      </c>
    </row>
    <row r="470" spans="1:34" s="1" customFormat="1" ht="13" x14ac:dyDescent="0.25">
      <c r="A470" s="280" t="s">
        <v>1012</v>
      </c>
      <c r="B470" s="286">
        <v>442</v>
      </c>
      <c r="C470" s="286">
        <v>727.875</v>
      </c>
      <c r="D470" s="286">
        <v>1013.7500000000001</v>
      </c>
      <c r="E470" s="286">
        <v>3</v>
      </c>
      <c r="F470" s="281">
        <v>3</v>
      </c>
      <c r="G470" s="282">
        <v>80.489678562500004</v>
      </c>
      <c r="H470" s="282">
        <v>82.198462254861099</v>
      </c>
      <c r="I470" s="282">
        <v>84.166979051388864</v>
      </c>
      <c r="J470" s="282">
        <v>87.159121251111102</v>
      </c>
      <c r="K470" s="282">
        <v>85.709158497500013</v>
      </c>
      <c r="L470" s="282">
        <v>86.685143393749982</v>
      </c>
      <c r="M470" s="282">
        <v>88.852112038333345</v>
      </c>
      <c r="N470" s="282">
        <v>90.890011420833332</v>
      </c>
      <c r="O470" s="282">
        <v>92.393143266666669</v>
      </c>
      <c r="P470" s="282">
        <v>92.362880046666675</v>
      </c>
      <c r="Q470" s="282">
        <v>91.939991558125001</v>
      </c>
      <c r="R470" s="283">
        <v>90.997689473611118</v>
      </c>
      <c r="S470" s="284">
        <v>973.35469225284726</v>
      </c>
      <c r="T470" s="284">
        <v>514.77097648694439</v>
      </c>
      <c r="U470" s="296">
        <f t="shared" si="14"/>
        <v>55.565692252847043</v>
      </c>
      <c r="V470" s="296">
        <f t="shared" si="15"/>
        <v>14.976976486944409</v>
      </c>
      <c r="W470" s="287">
        <v>87</v>
      </c>
      <c r="X470" s="280">
        <v>85</v>
      </c>
      <c r="Y470" s="280">
        <v>86</v>
      </c>
      <c r="Z470" s="280">
        <v>86</v>
      </c>
      <c r="AA470" s="280">
        <v>85</v>
      </c>
      <c r="AB470" s="280">
        <v>86</v>
      </c>
      <c r="AC470" s="280">
        <v>88</v>
      </c>
      <c r="AD470" s="280">
        <v>91</v>
      </c>
      <c r="AE470" s="280">
        <v>92</v>
      </c>
      <c r="AF470" s="280">
        <v>92</v>
      </c>
      <c r="AG470" s="280">
        <v>92</v>
      </c>
      <c r="AH470" s="280">
        <v>94</v>
      </c>
    </row>
    <row r="471" spans="1:34" s="1" customFormat="1" ht="13" x14ac:dyDescent="0.25">
      <c r="A471" s="280" t="s">
        <v>1013</v>
      </c>
      <c r="B471" s="286">
        <v>442</v>
      </c>
      <c r="C471" s="286">
        <v>727.875</v>
      </c>
      <c r="D471" s="286">
        <v>1013.7500000000001</v>
      </c>
      <c r="E471" s="286">
        <v>3</v>
      </c>
      <c r="F471" s="281">
        <v>4</v>
      </c>
      <c r="G471" s="282">
        <v>80.489678562500004</v>
      </c>
      <c r="H471" s="282">
        <v>82.198462254861099</v>
      </c>
      <c r="I471" s="282">
        <v>84.611979051388872</v>
      </c>
      <c r="J471" s="282">
        <v>88.049121251111103</v>
      </c>
      <c r="K471" s="282">
        <v>87.044158497500021</v>
      </c>
      <c r="L471" s="282">
        <v>88.532518393749996</v>
      </c>
      <c r="M471" s="282">
        <v>91.211862038333351</v>
      </c>
      <c r="N471" s="282">
        <v>93.762136420833329</v>
      </c>
      <c r="O471" s="282">
        <v>95.833299516666671</v>
      </c>
      <c r="P471" s="282">
        <v>96.37106754666668</v>
      </c>
      <c r="Q471" s="282">
        <v>96.516210308125011</v>
      </c>
      <c r="R471" s="283">
        <v>96.141939473611117</v>
      </c>
      <c r="S471" s="284">
        <v>1000.2727547528474</v>
      </c>
      <c r="T471" s="284">
        <v>521.64810148694448</v>
      </c>
      <c r="U471" s="296">
        <f t="shared" si="14"/>
        <v>82.483754752847176</v>
      </c>
      <c r="V471" s="296">
        <f t="shared" si="15"/>
        <v>21.854101486944501</v>
      </c>
      <c r="W471" s="287">
        <v>87</v>
      </c>
      <c r="X471" s="280">
        <v>85</v>
      </c>
      <c r="Y471" s="280">
        <v>87</v>
      </c>
      <c r="Z471" s="280">
        <v>88</v>
      </c>
      <c r="AA471" s="280">
        <v>88</v>
      </c>
      <c r="AB471" s="280">
        <v>90</v>
      </c>
      <c r="AC471" s="280">
        <v>93</v>
      </c>
      <c r="AD471" s="280">
        <v>97</v>
      </c>
      <c r="AE471" s="280">
        <v>99</v>
      </c>
      <c r="AF471" s="280">
        <v>100</v>
      </c>
      <c r="AG471" s="280">
        <v>101</v>
      </c>
      <c r="AH471" s="280">
        <v>104</v>
      </c>
    </row>
    <row r="472" spans="1:34" s="1" customFormat="1" ht="13" x14ac:dyDescent="0.25">
      <c r="A472" s="280" t="s">
        <v>1014</v>
      </c>
      <c r="B472" s="286">
        <v>442</v>
      </c>
      <c r="C472" s="286">
        <v>727.875</v>
      </c>
      <c r="D472" s="286">
        <v>1013.7500000000001</v>
      </c>
      <c r="E472" s="286">
        <v>3</v>
      </c>
      <c r="F472" s="281">
        <v>5</v>
      </c>
      <c r="G472" s="282">
        <v>80.489678562500004</v>
      </c>
      <c r="H472" s="282">
        <v>82.198462254861099</v>
      </c>
      <c r="I472" s="282">
        <v>85.056979051388865</v>
      </c>
      <c r="J472" s="282">
        <v>88.939121251111104</v>
      </c>
      <c r="K472" s="282">
        <v>88.379158497500015</v>
      </c>
      <c r="L472" s="282">
        <v>90.379893393749995</v>
      </c>
      <c r="M472" s="282">
        <v>93.571612038333342</v>
      </c>
      <c r="N472" s="282">
        <v>96.634261420833326</v>
      </c>
      <c r="O472" s="282">
        <v>99.273455766666672</v>
      </c>
      <c r="P472" s="282">
        <v>100.37925504666667</v>
      </c>
      <c r="Q472" s="282">
        <v>101.09242905812501</v>
      </c>
      <c r="R472" s="283">
        <v>101.28618947361112</v>
      </c>
      <c r="S472" s="284">
        <v>1027.1908172528472</v>
      </c>
      <c r="T472" s="284">
        <v>528.52522648694435</v>
      </c>
      <c r="U472" s="296">
        <f t="shared" si="14"/>
        <v>109.40181725284697</v>
      </c>
      <c r="V472" s="296">
        <f t="shared" si="15"/>
        <v>28.731226486944365</v>
      </c>
      <c r="W472" s="287">
        <v>87</v>
      </c>
      <c r="X472" s="280">
        <v>85</v>
      </c>
      <c r="Y472" s="280">
        <v>88</v>
      </c>
      <c r="Z472" s="280">
        <v>90</v>
      </c>
      <c r="AA472" s="280">
        <v>91</v>
      </c>
      <c r="AB472" s="280">
        <v>94</v>
      </c>
      <c r="AC472" s="280">
        <v>98</v>
      </c>
      <c r="AD472" s="280">
        <v>103</v>
      </c>
      <c r="AE472" s="280">
        <v>106</v>
      </c>
      <c r="AF472" s="280">
        <v>108</v>
      </c>
      <c r="AG472" s="280">
        <v>110</v>
      </c>
      <c r="AH472" s="280">
        <v>114</v>
      </c>
    </row>
    <row r="473" spans="1:34" s="1" customFormat="1" ht="13" x14ac:dyDescent="0.25">
      <c r="A473" s="280" t="s">
        <v>1015</v>
      </c>
      <c r="B473" s="286">
        <v>442</v>
      </c>
      <c r="C473" s="286">
        <v>727.875</v>
      </c>
      <c r="D473" s="286">
        <v>1013.7500000000001</v>
      </c>
      <c r="E473" s="286">
        <v>4</v>
      </c>
      <c r="F473" s="281">
        <v>0</v>
      </c>
      <c r="G473" s="282">
        <v>80.489678562500004</v>
      </c>
      <c r="H473" s="282">
        <v>81.880267810416655</v>
      </c>
      <c r="I473" s="282">
        <v>82.281203329166672</v>
      </c>
      <c r="J473" s="282">
        <v>83.755082806666664</v>
      </c>
      <c r="K473" s="282">
        <v>81.001364858611112</v>
      </c>
      <c r="L473" s="282">
        <v>80.532751004861097</v>
      </c>
      <c r="M473" s="282">
        <v>81.284493982777775</v>
      </c>
      <c r="N473" s="282">
        <v>81.878914198611099</v>
      </c>
      <c r="O473" s="282">
        <v>81.607466183333315</v>
      </c>
      <c r="P473" s="282">
        <v>79.818734213333329</v>
      </c>
      <c r="Q473" s="282">
        <v>77.655501974791648</v>
      </c>
      <c r="R473" s="283">
        <v>75.071536695833316</v>
      </c>
      <c r="S473" s="284">
        <v>886.76731705840268</v>
      </c>
      <c r="T473" s="284">
        <v>490.73516379249997</v>
      </c>
      <c r="U473" s="296">
        <f t="shared" si="14"/>
        <v>-31.021682941597533</v>
      </c>
      <c r="V473" s="296">
        <f t="shared" si="15"/>
        <v>-9.0588362075000077</v>
      </c>
      <c r="W473" s="287">
        <v>87</v>
      </c>
      <c r="X473" s="280">
        <v>85</v>
      </c>
      <c r="Y473" s="280">
        <v>83</v>
      </c>
      <c r="Z473" s="280">
        <v>80</v>
      </c>
      <c r="AA473" s="280">
        <v>76</v>
      </c>
      <c r="AB473" s="280">
        <v>74</v>
      </c>
      <c r="AC473" s="280">
        <v>73</v>
      </c>
      <c r="AD473" s="280">
        <v>73</v>
      </c>
      <c r="AE473" s="280">
        <v>71</v>
      </c>
      <c r="AF473" s="280">
        <v>68</v>
      </c>
      <c r="AG473" s="280">
        <v>65</v>
      </c>
      <c r="AH473" s="280">
        <v>64</v>
      </c>
    </row>
    <row r="474" spans="1:34" s="1" customFormat="1" ht="13" x14ac:dyDescent="0.25">
      <c r="A474" s="280" t="s">
        <v>1016</v>
      </c>
      <c r="B474" s="286">
        <v>442</v>
      </c>
      <c r="C474" s="286">
        <v>727.875</v>
      </c>
      <c r="D474" s="286">
        <v>1013.7500000000001</v>
      </c>
      <c r="E474" s="286">
        <v>4</v>
      </c>
      <c r="F474" s="281">
        <v>1</v>
      </c>
      <c r="G474" s="282">
        <v>80.489678562500004</v>
      </c>
      <c r="H474" s="282">
        <v>81.880267810416655</v>
      </c>
      <c r="I474" s="282">
        <v>82.726203329166665</v>
      </c>
      <c r="J474" s="282">
        <v>84.645082806666679</v>
      </c>
      <c r="K474" s="282">
        <v>82.336364858611105</v>
      </c>
      <c r="L474" s="282">
        <v>82.380126004861111</v>
      </c>
      <c r="M474" s="282">
        <v>83.644243982777766</v>
      </c>
      <c r="N474" s="282">
        <v>84.75103919861111</v>
      </c>
      <c r="O474" s="282">
        <v>85.047622433333331</v>
      </c>
      <c r="P474" s="282">
        <v>83.826921713333334</v>
      </c>
      <c r="Q474" s="282">
        <v>82.231720724791657</v>
      </c>
      <c r="R474" s="283">
        <v>80.215786695833316</v>
      </c>
      <c r="S474" s="284">
        <v>913.68537955840281</v>
      </c>
      <c r="T474" s="284">
        <v>497.61228879249995</v>
      </c>
      <c r="U474" s="296">
        <f t="shared" si="14"/>
        <v>-4.1036204415973998</v>
      </c>
      <c r="V474" s="296">
        <f t="shared" si="15"/>
        <v>-2.1817112075000296</v>
      </c>
      <c r="W474" s="287">
        <v>87</v>
      </c>
      <c r="X474" s="280">
        <v>85</v>
      </c>
      <c r="Y474" s="280">
        <v>84</v>
      </c>
      <c r="Z474" s="280">
        <v>82</v>
      </c>
      <c r="AA474" s="280">
        <v>79</v>
      </c>
      <c r="AB474" s="280">
        <v>78</v>
      </c>
      <c r="AC474" s="280">
        <v>78</v>
      </c>
      <c r="AD474" s="280">
        <v>79</v>
      </c>
      <c r="AE474" s="280">
        <v>78</v>
      </c>
      <c r="AF474" s="280">
        <v>76</v>
      </c>
      <c r="AG474" s="280">
        <v>74</v>
      </c>
      <c r="AH474" s="280">
        <v>74</v>
      </c>
    </row>
    <row r="475" spans="1:34" s="1" customFormat="1" ht="13" x14ac:dyDescent="0.25">
      <c r="A475" s="280" t="s">
        <v>1017</v>
      </c>
      <c r="B475" s="286">
        <v>442</v>
      </c>
      <c r="C475" s="286">
        <v>727.875</v>
      </c>
      <c r="D475" s="286">
        <v>1013.7500000000001</v>
      </c>
      <c r="E475" s="286">
        <v>4</v>
      </c>
      <c r="F475" s="281">
        <v>2</v>
      </c>
      <c r="G475" s="282">
        <v>80.489678562500004</v>
      </c>
      <c r="H475" s="282">
        <v>81.880267810416655</v>
      </c>
      <c r="I475" s="282">
        <v>83.171203329166673</v>
      </c>
      <c r="J475" s="282">
        <v>85.535082806666679</v>
      </c>
      <c r="K475" s="282">
        <v>83.671364858611128</v>
      </c>
      <c r="L475" s="282">
        <v>84.227501004861111</v>
      </c>
      <c r="M475" s="282">
        <v>86.003993982777772</v>
      </c>
      <c r="N475" s="282">
        <v>87.623164198611107</v>
      </c>
      <c r="O475" s="282">
        <v>88.487778683333332</v>
      </c>
      <c r="P475" s="282">
        <v>87.83510921333334</v>
      </c>
      <c r="Q475" s="282">
        <v>86.807939474791667</v>
      </c>
      <c r="R475" s="283">
        <v>85.360036695833315</v>
      </c>
      <c r="S475" s="284">
        <v>940.60344205840261</v>
      </c>
      <c r="T475" s="284">
        <v>504.48941379249999</v>
      </c>
      <c r="U475" s="296">
        <f t="shared" si="14"/>
        <v>22.814442058402392</v>
      </c>
      <c r="V475" s="296">
        <f t="shared" si="15"/>
        <v>4.6954137925000055</v>
      </c>
      <c r="W475" s="287">
        <v>87</v>
      </c>
      <c r="X475" s="280">
        <v>85</v>
      </c>
      <c r="Y475" s="280">
        <v>85</v>
      </c>
      <c r="Z475" s="280">
        <v>84</v>
      </c>
      <c r="AA475" s="280">
        <v>82</v>
      </c>
      <c r="AB475" s="280">
        <v>82</v>
      </c>
      <c r="AC475" s="280">
        <v>83</v>
      </c>
      <c r="AD475" s="280">
        <v>85</v>
      </c>
      <c r="AE475" s="280">
        <v>85</v>
      </c>
      <c r="AF475" s="280">
        <v>84</v>
      </c>
      <c r="AG475" s="280">
        <v>83</v>
      </c>
      <c r="AH475" s="280">
        <v>84</v>
      </c>
    </row>
    <row r="476" spans="1:34" s="1" customFormat="1" ht="13" x14ac:dyDescent="0.25">
      <c r="A476" s="280" t="s">
        <v>1018</v>
      </c>
      <c r="B476" s="286">
        <v>442</v>
      </c>
      <c r="C476" s="286">
        <v>727.875</v>
      </c>
      <c r="D476" s="286">
        <v>1013.7500000000001</v>
      </c>
      <c r="E476" s="286">
        <v>4</v>
      </c>
      <c r="F476" s="281">
        <v>3</v>
      </c>
      <c r="G476" s="282">
        <v>80.489678562500004</v>
      </c>
      <c r="H476" s="282">
        <v>81.880267810416655</v>
      </c>
      <c r="I476" s="282">
        <v>83.616203329166666</v>
      </c>
      <c r="J476" s="282">
        <v>86.425082806666666</v>
      </c>
      <c r="K476" s="282">
        <v>85.006364858611121</v>
      </c>
      <c r="L476" s="282">
        <v>86.07487600486111</v>
      </c>
      <c r="M476" s="282">
        <v>88.363743982777777</v>
      </c>
      <c r="N476" s="282">
        <v>90.495289198611118</v>
      </c>
      <c r="O476" s="282">
        <v>91.927934933333333</v>
      </c>
      <c r="P476" s="282">
        <v>91.843296713333331</v>
      </c>
      <c r="Q476" s="282">
        <v>91.384158224791662</v>
      </c>
      <c r="R476" s="283">
        <v>90.504286695833315</v>
      </c>
      <c r="S476" s="284">
        <v>967.52150455840274</v>
      </c>
      <c r="T476" s="284">
        <v>511.36653879250002</v>
      </c>
      <c r="U476" s="296">
        <f t="shared" si="14"/>
        <v>49.732504558402525</v>
      </c>
      <c r="V476" s="296">
        <f t="shared" si="15"/>
        <v>11.57253879250004</v>
      </c>
      <c r="W476" s="287">
        <v>87</v>
      </c>
      <c r="X476" s="280">
        <v>85</v>
      </c>
      <c r="Y476" s="280">
        <v>86</v>
      </c>
      <c r="Z476" s="280">
        <v>86</v>
      </c>
      <c r="AA476" s="280">
        <v>85</v>
      </c>
      <c r="AB476" s="280">
        <v>86</v>
      </c>
      <c r="AC476" s="280">
        <v>88</v>
      </c>
      <c r="AD476" s="280">
        <v>91</v>
      </c>
      <c r="AE476" s="280">
        <v>92</v>
      </c>
      <c r="AF476" s="280">
        <v>92</v>
      </c>
      <c r="AG476" s="280">
        <v>92</v>
      </c>
      <c r="AH476" s="280">
        <v>94</v>
      </c>
    </row>
    <row r="477" spans="1:34" s="1" customFormat="1" ht="13" x14ac:dyDescent="0.25">
      <c r="A477" s="280" t="s">
        <v>1019</v>
      </c>
      <c r="B477" s="286">
        <v>442</v>
      </c>
      <c r="C477" s="286">
        <v>727.875</v>
      </c>
      <c r="D477" s="286">
        <v>1013.7500000000001</v>
      </c>
      <c r="E477" s="286">
        <v>4</v>
      </c>
      <c r="F477" s="281">
        <v>4</v>
      </c>
      <c r="G477" s="282">
        <v>80.489678562500004</v>
      </c>
      <c r="H477" s="282">
        <v>81.880267810416655</v>
      </c>
      <c r="I477" s="282">
        <v>84.061203329166673</v>
      </c>
      <c r="J477" s="282">
        <v>87.315082806666666</v>
      </c>
      <c r="K477" s="282">
        <v>86.341364858611129</v>
      </c>
      <c r="L477" s="282">
        <v>87.92225100486111</v>
      </c>
      <c r="M477" s="282">
        <v>90.723493982777782</v>
      </c>
      <c r="N477" s="282">
        <v>93.367414198611115</v>
      </c>
      <c r="O477" s="282">
        <v>95.368091183333334</v>
      </c>
      <c r="P477" s="282">
        <v>95.851484213333336</v>
      </c>
      <c r="Q477" s="282">
        <v>95.960376974791657</v>
      </c>
      <c r="R477" s="283">
        <v>95.648536695833315</v>
      </c>
      <c r="S477" s="284">
        <v>994.43956705840276</v>
      </c>
      <c r="T477" s="284">
        <v>518.2436637925</v>
      </c>
      <c r="U477" s="296">
        <f t="shared" si="14"/>
        <v>76.650567058402544</v>
      </c>
      <c r="V477" s="296">
        <f t="shared" si="15"/>
        <v>18.449663792500019</v>
      </c>
      <c r="W477" s="287">
        <v>87</v>
      </c>
      <c r="X477" s="280">
        <v>85</v>
      </c>
      <c r="Y477" s="280">
        <v>87</v>
      </c>
      <c r="Z477" s="280">
        <v>88</v>
      </c>
      <c r="AA477" s="280">
        <v>88</v>
      </c>
      <c r="AB477" s="280">
        <v>90</v>
      </c>
      <c r="AC477" s="280">
        <v>93</v>
      </c>
      <c r="AD477" s="280">
        <v>97</v>
      </c>
      <c r="AE477" s="280">
        <v>99</v>
      </c>
      <c r="AF477" s="280">
        <v>100</v>
      </c>
      <c r="AG477" s="280">
        <v>101</v>
      </c>
      <c r="AH477" s="280">
        <v>104</v>
      </c>
    </row>
    <row r="478" spans="1:34" s="1" customFormat="1" ht="13" x14ac:dyDescent="0.25">
      <c r="A478" s="280" t="s">
        <v>1020</v>
      </c>
      <c r="B478" s="286">
        <v>442</v>
      </c>
      <c r="C478" s="286">
        <v>727.875</v>
      </c>
      <c r="D478" s="286">
        <v>1013.7500000000001</v>
      </c>
      <c r="E478" s="286">
        <v>4</v>
      </c>
      <c r="F478" s="281">
        <v>5</v>
      </c>
      <c r="G478" s="282">
        <v>80.489678562500004</v>
      </c>
      <c r="H478" s="282">
        <v>81.880267810416655</v>
      </c>
      <c r="I478" s="282">
        <v>84.506203329166667</v>
      </c>
      <c r="J478" s="282">
        <v>88.205082806666667</v>
      </c>
      <c r="K478" s="282">
        <v>87.676364858611123</v>
      </c>
      <c r="L478" s="282">
        <v>89.769626004861109</v>
      </c>
      <c r="M478" s="282">
        <v>93.083243982777788</v>
      </c>
      <c r="N478" s="282">
        <v>96.239539198611112</v>
      </c>
      <c r="O478" s="282">
        <v>98.808247433333335</v>
      </c>
      <c r="P478" s="282">
        <v>99.859671713333327</v>
      </c>
      <c r="Q478" s="282">
        <v>100.53659572479167</v>
      </c>
      <c r="R478" s="283">
        <v>100.79278669583331</v>
      </c>
      <c r="S478" s="284">
        <v>1021.3576295584028</v>
      </c>
      <c r="T478" s="284">
        <v>525.12078879249998</v>
      </c>
      <c r="U478" s="296">
        <f t="shared" si="14"/>
        <v>103.56862955840256</v>
      </c>
      <c r="V478" s="296">
        <f t="shared" si="15"/>
        <v>25.326788792499997</v>
      </c>
      <c r="W478" s="287">
        <v>87</v>
      </c>
      <c r="X478" s="280">
        <v>85</v>
      </c>
      <c r="Y478" s="280">
        <v>88</v>
      </c>
      <c r="Z478" s="280">
        <v>90</v>
      </c>
      <c r="AA478" s="280">
        <v>91</v>
      </c>
      <c r="AB478" s="280">
        <v>94</v>
      </c>
      <c r="AC478" s="280">
        <v>98</v>
      </c>
      <c r="AD478" s="280">
        <v>103</v>
      </c>
      <c r="AE478" s="280">
        <v>106</v>
      </c>
      <c r="AF478" s="280">
        <v>108</v>
      </c>
      <c r="AG478" s="280">
        <v>110</v>
      </c>
      <c r="AH478" s="280">
        <v>114</v>
      </c>
    </row>
    <row r="479" spans="1:34" s="1" customFormat="1" ht="13" x14ac:dyDescent="0.25">
      <c r="A479" s="280" t="s">
        <v>1021</v>
      </c>
      <c r="B479" s="286">
        <v>442</v>
      </c>
      <c r="C479" s="286">
        <v>727.875</v>
      </c>
      <c r="D479" s="286">
        <v>1013.7500000000001</v>
      </c>
      <c r="E479" s="286">
        <v>5</v>
      </c>
      <c r="F479" s="281">
        <v>0</v>
      </c>
      <c r="G479" s="282">
        <v>80.489678562500004</v>
      </c>
      <c r="H479" s="282">
        <v>81.681737693749994</v>
      </c>
      <c r="I479" s="282">
        <v>81.906016670833338</v>
      </c>
      <c r="J479" s="282">
        <v>83.250693806666661</v>
      </c>
      <c r="K479" s="282">
        <v>80.332265525277776</v>
      </c>
      <c r="L479" s="282">
        <v>79.939906004861101</v>
      </c>
      <c r="M479" s="282">
        <v>80.798139816111103</v>
      </c>
      <c r="N479" s="282">
        <v>81.429414198611084</v>
      </c>
      <c r="O479" s="282">
        <v>81.183341183333312</v>
      </c>
      <c r="P479" s="282">
        <v>79.342650879999994</v>
      </c>
      <c r="Q479" s="282">
        <v>77.138335308124994</v>
      </c>
      <c r="R479" s="283">
        <v>74.519328362499991</v>
      </c>
      <c r="S479" s="284">
        <v>881.52182945006928</v>
      </c>
      <c r="T479" s="284">
        <v>487.9087595174999</v>
      </c>
      <c r="U479" s="296">
        <f t="shared" si="14"/>
        <v>-36.267170549930938</v>
      </c>
      <c r="V479" s="296">
        <f t="shared" si="15"/>
        <v>-11.88524048250008</v>
      </c>
      <c r="W479" s="287">
        <v>87</v>
      </c>
      <c r="X479" s="280">
        <v>85</v>
      </c>
      <c r="Y479" s="280">
        <v>83</v>
      </c>
      <c r="Z479" s="280">
        <v>80</v>
      </c>
      <c r="AA479" s="280">
        <v>76</v>
      </c>
      <c r="AB479" s="280">
        <v>74</v>
      </c>
      <c r="AC479" s="280">
        <v>73</v>
      </c>
      <c r="AD479" s="280">
        <v>73</v>
      </c>
      <c r="AE479" s="280">
        <v>71</v>
      </c>
      <c r="AF479" s="280">
        <v>68</v>
      </c>
      <c r="AG479" s="280">
        <v>65</v>
      </c>
      <c r="AH479" s="280">
        <v>64</v>
      </c>
    </row>
    <row r="480" spans="1:34" s="1" customFormat="1" ht="13" x14ac:dyDescent="0.25">
      <c r="A480" s="280" t="s">
        <v>1022</v>
      </c>
      <c r="B480" s="286">
        <v>442</v>
      </c>
      <c r="C480" s="286">
        <v>727.875</v>
      </c>
      <c r="D480" s="286">
        <v>1013.7500000000001</v>
      </c>
      <c r="E480" s="286">
        <v>5</v>
      </c>
      <c r="F480" s="281">
        <v>1</v>
      </c>
      <c r="G480" s="282">
        <v>80.489678562500004</v>
      </c>
      <c r="H480" s="282">
        <v>81.681737693749994</v>
      </c>
      <c r="I480" s="282">
        <v>82.351016670833346</v>
      </c>
      <c r="J480" s="282">
        <v>84.140693806666675</v>
      </c>
      <c r="K480" s="282">
        <v>81.667265525277784</v>
      </c>
      <c r="L480" s="282">
        <v>81.7872810048611</v>
      </c>
      <c r="M480" s="282">
        <v>83.157889816111108</v>
      </c>
      <c r="N480" s="282">
        <v>84.301539198611096</v>
      </c>
      <c r="O480" s="282">
        <v>84.623497433333327</v>
      </c>
      <c r="P480" s="282">
        <v>83.350838379999985</v>
      </c>
      <c r="Q480" s="282">
        <v>81.714554058125003</v>
      </c>
      <c r="R480" s="283">
        <v>79.66357836249999</v>
      </c>
      <c r="S480" s="284">
        <v>908.43989195006941</v>
      </c>
      <c r="T480" s="284">
        <v>494.78588451749999</v>
      </c>
      <c r="U480" s="296">
        <f t="shared" si="14"/>
        <v>-9.3491080499308055</v>
      </c>
      <c r="V480" s="296">
        <f t="shared" si="15"/>
        <v>-5.0081154824999885</v>
      </c>
      <c r="W480" s="287">
        <v>87</v>
      </c>
      <c r="X480" s="280">
        <v>85</v>
      </c>
      <c r="Y480" s="280">
        <v>84</v>
      </c>
      <c r="Z480" s="280">
        <v>82</v>
      </c>
      <c r="AA480" s="280">
        <v>79</v>
      </c>
      <c r="AB480" s="280">
        <v>78</v>
      </c>
      <c r="AC480" s="280">
        <v>78</v>
      </c>
      <c r="AD480" s="280">
        <v>79</v>
      </c>
      <c r="AE480" s="280">
        <v>78</v>
      </c>
      <c r="AF480" s="280">
        <v>76</v>
      </c>
      <c r="AG480" s="280">
        <v>74</v>
      </c>
      <c r="AH480" s="280">
        <v>74</v>
      </c>
    </row>
    <row r="481" spans="1:34" s="1" customFormat="1" ht="13" x14ac:dyDescent="0.25">
      <c r="A481" s="280" t="s">
        <v>1023</v>
      </c>
      <c r="B481" s="286">
        <v>442</v>
      </c>
      <c r="C481" s="286">
        <v>727.875</v>
      </c>
      <c r="D481" s="286">
        <v>1013.7500000000001</v>
      </c>
      <c r="E481" s="286">
        <v>5</v>
      </c>
      <c r="F481" s="281">
        <v>2</v>
      </c>
      <c r="G481" s="282">
        <v>80.489678562500004</v>
      </c>
      <c r="H481" s="282">
        <v>81.681737693749994</v>
      </c>
      <c r="I481" s="282">
        <v>82.796016670833339</v>
      </c>
      <c r="J481" s="282">
        <v>85.030693806666676</v>
      </c>
      <c r="K481" s="282">
        <v>83.002265525277778</v>
      </c>
      <c r="L481" s="282">
        <v>83.6346560048611</v>
      </c>
      <c r="M481" s="282">
        <v>85.5176398161111</v>
      </c>
      <c r="N481" s="282">
        <v>87.173664198611093</v>
      </c>
      <c r="O481" s="282">
        <v>88.063653683333328</v>
      </c>
      <c r="P481" s="282">
        <v>87.35902587999999</v>
      </c>
      <c r="Q481" s="282">
        <v>86.290772808125013</v>
      </c>
      <c r="R481" s="283">
        <v>84.807828362500004</v>
      </c>
      <c r="S481" s="284">
        <v>935.35795445006931</v>
      </c>
      <c r="T481" s="284">
        <v>501.66300951749997</v>
      </c>
      <c r="U481" s="296">
        <f t="shared" si="14"/>
        <v>17.5689544500691</v>
      </c>
      <c r="V481" s="296">
        <f t="shared" si="15"/>
        <v>1.8690095174999897</v>
      </c>
      <c r="W481" s="287">
        <v>87</v>
      </c>
      <c r="X481" s="280">
        <v>85</v>
      </c>
      <c r="Y481" s="280">
        <v>85</v>
      </c>
      <c r="Z481" s="280">
        <v>84</v>
      </c>
      <c r="AA481" s="280">
        <v>82</v>
      </c>
      <c r="AB481" s="280">
        <v>82</v>
      </c>
      <c r="AC481" s="280">
        <v>83</v>
      </c>
      <c r="AD481" s="280">
        <v>85</v>
      </c>
      <c r="AE481" s="280">
        <v>85</v>
      </c>
      <c r="AF481" s="280">
        <v>84</v>
      </c>
      <c r="AG481" s="280">
        <v>83</v>
      </c>
      <c r="AH481" s="280">
        <v>84</v>
      </c>
    </row>
    <row r="482" spans="1:34" s="1" customFormat="1" ht="13" x14ac:dyDescent="0.25">
      <c r="A482" s="280" t="s">
        <v>1024</v>
      </c>
      <c r="B482" s="286">
        <v>442</v>
      </c>
      <c r="C482" s="286">
        <v>727.875</v>
      </c>
      <c r="D482" s="286">
        <v>1013.7500000000001</v>
      </c>
      <c r="E482" s="286">
        <v>5</v>
      </c>
      <c r="F482" s="281">
        <v>3</v>
      </c>
      <c r="G482" s="282">
        <v>80.489678562500004</v>
      </c>
      <c r="H482" s="282">
        <v>81.681737693749994</v>
      </c>
      <c r="I482" s="282">
        <v>83.241016670833346</v>
      </c>
      <c r="J482" s="282">
        <v>85.920693806666677</v>
      </c>
      <c r="K482" s="282">
        <v>84.337265525277786</v>
      </c>
      <c r="L482" s="282">
        <v>85.482031004861099</v>
      </c>
      <c r="M482" s="282">
        <v>87.877389816111105</v>
      </c>
      <c r="N482" s="282">
        <v>90.045789198611104</v>
      </c>
      <c r="O482" s="282">
        <v>91.503809933333329</v>
      </c>
      <c r="P482" s="282">
        <v>91.367213379999995</v>
      </c>
      <c r="Q482" s="282">
        <v>90.866991558125008</v>
      </c>
      <c r="R482" s="283">
        <v>89.952078362500004</v>
      </c>
      <c r="S482" s="284">
        <v>962.27601695006956</v>
      </c>
      <c r="T482" s="284">
        <v>508.54013451750006</v>
      </c>
      <c r="U482" s="296">
        <f t="shared" si="14"/>
        <v>44.487016950069346</v>
      </c>
      <c r="V482" s="296">
        <f t="shared" si="15"/>
        <v>8.7461345175000815</v>
      </c>
      <c r="W482" s="287">
        <v>87</v>
      </c>
      <c r="X482" s="280">
        <v>85</v>
      </c>
      <c r="Y482" s="280">
        <v>86</v>
      </c>
      <c r="Z482" s="280">
        <v>86</v>
      </c>
      <c r="AA482" s="280">
        <v>85</v>
      </c>
      <c r="AB482" s="280">
        <v>86</v>
      </c>
      <c r="AC482" s="280">
        <v>88</v>
      </c>
      <c r="AD482" s="280">
        <v>91</v>
      </c>
      <c r="AE482" s="280">
        <v>92</v>
      </c>
      <c r="AF482" s="280">
        <v>92</v>
      </c>
      <c r="AG482" s="280">
        <v>92</v>
      </c>
      <c r="AH482" s="280">
        <v>94</v>
      </c>
    </row>
    <row r="483" spans="1:34" s="1" customFormat="1" ht="13" x14ac:dyDescent="0.25">
      <c r="A483" s="280" t="s">
        <v>1025</v>
      </c>
      <c r="B483" s="286">
        <v>442</v>
      </c>
      <c r="C483" s="286">
        <v>727.875</v>
      </c>
      <c r="D483" s="286">
        <v>1013.7500000000001</v>
      </c>
      <c r="E483" s="286">
        <v>5</v>
      </c>
      <c r="F483" s="281">
        <v>4</v>
      </c>
      <c r="G483" s="282">
        <v>80.489678562500004</v>
      </c>
      <c r="H483" s="282">
        <v>81.681737693749994</v>
      </c>
      <c r="I483" s="282">
        <v>83.68601667083334</v>
      </c>
      <c r="J483" s="282">
        <v>86.810693806666677</v>
      </c>
      <c r="K483" s="282">
        <v>85.672265525277794</v>
      </c>
      <c r="L483" s="282">
        <v>87.329406004861099</v>
      </c>
      <c r="M483" s="282">
        <v>90.23713981611111</v>
      </c>
      <c r="N483" s="282">
        <v>92.917914198611101</v>
      </c>
      <c r="O483" s="282">
        <v>94.94396618333333</v>
      </c>
      <c r="P483" s="282">
        <v>95.375400879999987</v>
      </c>
      <c r="Q483" s="282">
        <v>95.443210308125003</v>
      </c>
      <c r="R483" s="283">
        <v>95.096328362500003</v>
      </c>
      <c r="S483" s="284">
        <v>989.19407945006958</v>
      </c>
      <c r="T483" s="284">
        <v>515.41725951750004</v>
      </c>
      <c r="U483" s="296">
        <f t="shared" si="14"/>
        <v>71.405079450069366</v>
      </c>
      <c r="V483" s="296">
        <f t="shared" si="15"/>
        <v>15.62325951750006</v>
      </c>
      <c r="W483" s="287">
        <v>87</v>
      </c>
      <c r="X483" s="280">
        <v>85</v>
      </c>
      <c r="Y483" s="280">
        <v>87</v>
      </c>
      <c r="Z483" s="280">
        <v>88</v>
      </c>
      <c r="AA483" s="280">
        <v>88</v>
      </c>
      <c r="AB483" s="280">
        <v>90</v>
      </c>
      <c r="AC483" s="280">
        <v>93</v>
      </c>
      <c r="AD483" s="280">
        <v>97</v>
      </c>
      <c r="AE483" s="280">
        <v>99</v>
      </c>
      <c r="AF483" s="280">
        <v>100</v>
      </c>
      <c r="AG483" s="280">
        <v>101</v>
      </c>
      <c r="AH483" s="280">
        <v>104</v>
      </c>
    </row>
    <row r="484" spans="1:34" s="1" customFormat="1" ht="13" x14ac:dyDescent="0.25">
      <c r="A484" s="280" t="s">
        <v>1026</v>
      </c>
      <c r="B484" s="286">
        <v>442</v>
      </c>
      <c r="C484" s="286">
        <v>727.875</v>
      </c>
      <c r="D484" s="286">
        <v>1013.7500000000001</v>
      </c>
      <c r="E484" s="286">
        <v>5</v>
      </c>
      <c r="F484" s="281">
        <v>5</v>
      </c>
      <c r="G484" s="282">
        <v>80.489678562500004</v>
      </c>
      <c r="H484" s="282">
        <v>81.681737693749994</v>
      </c>
      <c r="I484" s="282">
        <v>84.131016670833333</v>
      </c>
      <c r="J484" s="282">
        <v>87.700693806666678</v>
      </c>
      <c r="K484" s="282">
        <v>87.007265525277788</v>
      </c>
      <c r="L484" s="282">
        <v>89.176781004861098</v>
      </c>
      <c r="M484" s="282">
        <v>92.596889816111116</v>
      </c>
      <c r="N484" s="282">
        <v>95.790039198611098</v>
      </c>
      <c r="O484" s="282">
        <v>98.384122433333332</v>
      </c>
      <c r="P484" s="282">
        <v>99.383588379999992</v>
      </c>
      <c r="Q484" s="282">
        <v>100.01942905812501</v>
      </c>
      <c r="R484" s="283">
        <v>100.2405783625</v>
      </c>
      <c r="S484" s="284">
        <v>1016.1121419500694</v>
      </c>
      <c r="T484" s="284">
        <v>522.29438451750002</v>
      </c>
      <c r="U484" s="296">
        <f t="shared" si="14"/>
        <v>98.323141950069157</v>
      </c>
      <c r="V484" s="296">
        <f t="shared" si="15"/>
        <v>22.500384517500038</v>
      </c>
      <c r="W484" s="287">
        <v>87</v>
      </c>
      <c r="X484" s="280">
        <v>85</v>
      </c>
      <c r="Y484" s="280">
        <v>88</v>
      </c>
      <c r="Z484" s="280">
        <v>90</v>
      </c>
      <c r="AA484" s="280">
        <v>91</v>
      </c>
      <c r="AB484" s="280">
        <v>94</v>
      </c>
      <c r="AC484" s="280">
        <v>98</v>
      </c>
      <c r="AD484" s="280">
        <v>103</v>
      </c>
      <c r="AE484" s="280">
        <v>106</v>
      </c>
      <c r="AF484" s="280">
        <v>108</v>
      </c>
      <c r="AG484" s="280">
        <v>110</v>
      </c>
      <c r="AH484" s="280">
        <v>114</v>
      </c>
    </row>
    <row r="485" spans="1:34" s="1" customFormat="1" ht="13" x14ac:dyDescent="0.25">
      <c r="A485" s="280" t="s">
        <v>1027</v>
      </c>
      <c r="B485" s="286">
        <v>442</v>
      </c>
      <c r="C485" s="286">
        <v>727.875</v>
      </c>
      <c r="D485" s="286">
        <v>1013.7500000000001</v>
      </c>
      <c r="E485" s="286">
        <v>1</v>
      </c>
      <c r="F485" s="281">
        <v>0</v>
      </c>
      <c r="G485" s="282">
        <v>80.489678562500004</v>
      </c>
      <c r="H485" s="282">
        <v>84.436849218749998</v>
      </c>
      <c r="I485" s="282">
        <v>85.24287291249999</v>
      </c>
      <c r="J485" s="282">
        <v>86.75562322333333</v>
      </c>
      <c r="K485" s="282">
        <v>83.668106441944445</v>
      </c>
      <c r="L485" s="282">
        <v>82.34142117152777</v>
      </c>
      <c r="M485" s="282">
        <v>82.923973149444436</v>
      </c>
      <c r="N485" s="282">
        <v>83.437039198611117</v>
      </c>
      <c r="O485" s="282">
        <v>83.525799516666652</v>
      </c>
      <c r="P485" s="282">
        <v>81.669984213333336</v>
      </c>
      <c r="Q485" s="282">
        <v>79.466751974791649</v>
      </c>
      <c r="R485" s="283">
        <v>76.969870029166657</v>
      </c>
      <c r="S485" s="284">
        <v>910.43829105006944</v>
      </c>
      <c r="T485" s="284">
        <v>505.36884611749997</v>
      </c>
      <c r="U485" s="296">
        <f t="shared" si="14"/>
        <v>-7.3507089499307767</v>
      </c>
      <c r="V485" s="296">
        <f t="shared" si="15"/>
        <v>5.5748461174999875</v>
      </c>
      <c r="W485" s="287">
        <v>87</v>
      </c>
      <c r="X485" s="280">
        <v>85</v>
      </c>
      <c r="Y485" s="280">
        <v>83</v>
      </c>
      <c r="Z485" s="280">
        <v>80</v>
      </c>
      <c r="AA485" s="280">
        <v>76</v>
      </c>
      <c r="AB485" s="280">
        <v>74</v>
      </c>
      <c r="AC485" s="280">
        <v>73</v>
      </c>
      <c r="AD485" s="280">
        <v>73</v>
      </c>
      <c r="AE485" s="280">
        <v>71</v>
      </c>
      <c r="AF485" s="280">
        <v>68</v>
      </c>
      <c r="AG485" s="280">
        <v>65</v>
      </c>
      <c r="AH485" s="280">
        <v>64</v>
      </c>
    </row>
    <row r="486" spans="1:34" s="1" customFormat="1" ht="13" x14ac:dyDescent="0.25">
      <c r="A486" s="280" t="s">
        <v>1028</v>
      </c>
      <c r="B486" s="286">
        <v>442</v>
      </c>
      <c r="C486" s="286">
        <v>727.875</v>
      </c>
      <c r="D486" s="286">
        <v>1013.7500000000001</v>
      </c>
      <c r="E486" s="286">
        <v>1</v>
      </c>
      <c r="F486" s="281">
        <v>1</v>
      </c>
      <c r="G486" s="282">
        <v>80.489678562500004</v>
      </c>
      <c r="H486" s="282">
        <v>84.436849218749998</v>
      </c>
      <c r="I486" s="282">
        <v>85.687872912499998</v>
      </c>
      <c r="J486" s="282">
        <v>87.645623223333331</v>
      </c>
      <c r="K486" s="282">
        <v>85.003106441944439</v>
      </c>
      <c r="L486" s="282">
        <v>84.18879617152777</v>
      </c>
      <c r="M486" s="282">
        <v>85.283723149444441</v>
      </c>
      <c r="N486" s="282">
        <v>86.309164198611114</v>
      </c>
      <c r="O486" s="282">
        <v>86.966580766666652</v>
      </c>
      <c r="P486" s="282">
        <v>85.679421713333326</v>
      </c>
      <c r="Q486" s="282">
        <v>84.044845724791671</v>
      </c>
      <c r="R486" s="283">
        <v>82.116620029166654</v>
      </c>
      <c r="S486" s="284">
        <v>937.36260355006948</v>
      </c>
      <c r="T486" s="284">
        <v>512.24597111750006</v>
      </c>
      <c r="U486" s="296">
        <f t="shared" si="14"/>
        <v>19.573603550069265</v>
      </c>
      <c r="V486" s="296">
        <f t="shared" si="15"/>
        <v>12.451971117500079</v>
      </c>
      <c r="W486" s="287">
        <v>87</v>
      </c>
      <c r="X486" s="280">
        <v>85</v>
      </c>
      <c r="Y486" s="280">
        <v>84</v>
      </c>
      <c r="Z486" s="280">
        <v>82</v>
      </c>
      <c r="AA486" s="280">
        <v>79</v>
      </c>
      <c r="AB486" s="280">
        <v>78</v>
      </c>
      <c r="AC486" s="280">
        <v>78</v>
      </c>
      <c r="AD486" s="280">
        <v>79</v>
      </c>
      <c r="AE486" s="280">
        <v>78</v>
      </c>
      <c r="AF486" s="280">
        <v>76</v>
      </c>
      <c r="AG486" s="280">
        <v>74</v>
      </c>
      <c r="AH486" s="280">
        <v>74</v>
      </c>
    </row>
    <row r="487" spans="1:34" s="1" customFormat="1" ht="13" x14ac:dyDescent="0.25">
      <c r="A487" s="280" t="s">
        <v>1029</v>
      </c>
      <c r="B487" s="286">
        <v>442</v>
      </c>
      <c r="C487" s="286">
        <v>727.875</v>
      </c>
      <c r="D487" s="286">
        <v>1013.7500000000001</v>
      </c>
      <c r="E487" s="286">
        <v>1</v>
      </c>
      <c r="F487" s="281">
        <v>2</v>
      </c>
      <c r="G487" s="282">
        <v>80.489678562500004</v>
      </c>
      <c r="H487" s="282">
        <v>84.436849218749998</v>
      </c>
      <c r="I487" s="282">
        <v>86.132872912499991</v>
      </c>
      <c r="J487" s="282">
        <v>88.535623223333332</v>
      </c>
      <c r="K487" s="282">
        <v>86.338106441944447</v>
      </c>
      <c r="L487" s="282">
        <v>86.036171171527769</v>
      </c>
      <c r="M487" s="282">
        <v>87.643473149444446</v>
      </c>
      <c r="N487" s="282">
        <v>89.181289198611097</v>
      </c>
      <c r="O487" s="282">
        <v>90.407362016666653</v>
      </c>
      <c r="P487" s="282">
        <v>89.68885921333333</v>
      </c>
      <c r="Q487" s="282">
        <v>88.622939474791664</v>
      </c>
      <c r="R487" s="283">
        <v>87.263370029166666</v>
      </c>
      <c r="S487" s="284">
        <v>964.28691605006941</v>
      </c>
      <c r="T487" s="284">
        <v>519.12309611749993</v>
      </c>
      <c r="U487" s="296">
        <f t="shared" si="14"/>
        <v>46.497916050069193</v>
      </c>
      <c r="V487" s="296">
        <f t="shared" si="15"/>
        <v>19.329096117499944</v>
      </c>
      <c r="W487" s="287">
        <v>87</v>
      </c>
      <c r="X487" s="280">
        <v>85</v>
      </c>
      <c r="Y487" s="280">
        <v>85</v>
      </c>
      <c r="Z487" s="280">
        <v>84</v>
      </c>
      <c r="AA487" s="280">
        <v>82</v>
      </c>
      <c r="AB487" s="280">
        <v>82</v>
      </c>
      <c r="AC487" s="280">
        <v>83</v>
      </c>
      <c r="AD487" s="280">
        <v>85</v>
      </c>
      <c r="AE487" s="280">
        <v>85</v>
      </c>
      <c r="AF487" s="280">
        <v>84</v>
      </c>
      <c r="AG487" s="280">
        <v>83</v>
      </c>
      <c r="AH487" s="280">
        <v>84</v>
      </c>
    </row>
    <row r="488" spans="1:34" s="1" customFormat="1" ht="13" x14ac:dyDescent="0.25">
      <c r="A488" s="280" t="s">
        <v>1030</v>
      </c>
      <c r="B488" s="286">
        <v>442</v>
      </c>
      <c r="C488" s="286">
        <v>727.875</v>
      </c>
      <c r="D488" s="286">
        <v>1013.7500000000001</v>
      </c>
      <c r="E488" s="286">
        <v>1</v>
      </c>
      <c r="F488" s="281">
        <v>3</v>
      </c>
      <c r="G488" s="282">
        <v>80.489678562500004</v>
      </c>
      <c r="H488" s="282">
        <v>84.436849218749998</v>
      </c>
      <c r="I488" s="282">
        <v>86.577872912499998</v>
      </c>
      <c r="J488" s="282">
        <v>89.425623223333332</v>
      </c>
      <c r="K488" s="282">
        <v>87.673106441944441</v>
      </c>
      <c r="L488" s="282">
        <v>87.883546171527769</v>
      </c>
      <c r="M488" s="282">
        <v>90.003223149444437</v>
      </c>
      <c r="N488" s="282">
        <v>92.053414198611094</v>
      </c>
      <c r="O488" s="282">
        <v>93.848143266666654</v>
      </c>
      <c r="P488" s="282">
        <v>93.698296713333335</v>
      </c>
      <c r="Q488" s="282">
        <v>93.201033224791658</v>
      </c>
      <c r="R488" s="283">
        <v>92.410120029166663</v>
      </c>
      <c r="S488" s="284">
        <v>991.21122855006945</v>
      </c>
      <c r="T488" s="284">
        <v>526.00022111750002</v>
      </c>
      <c r="U488" s="296">
        <f t="shared" si="14"/>
        <v>73.422228550069235</v>
      </c>
      <c r="V488" s="296">
        <f t="shared" si="15"/>
        <v>26.206221117500036</v>
      </c>
      <c r="W488" s="287">
        <v>87</v>
      </c>
      <c r="X488" s="280">
        <v>85</v>
      </c>
      <c r="Y488" s="280">
        <v>86</v>
      </c>
      <c r="Z488" s="280">
        <v>86</v>
      </c>
      <c r="AA488" s="280">
        <v>85</v>
      </c>
      <c r="AB488" s="280">
        <v>86</v>
      </c>
      <c r="AC488" s="280">
        <v>88</v>
      </c>
      <c r="AD488" s="280">
        <v>91</v>
      </c>
      <c r="AE488" s="280">
        <v>92</v>
      </c>
      <c r="AF488" s="280">
        <v>92</v>
      </c>
      <c r="AG488" s="280">
        <v>92</v>
      </c>
      <c r="AH488" s="280">
        <v>94</v>
      </c>
    </row>
    <row r="489" spans="1:34" s="1" customFormat="1" ht="13" x14ac:dyDescent="0.25">
      <c r="A489" s="280" t="s">
        <v>1031</v>
      </c>
      <c r="B489" s="286">
        <v>442</v>
      </c>
      <c r="C489" s="286">
        <v>727.875</v>
      </c>
      <c r="D489" s="286">
        <v>1013.7500000000001</v>
      </c>
      <c r="E489" s="286">
        <v>1</v>
      </c>
      <c r="F489" s="281">
        <v>4</v>
      </c>
      <c r="G489" s="282">
        <v>80.489678562500004</v>
      </c>
      <c r="H489" s="282">
        <v>84.436849218749998</v>
      </c>
      <c r="I489" s="282">
        <v>87.022872912499992</v>
      </c>
      <c r="J489" s="282">
        <v>90.315623223333333</v>
      </c>
      <c r="K489" s="282">
        <v>89.008106441944463</v>
      </c>
      <c r="L489" s="282">
        <v>89.730921171527768</v>
      </c>
      <c r="M489" s="282">
        <v>92.362973149444443</v>
      </c>
      <c r="N489" s="282">
        <v>94.925539198611105</v>
      </c>
      <c r="O489" s="282">
        <v>97.288924516666654</v>
      </c>
      <c r="P489" s="282">
        <v>97.707734213333339</v>
      </c>
      <c r="Q489" s="282">
        <v>97.779126974791666</v>
      </c>
      <c r="R489" s="283">
        <v>97.55687002916666</v>
      </c>
      <c r="S489" s="284">
        <v>1018.1355410500694</v>
      </c>
      <c r="T489" s="284">
        <v>532.8773461175</v>
      </c>
      <c r="U489" s="296">
        <f t="shared" si="14"/>
        <v>100.34654105006916</v>
      </c>
      <c r="V489" s="296">
        <f t="shared" si="15"/>
        <v>33.083346117500014</v>
      </c>
      <c r="W489" s="287">
        <v>87</v>
      </c>
      <c r="X489" s="280">
        <v>85</v>
      </c>
      <c r="Y489" s="280">
        <v>87</v>
      </c>
      <c r="Z489" s="280">
        <v>88</v>
      </c>
      <c r="AA489" s="280">
        <v>88</v>
      </c>
      <c r="AB489" s="280">
        <v>90</v>
      </c>
      <c r="AC489" s="280">
        <v>93</v>
      </c>
      <c r="AD489" s="280">
        <v>97</v>
      </c>
      <c r="AE489" s="280">
        <v>99</v>
      </c>
      <c r="AF489" s="280">
        <v>100</v>
      </c>
      <c r="AG489" s="280">
        <v>101</v>
      </c>
      <c r="AH489" s="280">
        <v>104</v>
      </c>
    </row>
    <row r="490" spans="1:34" s="1" customFormat="1" ht="13" x14ac:dyDescent="0.25">
      <c r="A490" s="280" t="s">
        <v>1032</v>
      </c>
      <c r="B490" s="286">
        <v>442</v>
      </c>
      <c r="C490" s="286">
        <v>727.875</v>
      </c>
      <c r="D490" s="286">
        <v>1013.7500000000001</v>
      </c>
      <c r="E490" s="286">
        <v>1</v>
      </c>
      <c r="F490" s="281">
        <v>5</v>
      </c>
      <c r="G490" s="282">
        <v>80.489678562500004</v>
      </c>
      <c r="H490" s="282">
        <v>84.436849218749998</v>
      </c>
      <c r="I490" s="282">
        <v>87.467872912499999</v>
      </c>
      <c r="J490" s="282">
        <v>91.205623223333333</v>
      </c>
      <c r="K490" s="282">
        <v>90.343106441944457</v>
      </c>
      <c r="L490" s="282">
        <v>91.578296171527768</v>
      </c>
      <c r="M490" s="282">
        <v>94.722723149444434</v>
      </c>
      <c r="N490" s="282">
        <v>97.797664198611102</v>
      </c>
      <c r="O490" s="282">
        <v>100.72970576666665</v>
      </c>
      <c r="P490" s="282">
        <v>101.71717171333333</v>
      </c>
      <c r="Q490" s="282">
        <v>102.35722072479166</v>
      </c>
      <c r="R490" s="283">
        <v>102.70362002916666</v>
      </c>
      <c r="S490" s="284">
        <v>1045.0598535500692</v>
      </c>
      <c r="T490" s="284">
        <v>539.75447111749997</v>
      </c>
      <c r="U490" s="296">
        <f t="shared" si="14"/>
        <v>127.27085355006898</v>
      </c>
      <c r="V490" s="296">
        <f t="shared" si="15"/>
        <v>39.960471117499992</v>
      </c>
      <c r="W490" s="287">
        <v>87</v>
      </c>
      <c r="X490" s="280">
        <v>85</v>
      </c>
      <c r="Y490" s="280">
        <v>88</v>
      </c>
      <c r="Z490" s="280">
        <v>90</v>
      </c>
      <c r="AA490" s="280">
        <v>91</v>
      </c>
      <c r="AB490" s="280">
        <v>94</v>
      </c>
      <c r="AC490" s="280">
        <v>98</v>
      </c>
      <c r="AD490" s="280">
        <v>103</v>
      </c>
      <c r="AE490" s="280">
        <v>106</v>
      </c>
      <c r="AF490" s="280">
        <v>108</v>
      </c>
      <c r="AG490" s="280">
        <v>110</v>
      </c>
      <c r="AH490" s="280">
        <v>114</v>
      </c>
    </row>
    <row r="491" spans="1:34" s="1" customFormat="1" ht="13" x14ac:dyDescent="0.25">
      <c r="A491" s="280" t="s">
        <v>1033</v>
      </c>
      <c r="B491" s="286">
        <v>442</v>
      </c>
      <c r="C491" s="286">
        <v>727.875</v>
      </c>
      <c r="D491" s="286">
        <v>1013.7500000000001</v>
      </c>
      <c r="E491" s="286">
        <v>2</v>
      </c>
      <c r="F491" s="281">
        <v>0</v>
      </c>
      <c r="G491" s="282">
        <v>80.489678562500004</v>
      </c>
      <c r="H491" s="282">
        <v>82.981343393749995</v>
      </c>
      <c r="I491" s="282">
        <v>83.989528287499994</v>
      </c>
      <c r="J491" s="282">
        <v>85.504188473333329</v>
      </c>
      <c r="K491" s="282">
        <v>82.733290441944433</v>
      </c>
      <c r="L491" s="282">
        <v>81.945171171527761</v>
      </c>
      <c r="M491" s="282">
        <v>82.48152523277777</v>
      </c>
      <c r="N491" s="282">
        <v>82.973914198611112</v>
      </c>
      <c r="O491" s="282">
        <v>82.879862016666664</v>
      </c>
      <c r="P491" s="282">
        <v>81.206859213333331</v>
      </c>
      <c r="Q491" s="282">
        <v>78.967064474791655</v>
      </c>
      <c r="R491" s="283">
        <v>76.372682529166653</v>
      </c>
      <c r="S491" s="284">
        <v>902.03542943340278</v>
      </c>
      <c r="T491" s="284">
        <v>499.63504700083331</v>
      </c>
      <c r="U491" s="296">
        <f t="shared" si="14"/>
        <v>-15.753570566597432</v>
      </c>
      <c r="V491" s="296">
        <f t="shared" si="15"/>
        <v>-0.15895299916667227</v>
      </c>
      <c r="W491" s="287">
        <v>87</v>
      </c>
      <c r="X491" s="280">
        <v>85</v>
      </c>
      <c r="Y491" s="280">
        <v>83</v>
      </c>
      <c r="Z491" s="280">
        <v>80</v>
      </c>
      <c r="AA491" s="280">
        <v>76</v>
      </c>
      <c r="AB491" s="280">
        <v>74</v>
      </c>
      <c r="AC491" s="280">
        <v>73</v>
      </c>
      <c r="AD491" s="280">
        <v>73</v>
      </c>
      <c r="AE491" s="280">
        <v>71</v>
      </c>
      <c r="AF491" s="280">
        <v>68</v>
      </c>
      <c r="AG491" s="280">
        <v>65</v>
      </c>
      <c r="AH491" s="280">
        <v>64</v>
      </c>
    </row>
    <row r="492" spans="1:34" s="1" customFormat="1" ht="13" x14ac:dyDescent="0.25">
      <c r="A492" s="280" t="s">
        <v>1034</v>
      </c>
      <c r="B492" s="286">
        <v>442</v>
      </c>
      <c r="C492" s="286">
        <v>727.875</v>
      </c>
      <c r="D492" s="286">
        <v>1013.7500000000001</v>
      </c>
      <c r="E492" s="286">
        <v>2</v>
      </c>
      <c r="F492" s="281">
        <v>1</v>
      </c>
      <c r="G492" s="282">
        <v>80.489678562500004</v>
      </c>
      <c r="H492" s="282">
        <v>82.981343393749995</v>
      </c>
      <c r="I492" s="282">
        <v>84.434528287500001</v>
      </c>
      <c r="J492" s="282">
        <v>86.39418847333333</v>
      </c>
      <c r="K492" s="282">
        <v>84.068290441944455</v>
      </c>
      <c r="L492" s="282">
        <v>83.792546171527761</v>
      </c>
      <c r="M492" s="282">
        <v>84.841275232777789</v>
      </c>
      <c r="N492" s="282">
        <v>85.846039198611109</v>
      </c>
      <c r="O492" s="282">
        <v>86.32064326666665</v>
      </c>
      <c r="P492" s="282">
        <v>85.216296713333335</v>
      </c>
      <c r="Q492" s="282">
        <v>83.545158224791663</v>
      </c>
      <c r="R492" s="283">
        <v>81.519432529166664</v>
      </c>
      <c r="S492" s="284">
        <v>928.95974193340271</v>
      </c>
      <c r="T492" s="284">
        <v>506.51217200083329</v>
      </c>
      <c r="U492" s="296">
        <f t="shared" si="14"/>
        <v>11.170741933402496</v>
      </c>
      <c r="V492" s="296">
        <f t="shared" si="15"/>
        <v>6.7181720008333059</v>
      </c>
      <c r="W492" s="287">
        <v>87</v>
      </c>
      <c r="X492" s="280">
        <v>85</v>
      </c>
      <c r="Y492" s="280">
        <v>84</v>
      </c>
      <c r="Z492" s="280">
        <v>82</v>
      </c>
      <c r="AA492" s="280">
        <v>79</v>
      </c>
      <c r="AB492" s="280">
        <v>78</v>
      </c>
      <c r="AC492" s="280">
        <v>78</v>
      </c>
      <c r="AD492" s="280">
        <v>79</v>
      </c>
      <c r="AE492" s="280">
        <v>78</v>
      </c>
      <c r="AF492" s="280">
        <v>76</v>
      </c>
      <c r="AG492" s="280">
        <v>74</v>
      </c>
      <c r="AH492" s="280">
        <v>74</v>
      </c>
    </row>
    <row r="493" spans="1:34" s="1" customFormat="1" ht="13" x14ac:dyDescent="0.25">
      <c r="A493" s="280" t="s">
        <v>1035</v>
      </c>
      <c r="B493" s="286">
        <v>442</v>
      </c>
      <c r="C493" s="286">
        <v>727.875</v>
      </c>
      <c r="D493" s="286">
        <v>1013.7500000000001</v>
      </c>
      <c r="E493" s="286">
        <v>2</v>
      </c>
      <c r="F493" s="281">
        <v>2</v>
      </c>
      <c r="G493" s="282">
        <v>80.489678562500004</v>
      </c>
      <c r="H493" s="282">
        <v>82.981343393749995</v>
      </c>
      <c r="I493" s="282">
        <v>84.879528287499994</v>
      </c>
      <c r="J493" s="282">
        <v>87.28418847333333</v>
      </c>
      <c r="K493" s="282">
        <v>85.403290441944449</v>
      </c>
      <c r="L493" s="282">
        <v>85.639921171527774</v>
      </c>
      <c r="M493" s="282">
        <v>87.201025232777781</v>
      </c>
      <c r="N493" s="282">
        <v>88.718164198611106</v>
      </c>
      <c r="O493" s="282">
        <v>89.761424516666651</v>
      </c>
      <c r="P493" s="282">
        <v>89.22573421333334</v>
      </c>
      <c r="Q493" s="282">
        <v>88.123251974791671</v>
      </c>
      <c r="R493" s="283">
        <v>86.666182529166662</v>
      </c>
      <c r="S493" s="284">
        <v>955.88405443340275</v>
      </c>
      <c r="T493" s="284">
        <v>513.38929700083327</v>
      </c>
      <c r="U493" s="296">
        <f t="shared" si="14"/>
        <v>38.095054433402538</v>
      </c>
      <c r="V493" s="296">
        <f t="shared" si="15"/>
        <v>13.595297000833284</v>
      </c>
      <c r="W493" s="287">
        <v>87</v>
      </c>
      <c r="X493" s="280">
        <v>85</v>
      </c>
      <c r="Y493" s="280">
        <v>85</v>
      </c>
      <c r="Z493" s="280">
        <v>84</v>
      </c>
      <c r="AA493" s="280">
        <v>82</v>
      </c>
      <c r="AB493" s="280">
        <v>82</v>
      </c>
      <c r="AC493" s="280">
        <v>83</v>
      </c>
      <c r="AD493" s="280">
        <v>85</v>
      </c>
      <c r="AE493" s="280">
        <v>85</v>
      </c>
      <c r="AF493" s="280">
        <v>84</v>
      </c>
      <c r="AG493" s="280">
        <v>83</v>
      </c>
      <c r="AH493" s="280">
        <v>84</v>
      </c>
    </row>
    <row r="494" spans="1:34" s="1" customFormat="1" ht="13" x14ac:dyDescent="0.25">
      <c r="A494" s="280" t="s">
        <v>1036</v>
      </c>
      <c r="B494" s="286">
        <v>442</v>
      </c>
      <c r="C494" s="286">
        <v>727.875</v>
      </c>
      <c r="D494" s="286">
        <v>1013.7500000000001</v>
      </c>
      <c r="E494" s="286">
        <v>2</v>
      </c>
      <c r="F494" s="281">
        <v>3</v>
      </c>
      <c r="G494" s="282">
        <v>80.489678562500004</v>
      </c>
      <c r="H494" s="282">
        <v>82.981343393749995</v>
      </c>
      <c r="I494" s="282">
        <v>85.324528287500002</v>
      </c>
      <c r="J494" s="282">
        <v>88.174188473333331</v>
      </c>
      <c r="K494" s="282">
        <v>86.738290441944457</v>
      </c>
      <c r="L494" s="282">
        <v>87.487296171527774</v>
      </c>
      <c r="M494" s="282">
        <v>89.560775232777786</v>
      </c>
      <c r="N494" s="282">
        <v>91.590289198611103</v>
      </c>
      <c r="O494" s="282">
        <v>93.202205766666651</v>
      </c>
      <c r="P494" s="282">
        <v>93.23517171333333</v>
      </c>
      <c r="Q494" s="282">
        <v>92.701345724791665</v>
      </c>
      <c r="R494" s="283">
        <v>91.812932529166659</v>
      </c>
      <c r="S494" s="284">
        <v>982.80836693340279</v>
      </c>
      <c r="T494" s="284">
        <v>520.26642200083336</v>
      </c>
      <c r="U494" s="296">
        <f t="shared" si="14"/>
        <v>65.01936693340258</v>
      </c>
      <c r="V494" s="296">
        <f t="shared" si="15"/>
        <v>20.472422000833376</v>
      </c>
      <c r="W494" s="287">
        <v>87</v>
      </c>
      <c r="X494" s="280">
        <v>85</v>
      </c>
      <c r="Y494" s="280">
        <v>86</v>
      </c>
      <c r="Z494" s="280">
        <v>86</v>
      </c>
      <c r="AA494" s="280">
        <v>85</v>
      </c>
      <c r="AB494" s="280">
        <v>86</v>
      </c>
      <c r="AC494" s="280">
        <v>88</v>
      </c>
      <c r="AD494" s="280">
        <v>91</v>
      </c>
      <c r="AE494" s="280">
        <v>92</v>
      </c>
      <c r="AF494" s="280">
        <v>92</v>
      </c>
      <c r="AG494" s="280">
        <v>92</v>
      </c>
      <c r="AH494" s="280">
        <v>94</v>
      </c>
    </row>
    <row r="495" spans="1:34" s="1" customFormat="1" ht="13" x14ac:dyDescent="0.25">
      <c r="A495" s="280" t="s">
        <v>1037</v>
      </c>
      <c r="B495" s="286">
        <v>442</v>
      </c>
      <c r="C495" s="286">
        <v>727.875</v>
      </c>
      <c r="D495" s="286">
        <v>1013.7500000000001</v>
      </c>
      <c r="E495" s="286">
        <v>2</v>
      </c>
      <c r="F495" s="281">
        <v>4</v>
      </c>
      <c r="G495" s="282">
        <v>80.489678562500004</v>
      </c>
      <c r="H495" s="282">
        <v>82.981343393749995</v>
      </c>
      <c r="I495" s="282">
        <v>85.769528287499995</v>
      </c>
      <c r="J495" s="282">
        <v>89.064188473333331</v>
      </c>
      <c r="K495" s="282">
        <v>88.073290441944451</v>
      </c>
      <c r="L495" s="282">
        <v>89.334671171527773</v>
      </c>
      <c r="M495" s="282">
        <v>91.920525232777777</v>
      </c>
      <c r="N495" s="282">
        <v>94.4624141986111</v>
      </c>
      <c r="O495" s="282">
        <v>96.642987016666652</v>
      </c>
      <c r="P495" s="282">
        <v>97.244609213333334</v>
      </c>
      <c r="Q495" s="282">
        <v>97.279439474791658</v>
      </c>
      <c r="R495" s="283">
        <v>96.959682529166656</v>
      </c>
      <c r="S495" s="284">
        <v>1009.7326794334026</v>
      </c>
      <c r="T495" s="284">
        <v>527.14354700083322</v>
      </c>
      <c r="U495" s="296">
        <f t="shared" si="14"/>
        <v>91.943679433402394</v>
      </c>
      <c r="V495" s="296">
        <f t="shared" si="15"/>
        <v>27.34954700083324</v>
      </c>
      <c r="W495" s="287">
        <v>87</v>
      </c>
      <c r="X495" s="280">
        <v>85</v>
      </c>
      <c r="Y495" s="280">
        <v>87</v>
      </c>
      <c r="Z495" s="280">
        <v>88</v>
      </c>
      <c r="AA495" s="280">
        <v>88</v>
      </c>
      <c r="AB495" s="280">
        <v>90</v>
      </c>
      <c r="AC495" s="280">
        <v>93</v>
      </c>
      <c r="AD495" s="280">
        <v>97</v>
      </c>
      <c r="AE495" s="280">
        <v>99</v>
      </c>
      <c r="AF495" s="280">
        <v>100</v>
      </c>
      <c r="AG495" s="280">
        <v>101</v>
      </c>
      <c r="AH495" s="280">
        <v>104</v>
      </c>
    </row>
    <row r="496" spans="1:34" s="1" customFormat="1" ht="13" x14ac:dyDescent="0.25">
      <c r="A496" s="280" t="s">
        <v>1038</v>
      </c>
      <c r="B496" s="286">
        <v>442</v>
      </c>
      <c r="C496" s="286">
        <v>727.875</v>
      </c>
      <c r="D496" s="286">
        <v>1013.7500000000001</v>
      </c>
      <c r="E496" s="286">
        <v>2</v>
      </c>
      <c r="F496" s="281">
        <v>5</v>
      </c>
      <c r="G496" s="282">
        <v>80.489678562500004</v>
      </c>
      <c r="H496" s="282">
        <v>82.981343393749995</v>
      </c>
      <c r="I496" s="282">
        <v>86.214528287500002</v>
      </c>
      <c r="J496" s="282">
        <v>89.954188473333332</v>
      </c>
      <c r="K496" s="282">
        <v>89.408290441944459</v>
      </c>
      <c r="L496" s="282">
        <v>91.182046171527773</v>
      </c>
      <c r="M496" s="282">
        <v>94.280275232777782</v>
      </c>
      <c r="N496" s="282">
        <v>97.334539198611097</v>
      </c>
      <c r="O496" s="282">
        <v>100.08376826666665</v>
      </c>
      <c r="P496" s="282">
        <v>101.25404671333334</v>
      </c>
      <c r="Q496" s="282">
        <v>101.85753322479167</v>
      </c>
      <c r="R496" s="283">
        <v>102.10643252916665</v>
      </c>
      <c r="S496" s="284">
        <v>1036.6569919334027</v>
      </c>
      <c r="T496" s="284">
        <v>534.02067200083331</v>
      </c>
      <c r="U496" s="296">
        <f t="shared" si="14"/>
        <v>118.86799193340244</v>
      </c>
      <c r="V496" s="296">
        <f t="shared" si="15"/>
        <v>34.226672000833332</v>
      </c>
      <c r="W496" s="287">
        <v>87</v>
      </c>
      <c r="X496" s="280">
        <v>85</v>
      </c>
      <c r="Y496" s="280">
        <v>88</v>
      </c>
      <c r="Z496" s="280">
        <v>90</v>
      </c>
      <c r="AA496" s="280">
        <v>91</v>
      </c>
      <c r="AB496" s="280">
        <v>94</v>
      </c>
      <c r="AC496" s="280">
        <v>98</v>
      </c>
      <c r="AD496" s="280">
        <v>103</v>
      </c>
      <c r="AE496" s="280">
        <v>106</v>
      </c>
      <c r="AF496" s="280">
        <v>108</v>
      </c>
      <c r="AG496" s="280">
        <v>110</v>
      </c>
      <c r="AH496" s="280">
        <v>114</v>
      </c>
    </row>
    <row r="497" spans="1:34" s="1" customFormat="1" ht="13" x14ac:dyDescent="0.25">
      <c r="A497" s="280" t="s">
        <v>1039</v>
      </c>
      <c r="B497" s="286">
        <v>442</v>
      </c>
      <c r="C497" s="286">
        <v>727.875</v>
      </c>
      <c r="D497" s="286">
        <v>1013.7500000000001</v>
      </c>
      <c r="E497" s="286">
        <v>3</v>
      </c>
      <c r="F497" s="281">
        <v>0</v>
      </c>
      <c r="G497" s="282">
        <v>80.489678562500004</v>
      </c>
      <c r="H497" s="282">
        <v>82.378601143750004</v>
      </c>
      <c r="I497" s="282">
        <v>83.040121412500014</v>
      </c>
      <c r="J497" s="282">
        <v>84.727593473333329</v>
      </c>
      <c r="K497" s="282">
        <v>81.949227941944443</v>
      </c>
      <c r="L497" s="282">
        <v>81.392671171527766</v>
      </c>
      <c r="M497" s="282">
        <v>82.032618982777763</v>
      </c>
      <c r="N497" s="282">
        <v>82.543289198611106</v>
      </c>
      <c r="O497" s="282">
        <v>82.35579951666665</v>
      </c>
      <c r="P497" s="282">
        <v>80.621859213333337</v>
      </c>
      <c r="Q497" s="282">
        <v>78.491751974791654</v>
      </c>
      <c r="R497" s="283">
        <v>75.840495029166661</v>
      </c>
      <c r="S497" s="284">
        <v>895.37402905840281</v>
      </c>
      <c r="T497" s="284">
        <v>495.52083412583335</v>
      </c>
      <c r="U497" s="296">
        <f t="shared" si="14"/>
        <v>-22.414970941597403</v>
      </c>
      <c r="V497" s="296">
        <f t="shared" si="15"/>
        <v>-4.2731658741666365</v>
      </c>
      <c r="W497" s="287">
        <v>87</v>
      </c>
      <c r="X497" s="280">
        <v>85</v>
      </c>
      <c r="Y497" s="280">
        <v>83</v>
      </c>
      <c r="Z497" s="280">
        <v>80</v>
      </c>
      <c r="AA497" s="280">
        <v>76</v>
      </c>
      <c r="AB497" s="280">
        <v>74</v>
      </c>
      <c r="AC497" s="280">
        <v>73</v>
      </c>
      <c r="AD497" s="280">
        <v>73</v>
      </c>
      <c r="AE497" s="280">
        <v>71</v>
      </c>
      <c r="AF497" s="280">
        <v>68</v>
      </c>
      <c r="AG497" s="280">
        <v>65</v>
      </c>
      <c r="AH497" s="280">
        <v>64</v>
      </c>
    </row>
    <row r="498" spans="1:34" s="1" customFormat="1" ht="13" x14ac:dyDescent="0.25">
      <c r="A498" s="280" t="s">
        <v>1040</v>
      </c>
      <c r="B498" s="286">
        <v>442</v>
      </c>
      <c r="C498" s="286">
        <v>727.875</v>
      </c>
      <c r="D498" s="286">
        <v>1013.7500000000001</v>
      </c>
      <c r="E498" s="286">
        <v>3</v>
      </c>
      <c r="F498" s="281">
        <v>1</v>
      </c>
      <c r="G498" s="282">
        <v>80.489678562500004</v>
      </c>
      <c r="H498" s="282">
        <v>82.378601143750004</v>
      </c>
      <c r="I498" s="282">
        <v>83.485121412500007</v>
      </c>
      <c r="J498" s="282">
        <v>85.617593473333329</v>
      </c>
      <c r="K498" s="282">
        <v>83.284227941944451</v>
      </c>
      <c r="L498" s="282">
        <v>83.240046171527766</v>
      </c>
      <c r="M498" s="282">
        <v>84.392368982777782</v>
      </c>
      <c r="N498" s="282">
        <v>85.415414198611117</v>
      </c>
      <c r="O498" s="282">
        <v>85.796580766666651</v>
      </c>
      <c r="P498" s="282">
        <v>84.631296713333327</v>
      </c>
      <c r="Q498" s="282">
        <v>83.069845724791662</v>
      </c>
      <c r="R498" s="283">
        <v>80.987245029166644</v>
      </c>
      <c r="S498" s="284">
        <v>922.29834155840274</v>
      </c>
      <c r="T498" s="284">
        <v>502.39795912583332</v>
      </c>
      <c r="U498" s="296">
        <f t="shared" si="14"/>
        <v>4.5093415584025252</v>
      </c>
      <c r="V498" s="296">
        <f t="shared" si="15"/>
        <v>2.6039591258333417</v>
      </c>
      <c r="W498" s="287">
        <v>87</v>
      </c>
      <c r="X498" s="280">
        <v>85</v>
      </c>
      <c r="Y498" s="280">
        <v>84</v>
      </c>
      <c r="Z498" s="280">
        <v>82</v>
      </c>
      <c r="AA498" s="280">
        <v>79</v>
      </c>
      <c r="AB498" s="280">
        <v>78</v>
      </c>
      <c r="AC498" s="280">
        <v>78</v>
      </c>
      <c r="AD498" s="280">
        <v>79</v>
      </c>
      <c r="AE498" s="280">
        <v>78</v>
      </c>
      <c r="AF498" s="280">
        <v>76</v>
      </c>
      <c r="AG498" s="280">
        <v>74</v>
      </c>
      <c r="AH498" s="280">
        <v>74</v>
      </c>
    </row>
    <row r="499" spans="1:34" s="1" customFormat="1" ht="13" x14ac:dyDescent="0.25">
      <c r="A499" s="280" t="s">
        <v>1041</v>
      </c>
      <c r="B499" s="286">
        <v>442</v>
      </c>
      <c r="C499" s="286">
        <v>727.875</v>
      </c>
      <c r="D499" s="286">
        <v>1013.7500000000001</v>
      </c>
      <c r="E499" s="286">
        <v>3</v>
      </c>
      <c r="F499" s="281">
        <v>2</v>
      </c>
      <c r="G499" s="282">
        <v>80.489678562500004</v>
      </c>
      <c r="H499" s="282">
        <v>82.378601143750004</v>
      </c>
      <c r="I499" s="282">
        <v>83.930121412500014</v>
      </c>
      <c r="J499" s="282">
        <v>86.50759347333333</v>
      </c>
      <c r="K499" s="282">
        <v>84.619227941944459</v>
      </c>
      <c r="L499" s="282">
        <v>85.087421171527765</v>
      </c>
      <c r="M499" s="282">
        <v>86.752118982777787</v>
      </c>
      <c r="N499" s="282">
        <v>88.2875391986111</v>
      </c>
      <c r="O499" s="282">
        <v>89.237362016666651</v>
      </c>
      <c r="P499" s="282">
        <v>88.640734213333332</v>
      </c>
      <c r="Q499" s="282">
        <v>87.64793947479167</v>
      </c>
      <c r="R499" s="283">
        <v>86.133995029166655</v>
      </c>
      <c r="S499" s="284">
        <v>949.22265405840267</v>
      </c>
      <c r="T499" s="284">
        <v>509.27508412583336</v>
      </c>
      <c r="U499" s="296">
        <f t="shared" si="14"/>
        <v>31.433654058402453</v>
      </c>
      <c r="V499" s="296">
        <f t="shared" si="15"/>
        <v>9.4810841258333767</v>
      </c>
      <c r="W499" s="287">
        <v>87</v>
      </c>
      <c r="X499" s="280">
        <v>85</v>
      </c>
      <c r="Y499" s="280">
        <v>85</v>
      </c>
      <c r="Z499" s="280">
        <v>84</v>
      </c>
      <c r="AA499" s="280">
        <v>82</v>
      </c>
      <c r="AB499" s="280">
        <v>82</v>
      </c>
      <c r="AC499" s="280">
        <v>83</v>
      </c>
      <c r="AD499" s="280">
        <v>85</v>
      </c>
      <c r="AE499" s="280">
        <v>85</v>
      </c>
      <c r="AF499" s="280">
        <v>84</v>
      </c>
      <c r="AG499" s="280">
        <v>83</v>
      </c>
      <c r="AH499" s="280">
        <v>84</v>
      </c>
    </row>
    <row r="500" spans="1:34" s="1" customFormat="1" ht="13" x14ac:dyDescent="0.25">
      <c r="A500" s="280" t="s">
        <v>1042</v>
      </c>
      <c r="B500" s="286">
        <v>442</v>
      </c>
      <c r="C500" s="286">
        <v>727.875</v>
      </c>
      <c r="D500" s="286">
        <v>1013.7500000000001</v>
      </c>
      <c r="E500" s="286">
        <v>3</v>
      </c>
      <c r="F500" s="281">
        <v>3</v>
      </c>
      <c r="G500" s="282">
        <v>80.489678562500004</v>
      </c>
      <c r="H500" s="282">
        <v>82.378601143750004</v>
      </c>
      <c r="I500" s="282">
        <v>84.375121412500008</v>
      </c>
      <c r="J500" s="282">
        <v>87.39759347333333</v>
      </c>
      <c r="K500" s="282">
        <v>85.954227941944453</v>
      </c>
      <c r="L500" s="282">
        <v>86.934796171527765</v>
      </c>
      <c r="M500" s="282">
        <v>89.111868982777779</v>
      </c>
      <c r="N500" s="282">
        <v>91.159664198611097</v>
      </c>
      <c r="O500" s="282">
        <v>92.678143266666652</v>
      </c>
      <c r="P500" s="282">
        <v>92.650171713333336</v>
      </c>
      <c r="Q500" s="282">
        <v>92.226033224791664</v>
      </c>
      <c r="R500" s="283">
        <v>91.280745029166653</v>
      </c>
      <c r="S500" s="284">
        <v>976.1469665584026</v>
      </c>
      <c r="T500" s="284">
        <v>516.15220912583334</v>
      </c>
      <c r="U500" s="296">
        <f t="shared" si="14"/>
        <v>58.357966558402381</v>
      </c>
      <c r="V500" s="296">
        <f t="shared" si="15"/>
        <v>16.358209125833355</v>
      </c>
      <c r="W500" s="287">
        <v>87</v>
      </c>
      <c r="X500" s="280">
        <v>85</v>
      </c>
      <c r="Y500" s="280">
        <v>86</v>
      </c>
      <c r="Z500" s="280">
        <v>86</v>
      </c>
      <c r="AA500" s="280">
        <v>85</v>
      </c>
      <c r="AB500" s="280">
        <v>86</v>
      </c>
      <c r="AC500" s="280">
        <v>88</v>
      </c>
      <c r="AD500" s="280">
        <v>91</v>
      </c>
      <c r="AE500" s="280">
        <v>92</v>
      </c>
      <c r="AF500" s="280">
        <v>92</v>
      </c>
      <c r="AG500" s="280">
        <v>92</v>
      </c>
      <c r="AH500" s="280">
        <v>94</v>
      </c>
    </row>
    <row r="501" spans="1:34" s="1" customFormat="1" ht="13" x14ac:dyDescent="0.25">
      <c r="A501" s="280" t="s">
        <v>1043</v>
      </c>
      <c r="B501" s="286">
        <v>442</v>
      </c>
      <c r="C501" s="286">
        <v>727.875</v>
      </c>
      <c r="D501" s="286">
        <v>1013.7500000000001</v>
      </c>
      <c r="E501" s="286">
        <v>3</v>
      </c>
      <c r="F501" s="281">
        <v>4</v>
      </c>
      <c r="G501" s="282">
        <v>80.489678562500004</v>
      </c>
      <c r="H501" s="282">
        <v>82.378601143750004</v>
      </c>
      <c r="I501" s="282">
        <v>84.820121412500015</v>
      </c>
      <c r="J501" s="282">
        <v>88.287593473333331</v>
      </c>
      <c r="K501" s="282">
        <v>87.289227941944461</v>
      </c>
      <c r="L501" s="282">
        <v>88.782171171527764</v>
      </c>
      <c r="M501" s="282">
        <v>91.471618982777784</v>
      </c>
      <c r="N501" s="282">
        <v>94.031789198611094</v>
      </c>
      <c r="O501" s="282">
        <v>96.118924516666652</v>
      </c>
      <c r="P501" s="282">
        <v>96.659609213333326</v>
      </c>
      <c r="Q501" s="282">
        <v>96.804126974791657</v>
      </c>
      <c r="R501" s="283">
        <v>96.427495029166664</v>
      </c>
      <c r="S501" s="284">
        <v>1003.0712790584028</v>
      </c>
      <c r="T501" s="284">
        <v>523.02933412583332</v>
      </c>
      <c r="U501" s="296">
        <f t="shared" si="14"/>
        <v>85.282279058402537</v>
      </c>
      <c r="V501" s="296">
        <f t="shared" si="15"/>
        <v>23.235334125833333</v>
      </c>
      <c r="W501" s="287">
        <v>87</v>
      </c>
      <c r="X501" s="280">
        <v>85</v>
      </c>
      <c r="Y501" s="280">
        <v>87</v>
      </c>
      <c r="Z501" s="280">
        <v>88</v>
      </c>
      <c r="AA501" s="280">
        <v>88</v>
      </c>
      <c r="AB501" s="280">
        <v>90</v>
      </c>
      <c r="AC501" s="280">
        <v>93</v>
      </c>
      <c r="AD501" s="280">
        <v>97</v>
      </c>
      <c r="AE501" s="280">
        <v>99</v>
      </c>
      <c r="AF501" s="280">
        <v>100</v>
      </c>
      <c r="AG501" s="280">
        <v>101</v>
      </c>
      <c r="AH501" s="280">
        <v>104</v>
      </c>
    </row>
    <row r="502" spans="1:34" s="1" customFormat="1" ht="13" x14ac:dyDescent="0.25">
      <c r="A502" s="280" t="s">
        <v>1044</v>
      </c>
      <c r="B502" s="286">
        <v>442</v>
      </c>
      <c r="C502" s="286">
        <v>727.875</v>
      </c>
      <c r="D502" s="286">
        <v>1013.7500000000001</v>
      </c>
      <c r="E502" s="286">
        <v>3</v>
      </c>
      <c r="F502" s="281">
        <v>5</v>
      </c>
      <c r="G502" s="282">
        <v>80.489678562500004</v>
      </c>
      <c r="H502" s="282">
        <v>82.378601143750004</v>
      </c>
      <c r="I502" s="282">
        <v>85.265121412500008</v>
      </c>
      <c r="J502" s="282">
        <v>89.177593473333332</v>
      </c>
      <c r="K502" s="282">
        <v>88.624227941944454</v>
      </c>
      <c r="L502" s="282">
        <v>90.629546171527764</v>
      </c>
      <c r="M502" s="282">
        <v>93.831368982777789</v>
      </c>
      <c r="N502" s="282">
        <v>96.903914198611105</v>
      </c>
      <c r="O502" s="282">
        <v>99.559705766666653</v>
      </c>
      <c r="P502" s="282">
        <v>100.66904671333333</v>
      </c>
      <c r="Q502" s="282">
        <v>101.38222072479167</v>
      </c>
      <c r="R502" s="283">
        <v>101.57424502916666</v>
      </c>
      <c r="S502" s="284">
        <v>1029.9955915584028</v>
      </c>
      <c r="T502" s="284">
        <v>529.90645912583329</v>
      </c>
      <c r="U502" s="296">
        <f t="shared" si="14"/>
        <v>112.20659155840258</v>
      </c>
      <c r="V502" s="296">
        <f t="shared" si="15"/>
        <v>30.112459125833311</v>
      </c>
      <c r="W502" s="287">
        <v>87</v>
      </c>
      <c r="X502" s="280">
        <v>85</v>
      </c>
      <c r="Y502" s="280">
        <v>88</v>
      </c>
      <c r="Z502" s="280">
        <v>90</v>
      </c>
      <c r="AA502" s="280">
        <v>91</v>
      </c>
      <c r="AB502" s="280">
        <v>94</v>
      </c>
      <c r="AC502" s="280">
        <v>98</v>
      </c>
      <c r="AD502" s="280">
        <v>103</v>
      </c>
      <c r="AE502" s="280">
        <v>106</v>
      </c>
      <c r="AF502" s="280">
        <v>108</v>
      </c>
      <c r="AG502" s="280">
        <v>110</v>
      </c>
      <c r="AH502" s="280">
        <v>114</v>
      </c>
    </row>
    <row r="503" spans="1:34" s="1" customFormat="1" ht="13" x14ac:dyDescent="0.25">
      <c r="A503" s="280" t="s">
        <v>1045</v>
      </c>
      <c r="B503" s="286">
        <v>442</v>
      </c>
      <c r="C503" s="286">
        <v>727.875</v>
      </c>
      <c r="D503" s="286">
        <v>1013.7500000000001</v>
      </c>
      <c r="E503" s="286">
        <v>4</v>
      </c>
      <c r="F503" s="281">
        <v>0</v>
      </c>
      <c r="G503" s="282">
        <v>80.489678562500004</v>
      </c>
      <c r="H503" s="282">
        <v>82.057663643750004</v>
      </c>
      <c r="I503" s="282">
        <v>82.477706775000001</v>
      </c>
      <c r="J503" s="282">
        <v>83.975811973333322</v>
      </c>
      <c r="K503" s="282">
        <v>81.226573191944439</v>
      </c>
      <c r="L503" s="282">
        <v>80.775146838194431</v>
      </c>
      <c r="M503" s="282">
        <v>81.540040857777768</v>
      </c>
      <c r="N503" s="282">
        <v>82.145164198611099</v>
      </c>
      <c r="O503" s="282">
        <v>81.88658076666664</v>
      </c>
      <c r="P503" s="282">
        <v>80.097796713333338</v>
      </c>
      <c r="Q503" s="282">
        <v>77.931126974791653</v>
      </c>
      <c r="R503" s="283">
        <v>75.342838779166655</v>
      </c>
      <c r="S503" s="284">
        <v>889.45645071256922</v>
      </c>
      <c r="T503" s="284">
        <v>492.05294327999991</v>
      </c>
      <c r="U503" s="296">
        <f t="shared" si="14"/>
        <v>-28.332549287430993</v>
      </c>
      <c r="V503" s="296">
        <f t="shared" si="15"/>
        <v>-7.7410567200000742</v>
      </c>
      <c r="W503" s="287">
        <v>87</v>
      </c>
      <c r="X503" s="280">
        <v>85</v>
      </c>
      <c r="Y503" s="280">
        <v>83</v>
      </c>
      <c r="Z503" s="280">
        <v>80</v>
      </c>
      <c r="AA503" s="280">
        <v>76</v>
      </c>
      <c r="AB503" s="280">
        <v>74</v>
      </c>
      <c r="AC503" s="280">
        <v>73</v>
      </c>
      <c r="AD503" s="280">
        <v>73</v>
      </c>
      <c r="AE503" s="280">
        <v>71</v>
      </c>
      <c r="AF503" s="280">
        <v>68</v>
      </c>
      <c r="AG503" s="280">
        <v>65</v>
      </c>
      <c r="AH503" s="280">
        <v>64</v>
      </c>
    </row>
    <row r="504" spans="1:34" s="1" customFormat="1" ht="13" x14ac:dyDescent="0.25">
      <c r="A504" s="280" t="s">
        <v>1046</v>
      </c>
      <c r="B504" s="286">
        <v>442</v>
      </c>
      <c r="C504" s="286">
        <v>727.875</v>
      </c>
      <c r="D504" s="286">
        <v>1013.7500000000001</v>
      </c>
      <c r="E504" s="286">
        <v>4</v>
      </c>
      <c r="F504" s="281">
        <v>1</v>
      </c>
      <c r="G504" s="282">
        <v>80.489678562500004</v>
      </c>
      <c r="H504" s="282">
        <v>82.057663643750004</v>
      </c>
      <c r="I504" s="282">
        <v>82.922706774999995</v>
      </c>
      <c r="J504" s="282">
        <v>84.865811973333336</v>
      </c>
      <c r="K504" s="282">
        <v>82.561573191944433</v>
      </c>
      <c r="L504" s="282">
        <v>82.62252183819443</v>
      </c>
      <c r="M504" s="282">
        <v>83.899790857777788</v>
      </c>
      <c r="N504" s="282">
        <v>85.01728919861111</v>
      </c>
      <c r="O504" s="282">
        <v>85.327362016666655</v>
      </c>
      <c r="P504" s="282">
        <v>84.107234213333328</v>
      </c>
      <c r="Q504" s="282">
        <v>82.50922072479166</v>
      </c>
      <c r="R504" s="283">
        <v>80.489588779166652</v>
      </c>
      <c r="S504" s="284">
        <v>916.38076321256949</v>
      </c>
      <c r="T504" s="284">
        <v>498.93006828</v>
      </c>
      <c r="U504" s="296">
        <f t="shared" si="14"/>
        <v>-1.4082367874307238</v>
      </c>
      <c r="V504" s="296">
        <f t="shared" si="15"/>
        <v>-0.86393171999998231</v>
      </c>
      <c r="W504" s="287">
        <v>87</v>
      </c>
      <c r="X504" s="280">
        <v>85</v>
      </c>
      <c r="Y504" s="280">
        <v>84</v>
      </c>
      <c r="Z504" s="280">
        <v>82</v>
      </c>
      <c r="AA504" s="280">
        <v>79</v>
      </c>
      <c r="AB504" s="280">
        <v>78</v>
      </c>
      <c r="AC504" s="280">
        <v>78</v>
      </c>
      <c r="AD504" s="280">
        <v>79</v>
      </c>
      <c r="AE504" s="280">
        <v>78</v>
      </c>
      <c r="AF504" s="280">
        <v>76</v>
      </c>
      <c r="AG504" s="280">
        <v>74</v>
      </c>
      <c r="AH504" s="280">
        <v>74</v>
      </c>
    </row>
    <row r="505" spans="1:34" s="1" customFormat="1" ht="13" x14ac:dyDescent="0.25">
      <c r="A505" s="280" t="s">
        <v>1047</v>
      </c>
      <c r="B505" s="286">
        <v>442</v>
      </c>
      <c r="C505" s="286">
        <v>727.875</v>
      </c>
      <c r="D505" s="286">
        <v>1013.7500000000001</v>
      </c>
      <c r="E505" s="286">
        <v>4</v>
      </c>
      <c r="F505" s="281">
        <v>2</v>
      </c>
      <c r="G505" s="282">
        <v>80.489678562500004</v>
      </c>
      <c r="H505" s="282">
        <v>82.057663643750004</v>
      </c>
      <c r="I505" s="282">
        <v>83.367706775000002</v>
      </c>
      <c r="J505" s="282">
        <v>85.755811973333323</v>
      </c>
      <c r="K505" s="282">
        <v>83.896573191944455</v>
      </c>
      <c r="L505" s="282">
        <v>84.46989683819443</v>
      </c>
      <c r="M505" s="282">
        <v>86.259540857777779</v>
      </c>
      <c r="N505" s="282">
        <v>87.889414198611092</v>
      </c>
      <c r="O505" s="282">
        <v>88.768143266666655</v>
      </c>
      <c r="P505" s="282">
        <v>88.116671713333332</v>
      </c>
      <c r="Q505" s="282">
        <v>87.087314474791668</v>
      </c>
      <c r="R505" s="283">
        <v>85.636338779166664</v>
      </c>
      <c r="S505" s="284">
        <v>943.30507571256942</v>
      </c>
      <c r="T505" s="284">
        <v>505.80719327999998</v>
      </c>
      <c r="U505" s="296">
        <f t="shared" si="14"/>
        <v>25.516075712569204</v>
      </c>
      <c r="V505" s="296">
        <f t="shared" si="15"/>
        <v>6.0131932799999959</v>
      </c>
      <c r="W505" s="287">
        <v>87</v>
      </c>
      <c r="X505" s="280">
        <v>85</v>
      </c>
      <c r="Y505" s="280">
        <v>85</v>
      </c>
      <c r="Z505" s="280">
        <v>84</v>
      </c>
      <c r="AA505" s="280">
        <v>82</v>
      </c>
      <c r="AB505" s="280">
        <v>82</v>
      </c>
      <c r="AC505" s="280">
        <v>83</v>
      </c>
      <c r="AD505" s="280">
        <v>85</v>
      </c>
      <c r="AE505" s="280">
        <v>85</v>
      </c>
      <c r="AF505" s="280">
        <v>84</v>
      </c>
      <c r="AG505" s="280">
        <v>83</v>
      </c>
      <c r="AH505" s="280">
        <v>84</v>
      </c>
    </row>
    <row r="506" spans="1:34" s="1" customFormat="1" ht="13" x14ac:dyDescent="0.25">
      <c r="A506" s="280" t="s">
        <v>1048</v>
      </c>
      <c r="B506" s="286">
        <v>442</v>
      </c>
      <c r="C506" s="286">
        <v>727.875</v>
      </c>
      <c r="D506" s="286">
        <v>1013.7500000000001</v>
      </c>
      <c r="E506" s="286">
        <v>4</v>
      </c>
      <c r="F506" s="281">
        <v>3</v>
      </c>
      <c r="G506" s="282">
        <v>80.489678562500004</v>
      </c>
      <c r="H506" s="282">
        <v>82.057663643750004</v>
      </c>
      <c r="I506" s="282">
        <v>83.812706774999995</v>
      </c>
      <c r="J506" s="282">
        <v>86.645811973333323</v>
      </c>
      <c r="K506" s="282">
        <v>85.231573191944449</v>
      </c>
      <c r="L506" s="282">
        <v>86.317271838194429</v>
      </c>
      <c r="M506" s="282">
        <v>88.619290857777784</v>
      </c>
      <c r="N506" s="282">
        <v>90.761539198611104</v>
      </c>
      <c r="O506" s="282">
        <v>92.208924516666656</v>
      </c>
      <c r="P506" s="282">
        <v>92.126109213333336</v>
      </c>
      <c r="Q506" s="282">
        <v>91.665408224791662</v>
      </c>
      <c r="R506" s="283">
        <v>90.783088779166661</v>
      </c>
      <c r="S506" s="284">
        <v>970.22938821256946</v>
      </c>
      <c r="T506" s="284">
        <v>512.68431827999996</v>
      </c>
      <c r="U506" s="296">
        <f t="shared" si="14"/>
        <v>52.440388212569246</v>
      </c>
      <c r="V506" s="296">
        <f t="shared" si="15"/>
        <v>12.890318279999974</v>
      </c>
      <c r="W506" s="287">
        <v>87</v>
      </c>
      <c r="X506" s="280">
        <v>85</v>
      </c>
      <c r="Y506" s="280">
        <v>86</v>
      </c>
      <c r="Z506" s="280">
        <v>86</v>
      </c>
      <c r="AA506" s="280">
        <v>85</v>
      </c>
      <c r="AB506" s="280">
        <v>86</v>
      </c>
      <c r="AC506" s="280">
        <v>88</v>
      </c>
      <c r="AD506" s="280">
        <v>91</v>
      </c>
      <c r="AE506" s="280">
        <v>92</v>
      </c>
      <c r="AF506" s="280">
        <v>92</v>
      </c>
      <c r="AG506" s="280">
        <v>92</v>
      </c>
      <c r="AH506" s="280">
        <v>94</v>
      </c>
    </row>
    <row r="507" spans="1:34" s="1" customFormat="1" ht="13" x14ac:dyDescent="0.25">
      <c r="A507" s="280" t="s">
        <v>1049</v>
      </c>
      <c r="B507" s="286">
        <v>442</v>
      </c>
      <c r="C507" s="286">
        <v>727.875</v>
      </c>
      <c r="D507" s="286">
        <v>1013.7500000000001</v>
      </c>
      <c r="E507" s="286">
        <v>4</v>
      </c>
      <c r="F507" s="281">
        <v>4</v>
      </c>
      <c r="G507" s="282">
        <v>80.489678562500004</v>
      </c>
      <c r="H507" s="282">
        <v>82.057663643750004</v>
      </c>
      <c r="I507" s="282">
        <v>84.257706775000003</v>
      </c>
      <c r="J507" s="282">
        <v>87.535811973333324</v>
      </c>
      <c r="K507" s="282">
        <v>86.566573191944457</v>
      </c>
      <c r="L507" s="282">
        <v>88.164646838194429</v>
      </c>
      <c r="M507" s="282">
        <v>90.97904085777779</v>
      </c>
      <c r="N507" s="282">
        <v>93.6336641986111</v>
      </c>
      <c r="O507" s="282">
        <v>95.649705766666656</v>
      </c>
      <c r="P507" s="282">
        <v>96.135546713333326</v>
      </c>
      <c r="Q507" s="282">
        <v>96.24350197479167</v>
      </c>
      <c r="R507" s="283">
        <v>95.929838779166658</v>
      </c>
      <c r="S507" s="284">
        <v>997.15370071256928</v>
      </c>
      <c r="T507" s="284">
        <v>519.56144327999993</v>
      </c>
      <c r="U507" s="296">
        <f t="shared" si="14"/>
        <v>79.364700712569061</v>
      </c>
      <c r="V507" s="296">
        <f t="shared" si="15"/>
        <v>19.767443279999952</v>
      </c>
      <c r="W507" s="287">
        <v>87</v>
      </c>
      <c r="X507" s="280">
        <v>85</v>
      </c>
      <c r="Y507" s="280">
        <v>87</v>
      </c>
      <c r="Z507" s="280">
        <v>88</v>
      </c>
      <c r="AA507" s="280">
        <v>88</v>
      </c>
      <c r="AB507" s="280">
        <v>90</v>
      </c>
      <c r="AC507" s="280">
        <v>93</v>
      </c>
      <c r="AD507" s="280">
        <v>97</v>
      </c>
      <c r="AE507" s="280">
        <v>99</v>
      </c>
      <c r="AF507" s="280">
        <v>100</v>
      </c>
      <c r="AG507" s="280">
        <v>101</v>
      </c>
      <c r="AH507" s="280">
        <v>104</v>
      </c>
    </row>
    <row r="508" spans="1:34" s="1" customFormat="1" ht="13" x14ac:dyDescent="0.25">
      <c r="A508" s="280" t="s">
        <v>1050</v>
      </c>
      <c r="B508" s="286">
        <v>442</v>
      </c>
      <c r="C508" s="286">
        <v>727.875</v>
      </c>
      <c r="D508" s="286">
        <v>1013.7500000000001</v>
      </c>
      <c r="E508" s="286">
        <v>4</v>
      </c>
      <c r="F508" s="281">
        <v>5</v>
      </c>
      <c r="G508" s="282">
        <v>80.489678562500004</v>
      </c>
      <c r="H508" s="282">
        <v>82.057663643750004</v>
      </c>
      <c r="I508" s="282">
        <v>84.702706774999996</v>
      </c>
      <c r="J508" s="282">
        <v>88.425811973333325</v>
      </c>
      <c r="K508" s="282">
        <v>87.901573191944451</v>
      </c>
      <c r="L508" s="282">
        <v>90.012021838194428</v>
      </c>
      <c r="M508" s="282">
        <v>93.338790857777781</v>
      </c>
      <c r="N508" s="282">
        <v>96.505789198611097</v>
      </c>
      <c r="O508" s="282">
        <v>99.090487016666657</v>
      </c>
      <c r="P508" s="282">
        <v>100.14498421333333</v>
      </c>
      <c r="Q508" s="282">
        <v>100.82159572479166</v>
      </c>
      <c r="R508" s="283">
        <v>101.07658877916666</v>
      </c>
      <c r="S508" s="284">
        <v>1024.0780132125694</v>
      </c>
      <c r="T508" s="284">
        <v>526.43856828000003</v>
      </c>
      <c r="U508" s="296">
        <f t="shared" si="14"/>
        <v>106.28901321256922</v>
      </c>
      <c r="V508" s="296">
        <f t="shared" si="15"/>
        <v>26.644568280000044</v>
      </c>
      <c r="W508" s="287">
        <v>87</v>
      </c>
      <c r="X508" s="280">
        <v>85</v>
      </c>
      <c r="Y508" s="280">
        <v>88</v>
      </c>
      <c r="Z508" s="280">
        <v>90</v>
      </c>
      <c r="AA508" s="280">
        <v>91</v>
      </c>
      <c r="AB508" s="280">
        <v>94</v>
      </c>
      <c r="AC508" s="280">
        <v>98</v>
      </c>
      <c r="AD508" s="280">
        <v>103</v>
      </c>
      <c r="AE508" s="280">
        <v>106</v>
      </c>
      <c r="AF508" s="280">
        <v>108</v>
      </c>
      <c r="AG508" s="280">
        <v>110</v>
      </c>
      <c r="AH508" s="280">
        <v>114</v>
      </c>
    </row>
    <row r="509" spans="1:34" s="1" customFormat="1" ht="13" x14ac:dyDescent="0.25">
      <c r="A509" s="280" t="s">
        <v>1051</v>
      </c>
      <c r="B509" s="286">
        <v>442</v>
      </c>
      <c r="C509" s="286">
        <v>727.875</v>
      </c>
      <c r="D509" s="286">
        <v>1013.7500000000001</v>
      </c>
      <c r="E509" s="286">
        <v>5</v>
      </c>
      <c r="F509" s="281">
        <v>0</v>
      </c>
      <c r="G509" s="282">
        <v>80.489678562500004</v>
      </c>
      <c r="H509" s="282">
        <v>81.848487693750002</v>
      </c>
      <c r="I509" s="282">
        <v>82.097152087499992</v>
      </c>
      <c r="J509" s="282">
        <v>83.46536047333332</v>
      </c>
      <c r="K509" s="282">
        <v>80.542229191944443</v>
      </c>
      <c r="L509" s="282">
        <v>80.165114338194428</v>
      </c>
      <c r="M509" s="282">
        <v>81.048563732777765</v>
      </c>
      <c r="N509" s="282">
        <v>81.691789198611104</v>
      </c>
      <c r="O509" s="282">
        <v>81.458799516666645</v>
      </c>
      <c r="P509" s="282">
        <v>79.617609213333338</v>
      </c>
      <c r="Q509" s="282">
        <v>77.409501974791652</v>
      </c>
      <c r="R509" s="283">
        <v>74.785870029166659</v>
      </c>
      <c r="S509" s="284">
        <v>884.13047745006941</v>
      </c>
      <c r="T509" s="284">
        <v>489.16690751749996</v>
      </c>
      <c r="U509" s="296">
        <f t="shared" si="14"/>
        <v>-33.658522549930808</v>
      </c>
      <c r="V509" s="296">
        <f t="shared" si="15"/>
        <v>-10.627092482500018</v>
      </c>
      <c r="W509" s="287">
        <v>87</v>
      </c>
      <c r="X509" s="280">
        <v>85</v>
      </c>
      <c r="Y509" s="280">
        <v>83</v>
      </c>
      <c r="Z509" s="280">
        <v>80</v>
      </c>
      <c r="AA509" s="280">
        <v>76</v>
      </c>
      <c r="AB509" s="280">
        <v>74</v>
      </c>
      <c r="AC509" s="280">
        <v>73</v>
      </c>
      <c r="AD509" s="280">
        <v>73</v>
      </c>
      <c r="AE509" s="280">
        <v>71</v>
      </c>
      <c r="AF509" s="280">
        <v>68</v>
      </c>
      <c r="AG509" s="280">
        <v>65</v>
      </c>
      <c r="AH509" s="280">
        <v>64</v>
      </c>
    </row>
    <row r="510" spans="1:34" s="1" customFormat="1" ht="13" x14ac:dyDescent="0.25">
      <c r="A510" s="280" t="s">
        <v>1052</v>
      </c>
      <c r="B510" s="286">
        <v>442</v>
      </c>
      <c r="C510" s="286">
        <v>727.875</v>
      </c>
      <c r="D510" s="286">
        <v>1013.7500000000001</v>
      </c>
      <c r="E510" s="286">
        <v>5</v>
      </c>
      <c r="F510" s="281">
        <v>1</v>
      </c>
      <c r="G510" s="282">
        <v>80.489678562500004</v>
      </c>
      <c r="H510" s="282">
        <v>81.848487693750002</v>
      </c>
      <c r="I510" s="282">
        <v>82.5421520875</v>
      </c>
      <c r="J510" s="282">
        <v>84.355360473333334</v>
      </c>
      <c r="K510" s="282">
        <v>81.877229191944437</v>
      </c>
      <c r="L510" s="282">
        <v>82.012489338194428</v>
      </c>
      <c r="M510" s="282">
        <v>83.408313732777785</v>
      </c>
      <c r="N510" s="282">
        <v>84.563914198611116</v>
      </c>
      <c r="O510" s="282">
        <v>84.899580766666659</v>
      </c>
      <c r="P510" s="282">
        <v>83.627046713333328</v>
      </c>
      <c r="Q510" s="282">
        <v>81.98759572479166</v>
      </c>
      <c r="R510" s="283">
        <v>79.932620029166657</v>
      </c>
      <c r="S510" s="284">
        <v>911.05478995006933</v>
      </c>
      <c r="T510" s="284">
        <v>496.0440325175</v>
      </c>
      <c r="U510" s="296">
        <f t="shared" si="14"/>
        <v>-6.7342100499308799</v>
      </c>
      <c r="V510" s="296">
        <f t="shared" si="15"/>
        <v>-3.7499674824999829</v>
      </c>
      <c r="W510" s="287">
        <v>87</v>
      </c>
      <c r="X510" s="280">
        <v>85</v>
      </c>
      <c r="Y510" s="280">
        <v>84</v>
      </c>
      <c r="Z510" s="280">
        <v>82</v>
      </c>
      <c r="AA510" s="280">
        <v>79</v>
      </c>
      <c r="AB510" s="280">
        <v>78</v>
      </c>
      <c r="AC510" s="280">
        <v>78</v>
      </c>
      <c r="AD510" s="280">
        <v>79</v>
      </c>
      <c r="AE510" s="280">
        <v>78</v>
      </c>
      <c r="AF510" s="280">
        <v>76</v>
      </c>
      <c r="AG510" s="280">
        <v>74</v>
      </c>
      <c r="AH510" s="280">
        <v>74</v>
      </c>
    </row>
    <row r="511" spans="1:34" s="1" customFormat="1" ht="13" x14ac:dyDescent="0.25">
      <c r="A511" s="280" t="s">
        <v>1053</v>
      </c>
      <c r="B511" s="286">
        <v>442</v>
      </c>
      <c r="C511" s="286">
        <v>727.875</v>
      </c>
      <c r="D511" s="286">
        <v>1013.7500000000001</v>
      </c>
      <c r="E511" s="286">
        <v>5</v>
      </c>
      <c r="F511" s="281">
        <v>2</v>
      </c>
      <c r="G511" s="282">
        <v>80.489678562500004</v>
      </c>
      <c r="H511" s="282">
        <v>81.848487693750002</v>
      </c>
      <c r="I511" s="282">
        <v>82.987152087499993</v>
      </c>
      <c r="J511" s="282">
        <v>85.245360473333335</v>
      </c>
      <c r="K511" s="282">
        <v>83.212229191944459</v>
      </c>
      <c r="L511" s="282">
        <v>83.859864338194427</v>
      </c>
      <c r="M511" s="282">
        <v>85.768063732777776</v>
      </c>
      <c r="N511" s="282">
        <v>87.436039198611113</v>
      </c>
      <c r="O511" s="282">
        <v>88.34036201666666</v>
      </c>
      <c r="P511" s="282">
        <v>87.636484213333333</v>
      </c>
      <c r="Q511" s="282">
        <v>86.565689474791668</v>
      </c>
      <c r="R511" s="283">
        <v>85.079370029166654</v>
      </c>
      <c r="S511" s="284">
        <v>937.97910245006926</v>
      </c>
      <c r="T511" s="284">
        <v>502.92115751749998</v>
      </c>
      <c r="U511" s="296">
        <f t="shared" si="14"/>
        <v>20.190102450069048</v>
      </c>
      <c r="V511" s="296">
        <f t="shared" si="15"/>
        <v>3.1271575174999953</v>
      </c>
      <c r="W511" s="287">
        <v>87</v>
      </c>
      <c r="X511" s="280">
        <v>85</v>
      </c>
      <c r="Y511" s="280">
        <v>85</v>
      </c>
      <c r="Z511" s="280">
        <v>84</v>
      </c>
      <c r="AA511" s="280">
        <v>82</v>
      </c>
      <c r="AB511" s="280">
        <v>82</v>
      </c>
      <c r="AC511" s="280">
        <v>83</v>
      </c>
      <c r="AD511" s="280">
        <v>85</v>
      </c>
      <c r="AE511" s="280">
        <v>85</v>
      </c>
      <c r="AF511" s="280">
        <v>84</v>
      </c>
      <c r="AG511" s="280">
        <v>83</v>
      </c>
      <c r="AH511" s="280">
        <v>84</v>
      </c>
    </row>
    <row r="512" spans="1:34" s="1" customFormat="1" ht="13" x14ac:dyDescent="0.25">
      <c r="A512" s="280" t="s">
        <v>1054</v>
      </c>
      <c r="B512" s="286">
        <v>442</v>
      </c>
      <c r="C512" s="286">
        <v>727.875</v>
      </c>
      <c r="D512" s="286">
        <v>1013.7500000000001</v>
      </c>
      <c r="E512" s="286">
        <v>5</v>
      </c>
      <c r="F512" s="281">
        <v>3</v>
      </c>
      <c r="G512" s="282">
        <v>80.489678562500004</v>
      </c>
      <c r="H512" s="282">
        <v>81.848487693750002</v>
      </c>
      <c r="I512" s="282">
        <v>83.4321520875</v>
      </c>
      <c r="J512" s="282">
        <v>86.135360473333336</v>
      </c>
      <c r="K512" s="282">
        <v>84.547229191944453</v>
      </c>
      <c r="L512" s="282">
        <v>85.707239338194427</v>
      </c>
      <c r="M512" s="282">
        <v>88.127813732777781</v>
      </c>
      <c r="N512" s="282">
        <v>90.308164198611095</v>
      </c>
      <c r="O512" s="282">
        <v>91.78114326666666</v>
      </c>
      <c r="P512" s="282">
        <v>91.645921713333337</v>
      </c>
      <c r="Q512" s="282">
        <v>91.143783224791662</v>
      </c>
      <c r="R512" s="283">
        <v>90.226120029166665</v>
      </c>
      <c r="S512" s="284">
        <v>964.90341495006919</v>
      </c>
      <c r="T512" s="284">
        <v>509.79828251749996</v>
      </c>
      <c r="U512" s="296">
        <f t="shared" si="14"/>
        <v>47.114414950068976</v>
      </c>
      <c r="V512" s="296">
        <f t="shared" si="15"/>
        <v>10.004282517499973</v>
      </c>
      <c r="W512" s="287">
        <v>87</v>
      </c>
      <c r="X512" s="280">
        <v>85</v>
      </c>
      <c r="Y512" s="280">
        <v>86</v>
      </c>
      <c r="Z512" s="280">
        <v>86</v>
      </c>
      <c r="AA512" s="280">
        <v>85</v>
      </c>
      <c r="AB512" s="280">
        <v>86</v>
      </c>
      <c r="AC512" s="280">
        <v>88</v>
      </c>
      <c r="AD512" s="280">
        <v>91</v>
      </c>
      <c r="AE512" s="280">
        <v>92</v>
      </c>
      <c r="AF512" s="280">
        <v>92</v>
      </c>
      <c r="AG512" s="280">
        <v>92</v>
      </c>
      <c r="AH512" s="280">
        <v>94</v>
      </c>
    </row>
    <row r="513" spans="1:34" s="1" customFormat="1" ht="13" x14ac:dyDescent="0.25">
      <c r="A513" s="280" t="s">
        <v>1055</v>
      </c>
      <c r="B513" s="286">
        <v>442</v>
      </c>
      <c r="C513" s="286">
        <v>727.875</v>
      </c>
      <c r="D513" s="286">
        <v>1013.7500000000001</v>
      </c>
      <c r="E513" s="286">
        <v>5</v>
      </c>
      <c r="F513" s="281">
        <v>4</v>
      </c>
      <c r="G513" s="282">
        <v>80.489678562500004</v>
      </c>
      <c r="H513" s="282">
        <v>81.848487693750002</v>
      </c>
      <c r="I513" s="282">
        <v>83.877152087499994</v>
      </c>
      <c r="J513" s="282">
        <v>87.025360473333336</v>
      </c>
      <c r="K513" s="282">
        <v>85.882229191944461</v>
      </c>
      <c r="L513" s="282">
        <v>87.554614338194426</v>
      </c>
      <c r="M513" s="282">
        <v>90.487563732777772</v>
      </c>
      <c r="N513" s="282">
        <v>93.180289198611092</v>
      </c>
      <c r="O513" s="282">
        <v>95.221924516666661</v>
      </c>
      <c r="P513" s="282">
        <v>95.655359213333327</v>
      </c>
      <c r="Q513" s="282">
        <v>95.72187697479167</v>
      </c>
      <c r="R513" s="283">
        <v>95.372870029166663</v>
      </c>
      <c r="S513" s="284">
        <v>991.82772745006923</v>
      </c>
      <c r="T513" s="284">
        <v>516.67540751749993</v>
      </c>
      <c r="U513" s="296">
        <f t="shared" si="14"/>
        <v>74.038727450069018</v>
      </c>
      <c r="V513" s="296">
        <f t="shared" si="15"/>
        <v>16.881407517499952</v>
      </c>
      <c r="W513" s="287">
        <v>87</v>
      </c>
      <c r="X513" s="280">
        <v>85</v>
      </c>
      <c r="Y513" s="280">
        <v>87</v>
      </c>
      <c r="Z513" s="280">
        <v>88</v>
      </c>
      <c r="AA513" s="280">
        <v>88</v>
      </c>
      <c r="AB513" s="280">
        <v>90</v>
      </c>
      <c r="AC513" s="280">
        <v>93</v>
      </c>
      <c r="AD513" s="280">
        <v>97</v>
      </c>
      <c r="AE513" s="280">
        <v>99</v>
      </c>
      <c r="AF513" s="280">
        <v>100</v>
      </c>
      <c r="AG513" s="280">
        <v>101</v>
      </c>
      <c r="AH513" s="280">
        <v>104</v>
      </c>
    </row>
    <row r="514" spans="1:34" s="1" customFormat="1" ht="13" x14ac:dyDescent="0.25">
      <c r="A514" s="280" t="s">
        <v>1056</v>
      </c>
      <c r="B514" s="286">
        <v>442</v>
      </c>
      <c r="C514" s="286">
        <v>727.875</v>
      </c>
      <c r="D514" s="286">
        <v>1013.7500000000001</v>
      </c>
      <c r="E514" s="286">
        <v>5</v>
      </c>
      <c r="F514" s="281">
        <v>5</v>
      </c>
      <c r="G514" s="282">
        <v>80.489678562500004</v>
      </c>
      <c r="H514" s="282">
        <v>81.848487693750002</v>
      </c>
      <c r="I514" s="282">
        <v>84.322152087500001</v>
      </c>
      <c r="J514" s="282">
        <v>87.915360473333337</v>
      </c>
      <c r="K514" s="282">
        <v>87.217229191944455</v>
      </c>
      <c r="L514" s="282">
        <v>89.401989338194426</v>
      </c>
      <c r="M514" s="282">
        <v>92.847313732777778</v>
      </c>
      <c r="N514" s="282">
        <v>96.052414198611103</v>
      </c>
      <c r="O514" s="282">
        <v>98.662705766666662</v>
      </c>
      <c r="P514" s="282">
        <v>99.664796713333331</v>
      </c>
      <c r="Q514" s="282">
        <v>100.29997072479166</v>
      </c>
      <c r="R514" s="283">
        <v>100.51962002916666</v>
      </c>
      <c r="S514" s="284">
        <v>1018.7520399500695</v>
      </c>
      <c r="T514" s="284">
        <v>523.55253251750003</v>
      </c>
      <c r="U514" s="296">
        <f t="shared" si="14"/>
        <v>100.96303995006929</v>
      </c>
      <c r="V514" s="296">
        <f t="shared" si="15"/>
        <v>23.758532517500043</v>
      </c>
      <c r="W514" s="287">
        <v>87</v>
      </c>
      <c r="X514" s="280">
        <v>85</v>
      </c>
      <c r="Y514" s="280">
        <v>88</v>
      </c>
      <c r="Z514" s="280">
        <v>90</v>
      </c>
      <c r="AA514" s="280">
        <v>91</v>
      </c>
      <c r="AB514" s="280">
        <v>94</v>
      </c>
      <c r="AC514" s="280">
        <v>98</v>
      </c>
      <c r="AD514" s="280">
        <v>103</v>
      </c>
      <c r="AE514" s="280">
        <v>106</v>
      </c>
      <c r="AF514" s="280">
        <v>108</v>
      </c>
      <c r="AG514" s="280">
        <v>110</v>
      </c>
      <c r="AH514" s="280">
        <v>114</v>
      </c>
    </row>
    <row r="515" spans="1:34" s="1" customFormat="1" ht="13" x14ac:dyDescent="0.25">
      <c r="A515" s="280" t="s">
        <v>1057</v>
      </c>
      <c r="B515" s="286">
        <v>442</v>
      </c>
      <c r="C515" s="286">
        <v>727.875</v>
      </c>
      <c r="D515" s="286">
        <v>1013.7500000000001</v>
      </c>
      <c r="E515" s="286">
        <v>1</v>
      </c>
      <c r="F515" s="281">
        <v>0</v>
      </c>
      <c r="G515" s="282">
        <v>80.489678562500004</v>
      </c>
      <c r="H515" s="282">
        <v>84.650182552083322</v>
      </c>
      <c r="I515" s="282">
        <v>85.493133329166668</v>
      </c>
      <c r="J515" s="282">
        <v>87.022498223333344</v>
      </c>
      <c r="K515" s="282">
        <v>83.924148108611121</v>
      </c>
      <c r="L515" s="282">
        <v>82.597046171527765</v>
      </c>
      <c r="M515" s="282">
        <v>83.189389816111117</v>
      </c>
      <c r="N515" s="282">
        <v>83.714330865277773</v>
      </c>
      <c r="O515" s="282">
        <v>83.818924516666669</v>
      </c>
      <c r="P515" s="282">
        <v>81.962484213333326</v>
      </c>
      <c r="Q515" s="282">
        <v>79.755501974791656</v>
      </c>
      <c r="R515" s="283">
        <v>77.255078362499987</v>
      </c>
      <c r="S515" s="284">
        <v>913.38271813340282</v>
      </c>
      <c r="T515" s="284">
        <v>506.87639820083336</v>
      </c>
      <c r="U515" s="296">
        <f t="shared" si="14"/>
        <v>-4.4062818665973964</v>
      </c>
      <c r="V515" s="296">
        <f t="shared" si="15"/>
        <v>7.0823982008333815</v>
      </c>
      <c r="W515" s="287">
        <v>87</v>
      </c>
      <c r="X515" s="280">
        <v>85</v>
      </c>
      <c r="Y515" s="280">
        <v>83</v>
      </c>
      <c r="Z515" s="280">
        <v>80</v>
      </c>
      <c r="AA515" s="280">
        <v>76</v>
      </c>
      <c r="AB515" s="280">
        <v>74</v>
      </c>
      <c r="AC515" s="280">
        <v>73</v>
      </c>
      <c r="AD515" s="280">
        <v>73</v>
      </c>
      <c r="AE515" s="280">
        <v>71</v>
      </c>
      <c r="AF515" s="280">
        <v>68</v>
      </c>
      <c r="AG515" s="280">
        <v>65</v>
      </c>
      <c r="AH515" s="280">
        <v>64</v>
      </c>
    </row>
    <row r="516" spans="1:34" s="1" customFormat="1" ht="13" x14ac:dyDescent="0.25">
      <c r="A516" s="280" t="s">
        <v>1058</v>
      </c>
      <c r="B516" s="286">
        <v>442</v>
      </c>
      <c r="C516" s="286">
        <v>727.875</v>
      </c>
      <c r="D516" s="286">
        <v>1013.7500000000001</v>
      </c>
      <c r="E516" s="286">
        <v>1</v>
      </c>
      <c r="F516" s="281">
        <v>1</v>
      </c>
      <c r="G516" s="282">
        <v>80.489678562500004</v>
      </c>
      <c r="H516" s="282">
        <v>84.650182552083322</v>
      </c>
      <c r="I516" s="282">
        <v>85.938133329166661</v>
      </c>
      <c r="J516" s="282">
        <v>87.912498223333344</v>
      </c>
      <c r="K516" s="282">
        <v>85.259148108611114</v>
      </c>
      <c r="L516" s="282">
        <v>84.444421171527765</v>
      </c>
      <c r="M516" s="282">
        <v>85.549139816111094</v>
      </c>
      <c r="N516" s="282">
        <v>86.58645586527777</v>
      </c>
      <c r="O516" s="282">
        <v>87.260330766666669</v>
      </c>
      <c r="P516" s="282">
        <v>85.973171713333329</v>
      </c>
      <c r="Q516" s="282">
        <v>84.335470724791662</v>
      </c>
      <c r="R516" s="283">
        <v>82.404328362499982</v>
      </c>
      <c r="S516" s="284">
        <v>940.31328063340266</v>
      </c>
      <c r="T516" s="284">
        <v>513.75352320083323</v>
      </c>
      <c r="U516" s="296">
        <f t="shared" si="14"/>
        <v>22.524280633402441</v>
      </c>
      <c r="V516" s="296">
        <f t="shared" si="15"/>
        <v>13.959523200833246</v>
      </c>
      <c r="W516" s="287">
        <v>87</v>
      </c>
      <c r="X516" s="280">
        <v>85</v>
      </c>
      <c r="Y516" s="280">
        <v>84</v>
      </c>
      <c r="Z516" s="280">
        <v>82</v>
      </c>
      <c r="AA516" s="280">
        <v>79</v>
      </c>
      <c r="AB516" s="280">
        <v>78</v>
      </c>
      <c r="AC516" s="280">
        <v>78</v>
      </c>
      <c r="AD516" s="280">
        <v>79</v>
      </c>
      <c r="AE516" s="280">
        <v>78</v>
      </c>
      <c r="AF516" s="280">
        <v>76</v>
      </c>
      <c r="AG516" s="280">
        <v>74</v>
      </c>
      <c r="AH516" s="280">
        <v>74</v>
      </c>
    </row>
    <row r="517" spans="1:34" s="1" customFormat="1" ht="13" x14ac:dyDescent="0.25">
      <c r="A517" s="280" t="s">
        <v>1059</v>
      </c>
      <c r="B517" s="286">
        <v>442</v>
      </c>
      <c r="C517" s="286">
        <v>727.875</v>
      </c>
      <c r="D517" s="286">
        <v>1013.7500000000001</v>
      </c>
      <c r="E517" s="286">
        <v>1</v>
      </c>
      <c r="F517" s="281">
        <v>2</v>
      </c>
      <c r="G517" s="282">
        <v>80.489678562500004</v>
      </c>
      <c r="H517" s="282">
        <v>84.650182552083322</v>
      </c>
      <c r="I517" s="282">
        <v>86.383133329166668</v>
      </c>
      <c r="J517" s="282">
        <v>88.802498223333345</v>
      </c>
      <c r="K517" s="282">
        <v>86.594148108611122</v>
      </c>
      <c r="L517" s="282">
        <v>86.291796171527764</v>
      </c>
      <c r="M517" s="282">
        <v>87.908889816111113</v>
      </c>
      <c r="N517" s="282">
        <v>89.458580865277767</v>
      </c>
      <c r="O517" s="282">
        <v>90.701737016666669</v>
      </c>
      <c r="P517" s="282">
        <v>89.983859213333332</v>
      </c>
      <c r="Q517" s="282">
        <v>88.915439474791668</v>
      </c>
      <c r="R517" s="283">
        <v>87.553578362500005</v>
      </c>
      <c r="S517" s="284">
        <v>967.24384313340283</v>
      </c>
      <c r="T517" s="284">
        <v>520.63064820083332</v>
      </c>
      <c r="U517" s="296">
        <f t="shared" ref="U517:U580" si="16">S517-S$3</f>
        <v>49.454843133402619</v>
      </c>
      <c r="V517" s="296">
        <f t="shared" ref="V517:V580" si="17">T517-T$3</f>
        <v>20.836648200833338</v>
      </c>
      <c r="W517" s="287">
        <v>87</v>
      </c>
      <c r="X517" s="280">
        <v>85</v>
      </c>
      <c r="Y517" s="280">
        <v>85</v>
      </c>
      <c r="Z517" s="280">
        <v>84</v>
      </c>
      <c r="AA517" s="280">
        <v>82</v>
      </c>
      <c r="AB517" s="280">
        <v>82</v>
      </c>
      <c r="AC517" s="280">
        <v>83</v>
      </c>
      <c r="AD517" s="280">
        <v>85</v>
      </c>
      <c r="AE517" s="280">
        <v>85</v>
      </c>
      <c r="AF517" s="280">
        <v>84</v>
      </c>
      <c r="AG517" s="280">
        <v>83</v>
      </c>
      <c r="AH517" s="280">
        <v>84</v>
      </c>
    </row>
    <row r="518" spans="1:34" s="1" customFormat="1" ht="13" x14ac:dyDescent="0.25">
      <c r="A518" s="280" t="s">
        <v>1060</v>
      </c>
      <c r="B518" s="286">
        <v>442</v>
      </c>
      <c r="C518" s="286">
        <v>727.875</v>
      </c>
      <c r="D518" s="286">
        <v>1013.7500000000001</v>
      </c>
      <c r="E518" s="286">
        <v>1</v>
      </c>
      <c r="F518" s="281">
        <v>3</v>
      </c>
      <c r="G518" s="282">
        <v>80.489678562500004</v>
      </c>
      <c r="H518" s="282">
        <v>84.650182552083322</v>
      </c>
      <c r="I518" s="282">
        <v>86.828133329166661</v>
      </c>
      <c r="J518" s="282">
        <v>89.692498223333331</v>
      </c>
      <c r="K518" s="282">
        <v>87.929148108611116</v>
      </c>
      <c r="L518" s="282">
        <v>88.139171171527764</v>
      </c>
      <c r="M518" s="282">
        <v>90.268639816111104</v>
      </c>
      <c r="N518" s="282">
        <v>92.330705865277764</v>
      </c>
      <c r="O518" s="282">
        <v>94.143143266666669</v>
      </c>
      <c r="P518" s="282">
        <v>93.994546713333335</v>
      </c>
      <c r="Q518" s="282">
        <v>93.49540822479166</v>
      </c>
      <c r="R518" s="283">
        <v>92.7028283625</v>
      </c>
      <c r="S518" s="284">
        <v>994.17440563340267</v>
      </c>
      <c r="T518" s="284">
        <v>527.5077732008333</v>
      </c>
      <c r="U518" s="296">
        <f t="shared" si="16"/>
        <v>76.385405633402456</v>
      </c>
      <c r="V518" s="296">
        <f t="shared" si="17"/>
        <v>27.713773200833316</v>
      </c>
      <c r="W518" s="287">
        <v>87</v>
      </c>
      <c r="X518" s="280">
        <v>85</v>
      </c>
      <c r="Y518" s="280">
        <v>86</v>
      </c>
      <c r="Z518" s="280">
        <v>86</v>
      </c>
      <c r="AA518" s="280">
        <v>85</v>
      </c>
      <c r="AB518" s="280">
        <v>86</v>
      </c>
      <c r="AC518" s="280">
        <v>88</v>
      </c>
      <c r="AD518" s="280">
        <v>91</v>
      </c>
      <c r="AE518" s="280">
        <v>92</v>
      </c>
      <c r="AF518" s="280">
        <v>92</v>
      </c>
      <c r="AG518" s="280">
        <v>92</v>
      </c>
      <c r="AH518" s="280">
        <v>94</v>
      </c>
    </row>
    <row r="519" spans="1:34" s="1" customFormat="1" ht="13" x14ac:dyDescent="0.25">
      <c r="A519" s="280" t="s">
        <v>1061</v>
      </c>
      <c r="B519" s="286">
        <v>442</v>
      </c>
      <c r="C519" s="286">
        <v>727.875</v>
      </c>
      <c r="D519" s="286">
        <v>1013.7500000000001</v>
      </c>
      <c r="E519" s="286">
        <v>1</v>
      </c>
      <c r="F519" s="281">
        <v>4</v>
      </c>
      <c r="G519" s="282">
        <v>80.489678562500004</v>
      </c>
      <c r="H519" s="282">
        <v>84.650182552083322</v>
      </c>
      <c r="I519" s="282">
        <v>87.273133329166669</v>
      </c>
      <c r="J519" s="282">
        <v>90.582498223333332</v>
      </c>
      <c r="K519" s="282">
        <v>89.264148108611138</v>
      </c>
      <c r="L519" s="282">
        <v>89.986546171527763</v>
      </c>
      <c r="M519" s="282">
        <v>92.62838981611111</v>
      </c>
      <c r="N519" s="282">
        <v>95.202830865277775</v>
      </c>
      <c r="O519" s="282">
        <v>97.584549516666669</v>
      </c>
      <c r="P519" s="282">
        <v>98.005234213333338</v>
      </c>
      <c r="Q519" s="282">
        <v>98.075376974791666</v>
      </c>
      <c r="R519" s="283">
        <v>97.852078362500009</v>
      </c>
      <c r="S519" s="284">
        <v>1021.1049681334028</v>
      </c>
      <c r="T519" s="284">
        <v>534.38489820083339</v>
      </c>
      <c r="U519" s="296">
        <f t="shared" si="16"/>
        <v>103.31596813340263</v>
      </c>
      <c r="V519" s="296">
        <f t="shared" si="17"/>
        <v>34.590898200833408</v>
      </c>
      <c r="W519" s="287">
        <v>87</v>
      </c>
      <c r="X519" s="280">
        <v>85</v>
      </c>
      <c r="Y519" s="280">
        <v>87</v>
      </c>
      <c r="Z519" s="280">
        <v>88</v>
      </c>
      <c r="AA519" s="280">
        <v>88</v>
      </c>
      <c r="AB519" s="280">
        <v>90</v>
      </c>
      <c r="AC519" s="280">
        <v>93</v>
      </c>
      <c r="AD519" s="280">
        <v>97</v>
      </c>
      <c r="AE519" s="280">
        <v>99</v>
      </c>
      <c r="AF519" s="280">
        <v>100</v>
      </c>
      <c r="AG519" s="280">
        <v>101</v>
      </c>
      <c r="AH519" s="280">
        <v>104</v>
      </c>
    </row>
    <row r="520" spans="1:34" s="1" customFormat="1" ht="13" x14ac:dyDescent="0.25">
      <c r="A520" s="280" t="s">
        <v>1062</v>
      </c>
      <c r="B520" s="286">
        <v>442</v>
      </c>
      <c r="C520" s="286">
        <v>727.875</v>
      </c>
      <c r="D520" s="286">
        <v>1013.7500000000001</v>
      </c>
      <c r="E520" s="286">
        <v>1</v>
      </c>
      <c r="F520" s="281">
        <v>5</v>
      </c>
      <c r="G520" s="282">
        <v>80.489678562500004</v>
      </c>
      <c r="H520" s="282">
        <v>84.650182552083322</v>
      </c>
      <c r="I520" s="282">
        <v>87.718133329166662</v>
      </c>
      <c r="J520" s="282">
        <v>91.472498223333332</v>
      </c>
      <c r="K520" s="282">
        <v>90.599148108611132</v>
      </c>
      <c r="L520" s="282">
        <v>91.833921171527763</v>
      </c>
      <c r="M520" s="282">
        <v>94.988139816111115</v>
      </c>
      <c r="N520" s="282">
        <v>98.074955865277772</v>
      </c>
      <c r="O520" s="282">
        <v>101.02595576666667</v>
      </c>
      <c r="P520" s="282">
        <v>102.01592171333333</v>
      </c>
      <c r="Q520" s="282">
        <v>102.65534572479166</v>
      </c>
      <c r="R520" s="283">
        <v>103.0013283625</v>
      </c>
      <c r="S520" s="284">
        <v>1048.0355306334029</v>
      </c>
      <c r="T520" s="284">
        <v>541.26202320083337</v>
      </c>
      <c r="U520" s="296">
        <f t="shared" si="16"/>
        <v>130.2465306334027</v>
      </c>
      <c r="V520" s="296">
        <f t="shared" si="17"/>
        <v>41.468023200833386</v>
      </c>
      <c r="W520" s="287">
        <v>87</v>
      </c>
      <c r="X520" s="280">
        <v>85</v>
      </c>
      <c r="Y520" s="280">
        <v>88</v>
      </c>
      <c r="Z520" s="280">
        <v>90</v>
      </c>
      <c r="AA520" s="280">
        <v>91</v>
      </c>
      <c r="AB520" s="280">
        <v>94</v>
      </c>
      <c r="AC520" s="280">
        <v>98</v>
      </c>
      <c r="AD520" s="280">
        <v>103</v>
      </c>
      <c r="AE520" s="280">
        <v>106</v>
      </c>
      <c r="AF520" s="280">
        <v>108</v>
      </c>
      <c r="AG520" s="280">
        <v>110</v>
      </c>
      <c r="AH520" s="280">
        <v>114</v>
      </c>
    </row>
    <row r="521" spans="1:34" s="1" customFormat="1" ht="13" x14ac:dyDescent="0.25">
      <c r="A521" s="280" t="s">
        <v>1063</v>
      </c>
      <c r="B521" s="286">
        <v>442</v>
      </c>
      <c r="C521" s="286">
        <v>727.875</v>
      </c>
      <c r="D521" s="286">
        <v>1013.7500000000001</v>
      </c>
      <c r="E521" s="286">
        <v>2</v>
      </c>
      <c r="F521" s="281">
        <v>0</v>
      </c>
      <c r="G521" s="282">
        <v>80.489678562500004</v>
      </c>
      <c r="H521" s="282">
        <v>83.170718393749993</v>
      </c>
      <c r="I521" s="282">
        <v>84.214241829166681</v>
      </c>
      <c r="J521" s="282">
        <v>85.76127180666667</v>
      </c>
      <c r="K521" s="282">
        <v>82.985061275277772</v>
      </c>
      <c r="L521" s="282">
        <v>82.199546171527771</v>
      </c>
      <c r="M521" s="282">
        <v>82.745118982777782</v>
      </c>
      <c r="N521" s="282">
        <v>83.247247531944438</v>
      </c>
      <c r="O521" s="282">
        <v>83.167466183333346</v>
      </c>
      <c r="P521" s="282">
        <v>81.495400879999991</v>
      </c>
      <c r="Q521" s="282">
        <v>79.251543641458326</v>
      </c>
      <c r="R521" s="283">
        <v>76.652786695833314</v>
      </c>
      <c r="S521" s="284">
        <v>904.89040339173607</v>
      </c>
      <c r="T521" s="284">
        <v>501.07595845916666</v>
      </c>
      <c r="U521" s="296">
        <f t="shared" si="16"/>
        <v>-12.898596608264143</v>
      </c>
      <c r="V521" s="296">
        <f t="shared" si="17"/>
        <v>1.2819584591666739</v>
      </c>
      <c r="W521" s="287">
        <v>87</v>
      </c>
      <c r="X521" s="280">
        <v>85</v>
      </c>
      <c r="Y521" s="280">
        <v>83</v>
      </c>
      <c r="Z521" s="280">
        <v>80</v>
      </c>
      <c r="AA521" s="280">
        <v>76</v>
      </c>
      <c r="AB521" s="280">
        <v>74</v>
      </c>
      <c r="AC521" s="280">
        <v>73</v>
      </c>
      <c r="AD521" s="280">
        <v>73</v>
      </c>
      <c r="AE521" s="280">
        <v>71</v>
      </c>
      <c r="AF521" s="280">
        <v>68</v>
      </c>
      <c r="AG521" s="280">
        <v>65</v>
      </c>
      <c r="AH521" s="280">
        <v>64</v>
      </c>
    </row>
    <row r="522" spans="1:34" s="1" customFormat="1" ht="13" x14ac:dyDescent="0.25">
      <c r="A522" s="280" t="s">
        <v>1064</v>
      </c>
      <c r="B522" s="286">
        <v>442</v>
      </c>
      <c r="C522" s="286">
        <v>727.875</v>
      </c>
      <c r="D522" s="286">
        <v>1013.7500000000001</v>
      </c>
      <c r="E522" s="286">
        <v>2</v>
      </c>
      <c r="F522" s="281">
        <v>1</v>
      </c>
      <c r="G522" s="282">
        <v>80.489678562500004</v>
      </c>
      <c r="H522" s="282">
        <v>83.170718393749993</v>
      </c>
      <c r="I522" s="282">
        <v>84.659241829166675</v>
      </c>
      <c r="J522" s="282">
        <v>86.651271806666671</v>
      </c>
      <c r="K522" s="282">
        <v>84.32006127527778</v>
      </c>
      <c r="L522" s="282">
        <v>84.046921171527771</v>
      </c>
      <c r="M522" s="282">
        <v>85.104868982777774</v>
      </c>
      <c r="N522" s="282">
        <v>86.119372531944435</v>
      </c>
      <c r="O522" s="282">
        <v>86.608872433333346</v>
      </c>
      <c r="P522" s="282">
        <v>85.506088379999994</v>
      </c>
      <c r="Q522" s="282">
        <v>83.831512391458332</v>
      </c>
      <c r="R522" s="283">
        <v>81.802036695833323</v>
      </c>
      <c r="S522" s="284">
        <v>931.82096589173602</v>
      </c>
      <c r="T522" s="284">
        <v>507.95308345916663</v>
      </c>
      <c r="U522" s="296">
        <f t="shared" si="16"/>
        <v>14.031965891735808</v>
      </c>
      <c r="V522" s="296">
        <f t="shared" si="17"/>
        <v>8.1590834591666521</v>
      </c>
      <c r="W522" s="287">
        <v>87</v>
      </c>
      <c r="X522" s="280">
        <v>85</v>
      </c>
      <c r="Y522" s="280">
        <v>84</v>
      </c>
      <c r="Z522" s="280">
        <v>82</v>
      </c>
      <c r="AA522" s="280">
        <v>79</v>
      </c>
      <c r="AB522" s="280">
        <v>78</v>
      </c>
      <c r="AC522" s="280">
        <v>78</v>
      </c>
      <c r="AD522" s="280">
        <v>79</v>
      </c>
      <c r="AE522" s="280">
        <v>78</v>
      </c>
      <c r="AF522" s="280">
        <v>76</v>
      </c>
      <c r="AG522" s="280">
        <v>74</v>
      </c>
      <c r="AH522" s="280">
        <v>74</v>
      </c>
    </row>
    <row r="523" spans="1:34" s="1" customFormat="1" ht="13" x14ac:dyDescent="0.25">
      <c r="A523" s="280" t="s">
        <v>1065</v>
      </c>
      <c r="B523" s="286">
        <v>442</v>
      </c>
      <c r="C523" s="286">
        <v>727.875</v>
      </c>
      <c r="D523" s="286">
        <v>1013.7500000000001</v>
      </c>
      <c r="E523" s="286">
        <v>2</v>
      </c>
      <c r="F523" s="281">
        <v>2</v>
      </c>
      <c r="G523" s="282">
        <v>80.489678562500004</v>
      </c>
      <c r="H523" s="282">
        <v>83.170718393749993</v>
      </c>
      <c r="I523" s="282">
        <v>85.104241829166682</v>
      </c>
      <c r="J523" s="282">
        <v>87.541271806666671</v>
      </c>
      <c r="K523" s="282">
        <v>85.655061275277788</v>
      </c>
      <c r="L523" s="282">
        <v>85.89429617152777</v>
      </c>
      <c r="M523" s="282">
        <v>87.464618982777779</v>
      </c>
      <c r="N523" s="282">
        <v>88.991497531944447</v>
      </c>
      <c r="O523" s="282">
        <v>90.050278683333346</v>
      </c>
      <c r="P523" s="282">
        <v>89.516775879999983</v>
      </c>
      <c r="Q523" s="282">
        <v>88.411481141458324</v>
      </c>
      <c r="R523" s="283">
        <v>86.951286695833318</v>
      </c>
      <c r="S523" s="284">
        <v>958.75152839173609</v>
      </c>
      <c r="T523" s="284">
        <v>514.83020845916667</v>
      </c>
      <c r="U523" s="296">
        <f t="shared" si="16"/>
        <v>40.962528391735873</v>
      </c>
      <c r="V523" s="296">
        <f t="shared" si="17"/>
        <v>15.036208459166687</v>
      </c>
      <c r="W523" s="287">
        <v>87</v>
      </c>
      <c r="X523" s="280">
        <v>85</v>
      </c>
      <c r="Y523" s="280">
        <v>85</v>
      </c>
      <c r="Z523" s="280">
        <v>84</v>
      </c>
      <c r="AA523" s="280">
        <v>82</v>
      </c>
      <c r="AB523" s="280">
        <v>82</v>
      </c>
      <c r="AC523" s="280">
        <v>83</v>
      </c>
      <c r="AD523" s="280">
        <v>85</v>
      </c>
      <c r="AE523" s="280">
        <v>85</v>
      </c>
      <c r="AF523" s="280">
        <v>84</v>
      </c>
      <c r="AG523" s="280">
        <v>83</v>
      </c>
      <c r="AH523" s="280">
        <v>84</v>
      </c>
    </row>
    <row r="524" spans="1:34" s="1" customFormat="1" ht="13" x14ac:dyDescent="0.25">
      <c r="A524" s="280" t="s">
        <v>1066</v>
      </c>
      <c r="B524" s="286">
        <v>442</v>
      </c>
      <c r="C524" s="286">
        <v>727.875</v>
      </c>
      <c r="D524" s="286">
        <v>1013.7500000000001</v>
      </c>
      <c r="E524" s="286">
        <v>2</v>
      </c>
      <c r="F524" s="281">
        <v>3</v>
      </c>
      <c r="G524" s="282">
        <v>80.489678562500004</v>
      </c>
      <c r="H524" s="282">
        <v>83.170718393749993</v>
      </c>
      <c r="I524" s="282">
        <v>85.549241829166675</v>
      </c>
      <c r="J524" s="282">
        <v>88.431271806666672</v>
      </c>
      <c r="K524" s="282">
        <v>86.990061275277782</v>
      </c>
      <c r="L524" s="282">
        <v>87.74167117152777</v>
      </c>
      <c r="M524" s="282">
        <v>89.824368982777784</v>
      </c>
      <c r="N524" s="282">
        <v>91.863622531944443</v>
      </c>
      <c r="O524" s="282">
        <v>93.491684933333346</v>
      </c>
      <c r="P524" s="282">
        <v>93.527463379999986</v>
      </c>
      <c r="Q524" s="282">
        <v>92.991449891458316</v>
      </c>
      <c r="R524" s="283">
        <v>92.100536695833313</v>
      </c>
      <c r="S524" s="284">
        <v>985.68209089173581</v>
      </c>
      <c r="T524" s="284">
        <v>521.70733345916653</v>
      </c>
      <c r="U524" s="296">
        <f t="shared" si="16"/>
        <v>67.893090891735596</v>
      </c>
      <c r="V524" s="296">
        <f t="shared" si="17"/>
        <v>21.913333459166552</v>
      </c>
      <c r="W524" s="287">
        <v>87</v>
      </c>
      <c r="X524" s="280">
        <v>85</v>
      </c>
      <c r="Y524" s="280">
        <v>86</v>
      </c>
      <c r="Z524" s="280">
        <v>86</v>
      </c>
      <c r="AA524" s="280">
        <v>85</v>
      </c>
      <c r="AB524" s="280">
        <v>86</v>
      </c>
      <c r="AC524" s="280">
        <v>88</v>
      </c>
      <c r="AD524" s="280">
        <v>91</v>
      </c>
      <c r="AE524" s="280">
        <v>92</v>
      </c>
      <c r="AF524" s="280">
        <v>92</v>
      </c>
      <c r="AG524" s="280">
        <v>92</v>
      </c>
      <c r="AH524" s="280">
        <v>94</v>
      </c>
    </row>
    <row r="525" spans="1:34" s="1" customFormat="1" ht="13" x14ac:dyDescent="0.25">
      <c r="A525" s="280" t="s">
        <v>1067</v>
      </c>
      <c r="B525" s="286">
        <v>442</v>
      </c>
      <c r="C525" s="286">
        <v>727.875</v>
      </c>
      <c r="D525" s="286">
        <v>1013.7500000000001</v>
      </c>
      <c r="E525" s="286">
        <v>2</v>
      </c>
      <c r="F525" s="281">
        <v>4</v>
      </c>
      <c r="G525" s="282">
        <v>80.489678562500004</v>
      </c>
      <c r="H525" s="282">
        <v>83.170718393749993</v>
      </c>
      <c r="I525" s="282">
        <v>85.994241829166683</v>
      </c>
      <c r="J525" s="282">
        <v>89.321271806666658</v>
      </c>
      <c r="K525" s="282">
        <v>88.32506127527779</v>
      </c>
      <c r="L525" s="282">
        <v>89.58904617152777</v>
      </c>
      <c r="M525" s="282">
        <v>92.18411898277779</v>
      </c>
      <c r="N525" s="282">
        <v>94.73574753194444</v>
      </c>
      <c r="O525" s="282">
        <v>96.933091183333346</v>
      </c>
      <c r="P525" s="282">
        <v>97.538150879999989</v>
      </c>
      <c r="Q525" s="282">
        <v>97.571418641458322</v>
      </c>
      <c r="R525" s="283">
        <v>97.249786695833322</v>
      </c>
      <c r="S525" s="284">
        <v>1012.6126533917361</v>
      </c>
      <c r="T525" s="284">
        <v>528.58445845916674</v>
      </c>
      <c r="U525" s="296">
        <f t="shared" si="16"/>
        <v>94.823653391735888</v>
      </c>
      <c r="V525" s="296">
        <f t="shared" si="17"/>
        <v>28.790458459166757</v>
      </c>
      <c r="W525" s="287">
        <v>87</v>
      </c>
      <c r="X525" s="280">
        <v>85</v>
      </c>
      <c r="Y525" s="280">
        <v>87</v>
      </c>
      <c r="Z525" s="280">
        <v>88</v>
      </c>
      <c r="AA525" s="280">
        <v>88</v>
      </c>
      <c r="AB525" s="280">
        <v>90</v>
      </c>
      <c r="AC525" s="280">
        <v>93</v>
      </c>
      <c r="AD525" s="280">
        <v>97</v>
      </c>
      <c r="AE525" s="280">
        <v>99</v>
      </c>
      <c r="AF525" s="280">
        <v>100</v>
      </c>
      <c r="AG525" s="280">
        <v>101</v>
      </c>
      <c r="AH525" s="280">
        <v>104</v>
      </c>
    </row>
    <row r="526" spans="1:34" s="1" customFormat="1" ht="13" x14ac:dyDescent="0.25">
      <c r="A526" s="280" t="s">
        <v>1068</v>
      </c>
      <c r="B526" s="286">
        <v>442</v>
      </c>
      <c r="C526" s="286">
        <v>727.875</v>
      </c>
      <c r="D526" s="286">
        <v>1013.7500000000001</v>
      </c>
      <c r="E526" s="286">
        <v>2</v>
      </c>
      <c r="F526" s="281">
        <v>5</v>
      </c>
      <c r="G526" s="282">
        <v>80.489678562500004</v>
      </c>
      <c r="H526" s="282">
        <v>83.170718393749993</v>
      </c>
      <c r="I526" s="282">
        <v>86.439241829166676</v>
      </c>
      <c r="J526" s="282">
        <v>90.211271806666659</v>
      </c>
      <c r="K526" s="282">
        <v>89.660061275277783</v>
      </c>
      <c r="L526" s="282">
        <v>91.436421171527769</v>
      </c>
      <c r="M526" s="282">
        <v>94.543868982777781</v>
      </c>
      <c r="N526" s="282">
        <v>97.607872531944437</v>
      </c>
      <c r="O526" s="282">
        <v>100.37449743333335</v>
      </c>
      <c r="P526" s="282">
        <v>101.54883837999999</v>
      </c>
      <c r="Q526" s="282">
        <v>102.15138739145831</v>
      </c>
      <c r="R526" s="283">
        <v>102.39903669583332</v>
      </c>
      <c r="S526" s="284">
        <v>1039.5432158917361</v>
      </c>
      <c r="T526" s="284">
        <v>535.4615834591666</v>
      </c>
      <c r="U526" s="296">
        <f t="shared" si="16"/>
        <v>121.75421589173584</v>
      </c>
      <c r="V526" s="296">
        <f t="shared" si="17"/>
        <v>35.667583459166622</v>
      </c>
      <c r="W526" s="287">
        <v>87</v>
      </c>
      <c r="X526" s="280">
        <v>85</v>
      </c>
      <c r="Y526" s="280">
        <v>88</v>
      </c>
      <c r="Z526" s="280">
        <v>90</v>
      </c>
      <c r="AA526" s="280">
        <v>91</v>
      </c>
      <c r="AB526" s="280">
        <v>94</v>
      </c>
      <c r="AC526" s="280">
        <v>98</v>
      </c>
      <c r="AD526" s="280">
        <v>103</v>
      </c>
      <c r="AE526" s="280">
        <v>106</v>
      </c>
      <c r="AF526" s="280">
        <v>108</v>
      </c>
      <c r="AG526" s="280">
        <v>110</v>
      </c>
      <c r="AH526" s="280">
        <v>114</v>
      </c>
    </row>
    <row r="527" spans="1:34" s="1" customFormat="1" ht="13" x14ac:dyDescent="0.25">
      <c r="A527" s="280" t="s">
        <v>1069</v>
      </c>
      <c r="B527" s="286">
        <v>442</v>
      </c>
      <c r="C527" s="286">
        <v>727.875</v>
      </c>
      <c r="D527" s="286">
        <v>1013.7500000000001</v>
      </c>
      <c r="E527" s="286">
        <v>3</v>
      </c>
      <c r="F527" s="281">
        <v>0</v>
      </c>
      <c r="G527" s="282">
        <v>80.489678562500004</v>
      </c>
      <c r="H527" s="282">
        <v>82.55874003263888</v>
      </c>
      <c r="I527" s="282">
        <v>83.248263773611114</v>
      </c>
      <c r="J527" s="282">
        <v>84.964828223333328</v>
      </c>
      <c r="K527" s="282">
        <v>82.194297386388882</v>
      </c>
      <c r="L527" s="282">
        <v>81.642323949305549</v>
      </c>
      <c r="M527" s="282">
        <v>82.29237592722221</v>
      </c>
      <c r="N527" s="282">
        <v>82.812941976388885</v>
      </c>
      <c r="O527" s="282">
        <v>82.638924516666663</v>
      </c>
      <c r="P527" s="282">
        <v>80.905400879999988</v>
      </c>
      <c r="Q527" s="282">
        <v>78.772168641458322</v>
      </c>
      <c r="R527" s="283">
        <v>76.116050584722203</v>
      </c>
      <c r="S527" s="284">
        <v>898.14631589173598</v>
      </c>
      <c r="T527" s="284">
        <v>496.90082929249996</v>
      </c>
      <c r="U527" s="296">
        <f t="shared" si="16"/>
        <v>-19.642684108264234</v>
      </c>
      <c r="V527" s="296">
        <f t="shared" si="17"/>
        <v>-2.893170707500019</v>
      </c>
      <c r="W527" s="287">
        <v>87</v>
      </c>
      <c r="X527" s="280">
        <v>85</v>
      </c>
      <c r="Y527" s="280">
        <v>83</v>
      </c>
      <c r="Z527" s="280">
        <v>80</v>
      </c>
      <c r="AA527" s="280">
        <v>76</v>
      </c>
      <c r="AB527" s="280">
        <v>74</v>
      </c>
      <c r="AC527" s="280">
        <v>73</v>
      </c>
      <c r="AD527" s="280">
        <v>73</v>
      </c>
      <c r="AE527" s="280">
        <v>71</v>
      </c>
      <c r="AF527" s="280">
        <v>68</v>
      </c>
      <c r="AG527" s="280">
        <v>65</v>
      </c>
      <c r="AH527" s="280">
        <v>64</v>
      </c>
    </row>
    <row r="528" spans="1:34" s="1" customFormat="1" ht="13" x14ac:dyDescent="0.25">
      <c r="A528" s="280" t="s">
        <v>1070</v>
      </c>
      <c r="B528" s="286">
        <v>442</v>
      </c>
      <c r="C528" s="286">
        <v>727.875</v>
      </c>
      <c r="D528" s="286">
        <v>1013.7500000000001</v>
      </c>
      <c r="E528" s="286">
        <v>3</v>
      </c>
      <c r="F528" s="281">
        <v>1</v>
      </c>
      <c r="G528" s="282">
        <v>80.489678562500004</v>
      </c>
      <c r="H528" s="282">
        <v>82.55874003263888</v>
      </c>
      <c r="I528" s="282">
        <v>83.693263773611122</v>
      </c>
      <c r="J528" s="282">
        <v>85.854828223333328</v>
      </c>
      <c r="K528" s="282">
        <v>83.52929738638889</v>
      </c>
      <c r="L528" s="282">
        <v>83.489698949305549</v>
      </c>
      <c r="M528" s="282">
        <v>84.652125927222215</v>
      </c>
      <c r="N528" s="282">
        <v>85.685066976388896</v>
      </c>
      <c r="O528" s="282">
        <v>86.080330766666677</v>
      </c>
      <c r="P528" s="282">
        <v>84.916088379999991</v>
      </c>
      <c r="Q528" s="282">
        <v>83.352137391458342</v>
      </c>
      <c r="R528" s="283">
        <v>81.265300584722212</v>
      </c>
      <c r="S528" s="284">
        <v>925.07687839173616</v>
      </c>
      <c r="T528" s="284">
        <v>503.7779542925</v>
      </c>
      <c r="U528" s="296">
        <f t="shared" si="16"/>
        <v>7.2878783917359442</v>
      </c>
      <c r="V528" s="296">
        <f t="shared" si="17"/>
        <v>3.983954292500016</v>
      </c>
      <c r="W528" s="287">
        <v>87</v>
      </c>
      <c r="X528" s="280">
        <v>85</v>
      </c>
      <c r="Y528" s="280">
        <v>84</v>
      </c>
      <c r="Z528" s="280">
        <v>82</v>
      </c>
      <c r="AA528" s="280">
        <v>79</v>
      </c>
      <c r="AB528" s="280">
        <v>78</v>
      </c>
      <c r="AC528" s="280">
        <v>78</v>
      </c>
      <c r="AD528" s="280">
        <v>79</v>
      </c>
      <c r="AE528" s="280">
        <v>78</v>
      </c>
      <c r="AF528" s="280">
        <v>76</v>
      </c>
      <c r="AG528" s="280">
        <v>74</v>
      </c>
      <c r="AH528" s="280">
        <v>74</v>
      </c>
    </row>
    <row r="529" spans="1:34" s="1" customFormat="1" ht="13" x14ac:dyDescent="0.25">
      <c r="A529" s="280" t="s">
        <v>1071</v>
      </c>
      <c r="B529" s="286">
        <v>442</v>
      </c>
      <c r="C529" s="286">
        <v>727.875</v>
      </c>
      <c r="D529" s="286">
        <v>1013.7500000000001</v>
      </c>
      <c r="E529" s="286">
        <v>3</v>
      </c>
      <c r="F529" s="281">
        <v>2</v>
      </c>
      <c r="G529" s="282">
        <v>80.489678562500004</v>
      </c>
      <c r="H529" s="282">
        <v>82.55874003263888</v>
      </c>
      <c r="I529" s="282">
        <v>84.138263773611115</v>
      </c>
      <c r="J529" s="282">
        <v>86.744828223333329</v>
      </c>
      <c r="K529" s="282">
        <v>84.864297386388898</v>
      </c>
      <c r="L529" s="282">
        <v>85.337073949305534</v>
      </c>
      <c r="M529" s="282">
        <v>87.011875927222221</v>
      </c>
      <c r="N529" s="282">
        <v>88.557191976388893</v>
      </c>
      <c r="O529" s="282">
        <v>89.521737016666677</v>
      </c>
      <c r="P529" s="282">
        <v>88.926775879999994</v>
      </c>
      <c r="Q529" s="282">
        <v>87.93210614145832</v>
      </c>
      <c r="R529" s="283">
        <v>86.414550584722207</v>
      </c>
      <c r="S529" s="284">
        <v>952.00744089173611</v>
      </c>
      <c r="T529" s="284">
        <v>510.65507929249998</v>
      </c>
      <c r="U529" s="296">
        <f t="shared" si="16"/>
        <v>34.218440891735895</v>
      </c>
      <c r="V529" s="296">
        <f t="shared" si="17"/>
        <v>10.861079292499994</v>
      </c>
      <c r="W529" s="287">
        <v>87</v>
      </c>
      <c r="X529" s="280">
        <v>85</v>
      </c>
      <c r="Y529" s="280">
        <v>85</v>
      </c>
      <c r="Z529" s="280">
        <v>84</v>
      </c>
      <c r="AA529" s="280">
        <v>82</v>
      </c>
      <c r="AB529" s="280">
        <v>82</v>
      </c>
      <c r="AC529" s="280">
        <v>83</v>
      </c>
      <c r="AD529" s="280">
        <v>85</v>
      </c>
      <c r="AE529" s="280">
        <v>85</v>
      </c>
      <c r="AF529" s="280">
        <v>84</v>
      </c>
      <c r="AG529" s="280">
        <v>83</v>
      </c>
      <c r="AH529" s="280">
        <v>84</v>
      </c>
    </row>
    <row r="530" spans="1:34" s="1" customFormat="1" ht="13" x14ac:dyDescent="0.25">
      <c r="A530" s="280" t="s">
        <v>1072</v>
      </c>
      <c r="B530" s="286">
        <v>442</v>
      </c>
      <c r="C530" s="286">
        <v>727.875</v>
      </c>
      <c r="D530" s="286">
        <v>1013.7500000000001</v>
      </c>
      <c r="E530" s="286">
        <v>3</v>
      </c>
      <c r="F530" s="281">
        <v>3</v>
      </c>
      <c r="G530" s="282">
        <v>80.489678562500004</v>
      </c>
      <c r="H530" s="282">
        <v>82.55874003263888</v>
      </c>
      <c r="I530" s="282">
        <v>84.583263773611122</v>
      </c>
      <c r="J530" s="282">
        <v>87.634828223333329</v>
      </c>
      <c r="K530" s="282">
        <v>86.199297386388892</v>
      </c>
      <c r="L530" s="282">
        <v>87.184448949305533</v>
      </c>
      <c r="M530" s="282">
        <v>89.371625927222226</v>
      </c>
      <c r="N530" s="282">
        <v>91.42931697638889</v>
      </c>
      <c r="O530" s="282">
        <v>92.963143266666677</v>
      </c>
      <c r="P530" s="282">
        <v>92.937463379999983</v>
      </c>
      <c r="Q530" s="282">
        <v>92.512074891458326</v>
      </c>
      <c r="R530" s="283">
        <v>91.563800584722202</v>
      </c>
      <c r="S530" s="284">
        <v>978.93800339173595</v>
      </c>
      <c r="T530" s="284">
        <v>517.53220429249996</v>
      </c>
      <c r="U530" s="296">
        <f t="shared" si="16"/>
        <v>61.149003391735732</v>
      </c>
      <c r="V530" s="296">
        <f t="shared" si="17"/>
        <v>17.738204292499972</v>
      </c>
      <c r="W530" s="287">
        <v>87</v>
      </c>
      <c r="X530" s="280">
        <v>85</v>
      </c>
      <c r="Y530" s="280">
        <v>86</v>
      </c>
      <c r="Z530" s="280">
        <v>86</v>
      </c>
      <c r="AA530" s="280">
        <v>85</v>
      </c>
      <c r="AB530" s="280">
        <v>86</v>
      </c>
      <c r="AC530" s="280">
        <v>88</v>
      </c>
      <c r="AD530" s="280">
        <v>91</v>
      </c>
      <c r="AE530" s="280">
        <v>92</v>
      </c>
      <c r="AF530" s="280">
        <v>92</v>
      </c>
      <c r="AG530" s="280">
        <v>92</v>
      </c>
      <c r="AH530" s="280">
        <v>94</v>
      </c>
    </row>
    <row r="531" spans="1:34" s="1" customFormat="1" ht="13" x14ac:dyDescent="0.25">
      <c r="A531" s="280" t="s">
        <v>1073</v>
      </c>
      <c r="B531" s="286">
        <v>442</v>
      </c>
      <c r="C531" s="286">
        <v>727.875</v>
      </c>
      <c r="D531" s="286">
        <v>1013.7500000000001</v>
      </c>
      <c r="E531" s="286">
        <v>3</v>
      </c>
      <c r="F531" s="281">
        <v>4</v>
      </c>
      <c r="G531" s="282">
        <v>80.489678562500004</v>
      </c>
      <c r="H531" s="282">
        <v>82.55874003263888</v>
      </c>
      <c r="I531" s="282">
        <v>85.028263773611116</v>
      </c>
      <c r="J531" s="282">
        <v>88.52482822333333</v>
      </c>
      <c r="K531" s="282">
        <v>87.534297386388886</v>
      </c>
      <c r="L531" s="282">
        <v>89.031823949305547</v>
      </c>
      <c r="M531" s="282">
        <v>91.731375927222217</v>
      </c>
      <c r="N531" s="282">
        <v>94.301441976388901</v>
      </c>
      <c r="O531" s="282">
        <v>96.404549516666677</v>
      </c>
      <c r="P531" s="282">
        <v>96.948150879999986</v>
      </c>
      <c r="Q531" s="282">
        <v>97.092043641458318</v>
      </c>
      <c r="R531" s="283">
        <v>96.713050584722211</v>
      </c>
      <c r="S531" s="284">
        <v>1005.8685658917359</v>
      </c>
      <c r="T531" s="284">
        <v>524.40932929249993</v>
      </c>
      <c r="U531" s="296">
        <f t="shared" si="16"/>
        <v>88.079565891735683</v>
      </c>
      <c r="V531" s="296">
        <f t="shared" si="17"/>
        <v>24.61532929249995</v>
      </c>
      <c r="W531" s="287">
        <v>87</v>
      </c>
      <c r="X531" s="280">
        <v>85</v>
      </c>
      <c r="Y531" s="280">
        <v>87</v>
      </c>
      <c r="Z531" s="280">
        <v>88</v>
      </c>
      <c r="AA531" s="280">
        <v>88</v>
      </c>
      <c r="AB531" s="280">
        <v>90</v>
      </c>
      <c r="AC531" s="280">
        <v>93</v>
      </c>
      <c r="AD531" s="280">
        <v>97</v>
      </c>
      <c r="AE531" s="280">
        <v>99</v>
      </c>
      <c r="AF531" s="280">
        <v>100</v>
      </c>
      <c r="AG531" s="280">
        <v>101</v>
      </c>
      <c r="AH531" s="280">
        <v>104</v>
      </c>
    </row>
    <row r="532" spans="1:34" s="1" customFormat="1" ht="13" x14ac:dyDescent="0.25">
      <c r="A532" s="280" t="s">
        <v>1074</v>
      </c>
      <c r="B532" s="286">
        <v>442</v>
      </c>
      <c r="C532" s="286">
        <v>727.875</v>
      </c>
      <c r="D532" s="286">
        <v>1013.7500000000001</v>
      </c>
      <c r="E532" s="286">
        <v>3</v>
      </c>
      <c r="F532" s="281">
        <v>5</v>
      </c>
      <c r="G532" s="282">
        <v>80.489678562500004</v>
      </c>
      <c r="H532" s="282">
        <v>82.55874003263888</v>
      </c>
      <c r="I532" s="282">
        <v>85.473263773611123</v>
      </c>
      <c r="J532" s="282">
        <v>89.41482822333333</v>
      </c>
      <c r="K532" s="282">
        <v>88.869297386388908</v>
      </c>
      <c r="L532" s="282">
        <v>90.879198949305547</v>
      </c>
      <c r="M532" s="282">
        <v>94.091125927222222</v>
      </c>
      <c r="N532" s="282">
        <v>97.173566976388898</v>
      </c>
      <c r="O532" s="282">
        <v>99.845955766666677</v>
      </c>
      <c r="P532" s="282">
        <v>100.95883837999999</v>
      </c>
      <c r="Q532" s="282">
        <v>101.67201239145832</v>
      </c>
      <c r="R532" s="283">
        <v>101.86230058472221</v>
      </c>
      <c r="S532" s="284">
        <v>1032.7991283917361</v>
      </c>
      <c r="T532" s="284">
        <v>531.28645429250003</v>
      </c>
      <c r="U532" s="296">
        <f t="shared" si="16"/>
        <v>115.01012839173586</v>
      </c>
      <c r="V532" s="296">
        <f t="shared" si="17"/>
        <v>31.492454292500042</v>
      </c>
      <c r="W532" s="287">
        <v>87</v>
      </c>
      <c r="X532" s="280">
        <v>85</v>
      </c>
      <c r="Y532" s="280">
        <v>88</v>
      </c>
      <c r="Z532" s="280">
        <v>90</v>
      </c>
      <c r="AA532" s="280">
        <v>91</v>
      </c>
      <c r="AB532" s="280">
        <v>94</v>
      </c>
      <c r="AC532" s="280">
        <v>98</v>
      </c>
      <c r="AD532" s="280">
        <v>103</v>
      </c>
      <c r="AE532" s="280">
        <v>106</v>
      </c>
      <c r="AF532" s="280">
        <v>108</v>
      </c>
      <c r="AG532" s="280">
        <v>110</v>
      </c>
      <c r="AH532" s="280">
        <v>114</v>
      </c>
    </row>
    <row r="533" spans="1:34" s="1" customFormat="1" ht="13" x14ac:dyDescent="0.25">
      <c r="A533" s="280" t="s">
        <v>1075</v>
      </c>
      <c r="B533" s="286">
        <v>442</v>
      </c>
      <c r="C533" s="286">
        <v>727.875</v>
      </c>
      <c r="D533" s="286">
        <v>1013.7500000000001</v>
      </c>
      <c r="E533" s="286">
        <v>4</v>
      </c>
      <c r="F533" s="281">
        <v>0</v>
      </c>
      <c r="G533" s="282">
        <v>80.489678562500004</v>
      </c>
      <c r="H533" s="282">
        <v>82.233922477083325</v>
      </c>
      <c r="I533" s="282">
        <v>82.672094795833345</v>
      </c>
      <c r="J533" s="282">
        <v>84.196541139999979</v>
      </c>
      <c r="K533" s="282">
        <v>81.451781525277767</v>
      </c>
      <c r="L533" s="282">
        <v>81.017542671527778</v>
      </c>
      <c r="M533" s="282">
        <v>81.795587732777761</v>
      </c>
      <c r="N533" s="282">
        <v>82.411414198611084</v>
      </c>
      <c r="O533" s="282">
        <v>82.165695349999979</v>
      </c>
      <c r="P533" s="282">
        <v>80.376859213333333</v>
      </c>
      <c r="Q533" s="282">
        <v>78.206751974791644</v>
      </c>
      <c r="R533" s="283">
        <v>75.614140862499994</v>
      </c>
      <c r="S533" s="284">
        <v>892.14233194173596</v>
      </c>
      <c r="T533" s="284">
        <v>493.36747034249993</v>
      </c>
      <c r="U533" s="296">
        <f t="shared" si="16"/>
        <v>-25.646668058264254</v>
      </c>
      <c r="V533" s="296">
        <f t="shared" si="17"/>
        <v>-6.4265296575000548</v>
      </c>
      <c r="W533" s="287">
        <v>87</v>
      </c>
      <c r="X533" s="280">
        <v>85</v>
      </c>
      <c r="Y533" s="280">
        <v>83</v>
      </c>
      <c r="Z533" s="280">
        <v>80</v>
      </c>
      <c r="AA533" s="280">
        <v>76</v>
      </c>
      <c r="AB533" s="280">
        <v>74</v>
      </c>
      <c r="AC533" s="280">
        <v>73</v>
      </c>
      <c r="AD533" s="280">
        <v>73</v>
      </c>
      <c r="AE533" s="280">
        <v>71</v>
      </c>
      <c r="AF533" s="280">
        <v>68</v>
      </c>
      <c r="AG533" s="280">
        <v>65</v>
      </c>
      <c r="AH533" s="280">
        <v>64</v>
      </c>
    </row>
    <row r="534" spans="1:34" s="1" customFormat="1" ht="13" x14ac:dyDescent="0.25">
      <c r="A534" s="280" t="s">
        <v>1076</v>
      </c>
      <c r="B534" s="286">
        <v>442</v>
      </c>
      <c r="C534" s="286">
        <v>727.875</v>
      </c>
      <c r="D534" s="286">
        <v>1013.7500000000001</v>
      </c>
      <c r="E534" s="286">
        <v>4</v>
      </c>
      <c r="F534" s="281">
        <v>1</v>
      </c>
      <c r="G534" s="282">
        <v>80.489678562500004</v>
      </c>
      <c r="H534" s="282">
        <v>82.233922477083325</v>
      </c>
      <c r="I534" s="282">
        <v>83.117094795833339</v>
      </c>
      <c r="J534" s="282">
        <v>85.086541139999994</v>
      </c>
      <c r="K534" s="282">
        <v>82.78678152527776</v>
      </c>
      <c r="L534" s="282">
        <v>82.864917671527778</v>
      </c>
      <c r="M534" s="282">
        <v>84.155337732777767</v>
      </c>
      <c r="N534" s="282">
        <v>85.283539198611095</v>
      </c>
      <c r="O534" s="282">
        <v>85.607101600000007</v>
      </c>
      <c r="P534" s="282">
        <v>84.387546713333336</v>
      </c>
      <c r="Q534" s="282">
        <v>82.786720724791664</v>
      </c>
      <c r="R534" s="283">
        <v>80.763390862499989</v>
      </c>
      <c r="S534" s="284">
        <v>919.07289444173603</v>
      </c>
      <c r="T534" s="284">
        <v>500.24459534249996</v>
      </c>
      <c r="U534" s="296">
        <f t="shared" si="16"/>
        <v>1.2838944417358107</v>
      </c>
      <c r="V534" s="296">
        <f t="shared" si="17"/>
        <v>0.45059534249998023</v>
      </c>
      <c r="W534" s="287">
        <v>87</v>
      </c>
      <c r="X534" s="280">
        <v>85</v>
      </c>
      <c r="Y534" s="280">
        <v>84</v>
      </c>
      <c r="Z534" s="280">
        <v>82</v>
      </c>
      <c r="AA534" s="280">
        <v>79</v>
      </c>
      <c r="AB534" s="280">
        <v>78</v>
      </c>
      <c r="AC534" s="280">
        <v>78</v>
      </c>
      <c r="AD534" s="280">
        <v>79</v>
      </c>
      <c r="AE534" s="280">
        <v>78</v>
      </c>
      <c r="AF534" s="280">
        <v>76</v>
      </c>
      <c r="AG534" s="280">
        <v>74</v>
      </c>
      <c r="AH534" s="280">
        <v>74</v>
      </c>
    </row>
    <row r="535" spans="1:34" s="1" customFormat="1" ht="13" x14ac:dyDescent="0.25">
      <c r="A535" s="280" t="s">
        <v>1077</v>
      </c>
      <c r="B535" s="286">
        <v>442</v>
      </c>
      <c r="C535" s="286">
        <v>727.875</v>
      </c>
      <c r="D535" s="286">
        <v>1013.7500000000001</v>
      </c>
      <c r="E535" s="286">
        <v>4</v>
      </c>
      <c r="F535" s="281">
        <v>2</v>
      </c>
      <c r="G535" s="282">
        <v>80.489678562500004</v>
      </c>
      <c r="H535" s="282">
        <v>82.233922477083325</v>
      </c>
      <c r="I535" s="282">
        <v>83.562094795833346</v>
      </c>
      <c r="J535" s="282">
        <v>85.976541139999995</v>
      </c>
      <c r="K535" s="282">
        <v>84.121781525277783</v>
      </c>
      <c r="L535" s="282">
        <v>84.712292671527763</v>
      </c>
      <c r="M535" s="282">
        <v>86.515087732777772</v>
      </c>
      <c r="N535" s="282">
        <v>88.155664198611106</v>
      </c>
      <c r="O535" s="282">
        <v>89.048507850000007</v>
      </c>
      <c r="P535" s="282">
        <v>88.398234213333339</v>
      </c>
      <c r="Q535" s="282">
        <v>87.36668947479167</v>
      </c>
      <c r="R535" s="283">
        <v>85.912640862499998</v>
      </c>
      <c r="S535" s="284">
        <v>946.00345694173598</v>
      </c>
      <c r="T535" s="284">
        <v>507.12172034249994</v>
      </c>
      <c r="U535" s="296">
        <f t="shared" si="16"/>
        <v>28.214456941735762</v>
      </c>
      <c r="V535" s="296">
        <f t="shared" si="17"/>
        <v>7.3277203424999584</v>
      </c>
      <c r="W535" s="287">
        <v>87</v>
      </c>
      <c r="X535" s="280">
        <v>85</v>
      </c>
      <c r="Y535" s="280">
        <v>85</v>
      </c>
      <c r="Z535" s="280">
        <v>84</v>
      </c>
      <c r="AA535" s="280">
        <v>82</v>
      </c>
      <c r="AB535" s="280">
        <v>82</v>
      </c>
      <c r="AC535" s="280">
        <v>83</v>
      </c>
      <c r="AD535" s="280">
        <v>85</v>
      </c>
      <c r="AE535" s="280">
        <v>85</v>
      </c>
      <c r="AF535" s="280">
        <v>84</v>
      </c>
      <c r="AG535" s="280">
        <v>83</v>
      </c>
      <c r="AH535" s="280">
        <v>84</v>
      </c>
    </row>
    <row r="536" spans="1:34" s="1" customFormat="1" ht="13" x14ac:dyDescent="0.25">
      <c r="A536" s="280" t="s">
        <v>1078</v>
      </c>
      <c r="B536" s="286">
        <v>442</v>
      </c>
      <c r="C536" s="286">
        <v>727.875</v>
      </c>
      <c r="D536" s="286">
        <v>1013.7500000000001</v>
      </c>
      <c r="E536" s="286">
        <v>4</v>
      </c>
      <c r="F536" s="281">
        <v>3</v>
      </c>
      <c r="G536" s="282">
        <v>80.489678562500004</v>
      </c>
      <c r="H536" s="282">
        <v>82.233922477083325</v>
      </c>
      <c r="I536" s="282">
        <v>84.007094795833339</v>
      </c>
      <c r="J536" s="282">
        <v>86.866541139999995</v>
      </c>
      <c r="K536" s="282">
        <v>85.456781525277776</v>
      </c>
      <c r="L536" s="282">
        <v>86.559667671527762</v>
      </c>
      <c r="M536" s="282">
        <v>88.874837732777777</v>
      </c>
      <c r="N536" s="282">
        <v>91.027789198611103</v>
      </c>
      <c r="O536" s="282">
        <v>92.489914100000021</v>
      </c>
      <c r="P536" s="282">
        <v>92.408921713333328</v>
      </c>
      <c r="Q536" s="282">
        <v>91.946658224791662</v>
      </c>
      <c r="R536" s="283">
        <v>91.061890862500007</v>
      </c>
      <c r="S536" s="284">
        <v>972.93401944173615</v>
      </c>
      <c r="T536" s="284">
        <v>513.99884534249998</v>
      </c>
      <c r="U536" s="296">
        <f t="shared" si="16"/>
        <v>55.14501944173594</v>
      </c>
      <c r="V536" s="296">
        <f t="shared" si="17"/>
        <v>14.204845342499993</v>
      </c>
      <c r="W536" s="287">
        <v>87</v>
      </c>
      <c r="X536" s="280">
        <v>85</v>
      </c>
      <c r="Y536" s="280">
        <v>86</v>
      </c>
      <c r="Z536" s="280">
        <v>86</v>
      </c>
      <c r="AA536" s="280">
        <v>85</v>
      </c>
      <c r="AB536" s="280">
        <v>86</v>
      </c>
      <c r="AC536" s="280">
        <v>88</v>
      </c>
      <c r="AD536" s="280">
        <v>91</v>
      </c>
      <c r="AE536" s="280">
        <v>92</v>
      </c>
      <c r="AF536" s="280">
        <v>92</v>
      </c>
      <c r="AG536" s="280">
        <v>92</v>
      </c>
      <c r="AH536" s="280">
        <v>94</v>
      </c>
    </row>
    <row r="537" spans="1:34" s="1" customFormat="1" ht="13" x14ac:dyDescent="0.25">
      <c r="A537" s="280" t="s">
        <v>1079</v>
      </c>
      <c r="B537" s="286">
        <v>442</v>
      </c>
      <c r="C537" s="286">
        <v>727.875</v>
      </c>
      <c r="D537" s="286">
        <v>1013.7500000000001</v>
      </c>
      <c r="E537" s="286">
        <v>4</v>
      </c>
      <c r="F537" s="281">
        <v>4</v>
      </c>
      <c r="G537" s="282">
        <v>80.489678562500004</v>
      </c>
      <c r="H537" s="282">
        <v>82.233922477083325</v>
      </c>
      <c r="I537" s="282">
        <v>84.452094795833347</v>
      </c>
      <c r="J537" s="282">
        <v>87.756541139999996</v>
      </c>
      <c r="K537" s="282">
        <v>86.791781525277784</v>
      </c>
      <c r="L537" s="282">
        <v>88.407042671527762</v>
      </c>
      <c r="M537" s="282">
        <v>91.234587732777783</v>
      </c>
      <c r="N537" s="282">
        <v>93.8999141986111</v>
      </c>
      <c r="O537" s="282">
        <v>95.931320350000021</v>
      </c>
      <c r="P537" s="282">
        <v>96.419609213333331</v>
      </c>
      <c r="Q537" s="282">
        <v>96.526626974791668</v>
      </c>
      <c r="R537" s="283">
        <v>96.211140862500002</v>
      </c>
      <c r="S537" s="284">
        <v>999.86458194173622</v>
      </c>
      <c r="T537" s="284">
        <v>520.87597034249995</v>
      </c>
      <c r="U537" s="296">
        <f t="shared" si="16"/>
        <v>82.075581941736004</v>
      </c>
      <c r="V537" s="296">
        <f t="shared" si="17"/>
        <v>21.081970342499972</v>
      </c>
      <c r="W537" s="287">
        <v>87</v>
      </c>
      <c r="X537" s="280">
        <v>85</v>
      </c>
      <c r="Y537" s="280">
        <v>87</v>
      </c>
      <c r="Z537" s="280">
        <v>88</v>
      </c>
      <c r="AA537" s="280">
        <v>88</v>
      </c>
      <c r="AB537" s="280">
        <v>90</v>
      </c>
      <c r="AC537" s="280">
        <v>93</v>
      </c>
      <c r="AD537" s="280">
        <v>97</v>
      </c>
      <c r="AE537" s="280">
        <v>99</v>
      </c>
      <c r="AF537" s="280">
        <v>100</v>
      </c>
      <c r="AG537" s="280">
        <v>101</v>
      </c>
      <c r="AH537" s="280">
        <v>104</v>
      </c>
    </row>
    <row r="538" spans="1:34" s="1" customFormat="1" ht="13" x14ac:dyDescent="0.25">
      <c r="A538" s="280" t="s">
        <v>1080</v>
      </c>
      <c r="B538" s="286">
        <v>442</v>
      </c>
      <c r="C538" s="286">
        <v>727.875</v>
      </c>
      <c r="D538" s="286">
        <v>1013.7500000000001</v>
      </c>
      <c r="E538" s="286">
        <v>4</v>
      </c>
      <c r="F538" s="281">
        <v>5</v>
      </c>
      <c r="G538" s="282">
        <v>80.489678562500004</v>
      </c>
      <c r="H538" s="282">
        <v>82.233922477083325</v>
      </c>
      <c r="I538" s="282">
        <v>84.89709479583334</v>
      </c>
      <c r="J538" s="282">
        <v>88.646541139999997</v>
      </c>
      <c r="K538" s="282">
        <v>88.126781525277778</v>
      </c>
      <c r="L538" s="282">
        <v>90.254417671527762</v>
      </c>
      <c r="M538" s="282">
        <v>93.594337732777788</v>
      </c>
      <c r="N538" s="282">
        <v>96.772039198611097</v>
      </c>
      <c r="O538" s="282">
        <v>99.372726600000021</v>
      </c>
      <c r="P538" s="282">
        <v>100.43029671333333</v>
      </c>
      <c r="Q538" s="282">
        <v>101.10659572479166</v>
      </c>
      <c r="R538" s="283">
        <v>101.3603908625</v>
      </c>
      <c r="S538" s="284">
        <v>1026.7951444417361</v>
      </c>
      <c r="T538" s="284">
        <v>527.75309534250005</v>
      </c>
      <c r="U538" s="296">
        <f t="shared" si="16"/>
        <v>109.00614444173584</v>
      </c>
      <c r="V538" s="296">
        <f t="shared" si="17"/>
        <v>27.959095342500063</v>
      </c>
      <c r="W538" s="287">
        <v>87</v>
      </c>
      <c r="X538" s="280">
        <v>85</v>
      </c>
      <c r="Y538" s="280">
        <v>88</v>
      </c>
      <c r="Z538" s="280">
        <v>90</v>
      </c>
      <c r="AA538" s="280">
        <v>91</v>
      </c>
      <c r="AB538" s="280">
        <v>94</v>
      </c>
      <c r="AC538" s="280">
        <v>98</v>
      </c>
      <c r="AD538" s="280">
        <v>103</v>
      </c>
      <c r="AE538" s="280">
        <v>106</v>
      </c>
      <c r="AF538" s="280">
        <v>108</v>
      </c>
      <c r="AG538" s="280">
        <v>110</v>
      </c>
      <c r="AH538" s="280">
        <v>114</v>
      </c>
    </row>
    <row r="539" spans="1:34" s="1" customFormat="1" ht="13" x14ac:dyDescent="0.25">
      <c r="A539" s="280" t="s">
        <v>1081</v>
      </c>
      <c r="B539" s="286">
        <v>442</v>
      </c>
      <c r="C539" s="286">
        <v>727.875</v>
      </c>
      <c r="D539" s="286">
        <v>1013.7500000000001</v>
      </c>
      <c r="E539" s="286">
        <v>5</v>
      </c>
      <c r="F539" s="281">
        <v>0</v>
      </c>
      <c r="G539" s="282">
        <v>80.489678562500004</v>
      </c>
      <c r="H539" s="282">
        <v>82.015237693749995</v>
      </c>
      <c r="I539" s="282">
        <v>82.288287504166689</v>
      </c>
      <c r="J539" s="282">
        <v>83.677893889999993</v>
      </c>
      <c r="K539" s="282">
        <v>80.750270858611117</v>
      </c>
      <c r="L539" s="282">
        <v>80.390322671527755</v>
      </c>
      <c r="M539" s="282">
        <v>81.297917899444428</v>
      </c>
      <c r="N539" s="282">
        <v>81.954164198611096</v>
      </c>
      <c r="O539" s="282">
        <v>81.734257849999992</v>
      </c>
      <c r="P539" s="282">
        <v>79.892567546666641</v>
      </c>
      <c r="Q539" s="282">
        <v>77.680668641458325</v>
      </c>
      <c r="R539" s="283">
        <v>75.052411695833314</v>
      </c>
      <c r="S539" s="284">
        <v>886.73400045006929</v>
      </c>
      <c r="T539" s="284">
        <v>490.41993051750001</v>
      </c>
      <c r="U539" s="296">
        <f t="shared" si="16"/>
        <v>-31.054999549930926</v>
      </c>
      <c r="V539" s="296">
        <f t="shared" si="17"/>
        <v>-9.3740694824999764</v>
      </c>
      <c r="W539" s="287">
        <v>87</v>
      </c>
      <c r="X539" s="280">
        <v>85</v>
      </c>
      <c r="Y539" s="280">
        <v>83</v>
      </c>
      <c r="Z539" s="280">
        <v>80</v>
      </c>
      <c r="AA539" s="280">
        <v>76</v>
      </c>
      <c r="AB539" s="280">
        <v>74</v>
      </c>
      <c r="AC539" s="280">
        <v>73</v>
      </c>
      <c r="AD539" s="280">
        <v>73</v>
      </c>
      <c r="AE539" s="280">
        <v>71</v>
      </c>
      <c r="AF539" s="280">
        <v>68</v>
      </c>
      <c r="AG539" s="280">
        <v>65</v>
      </c>
      <c r="AH539" s="280">
        <v>64</v>
      </c>
    </row>
    <row r="540" spans="1:34" s="1" customFormat="1" ht="13" x14ac:dyDescent="0.25">
      <c r="A540" s="280" t="s">
        <v>1082</v>
      </c>
      <c r="B540" s="286">
        <v>442</v>
      </c>
      <c r="C540" s="286">
        <v>727.875</v>
      </c>
      <c r="D540" s="286">
        <v>1013.7500000000001</v>
      </c>
      <c r="E540" s="286">
        <v>5</v>
      </c>
      <c r="F540" s="281">
        <v>1</v>
      </c>
      <c r="G540" s="282">
        <v>80.489678562500004</v>
      </c>
      <c r="H540" s="282">
        <v>82.015237693749995</v>
      </c>
      <c r="I540" s="282">
        <v>82.733287504166682</v>
      </c>
      <c r="J540" s="282">
        <v>84.567893890000008</v>
      </c>
      <c r="K540" s="282">
        <v>82.085270858611111</v>
      </c>
      <c r="L540" s="282">
        <v>82.237697671527755</v>
      </c>
      <c r="M540" s="282">
        <v>83.657667899444434</v>
      </c>
      <c r="N540" s="282">
        <v>84.826289198611107</v>
      </c>
      <c r="O540" s="282">
        <v>85.175664100000006</v>
      </c>
      <c r="P540" s="282">
        <v>83.903255046666672</v>
      </c>
      <c r="Q540" s="282">
        <v>82.260637391458332</v>
      </c>
      <c r="R540" s="283">
        <v>80.201661695833323</v>
      </c>
      <c r="S540" s="284">
        <v>913.66456295006947</v>
      </c>
      <c r="T540" s="284">
        <v>497.29705551750004</v>
      </c>
      <c r="U540" s="296">
        <f t="shared" si="16"/>
        <v>-4.1244370499307479</v>
      </c>
      <c r="V540" s="296">
        <f t="shared" si="17"/>
        <v>-2.4969444824999414</v>
      </c>
      <c r="W540" s="287">
        <v>87</v>
      </c>
      <c r="X540" s="280">
        <v>85</v>
      </c>
      <c r="Y540" s="280">
        <v>84</v>
      </c>
      <c r="Z540" s="280">
        <v>82</v>
      </c>
      <c r="AA540" s="280">
        <v>79</v>
      </c>
      <c r="AB540" s="280">
        <v>78</v>
      </c>
      <c r="AC540" s="280">
        <v>78</v>
      </c>
      <c r="AD540" s="280">
        <v>79</v>
      </c>
      <c r="AE540" s="280">
        <v>78</v>
      </c>
      <c r="AF540" s="280">
        <v>76</v>
      </c>
      <c r="AG540" s="280">
        <v>74</v>
      </c>
      <c r="AH540" s="280">
        <v>74</v>
      </c>
    </row>
    <row r="541" spans="1:34" s="1" customFormat="1" ht="13" x14ac:dyDescent="0.25">
      <c r="A541" s="280" t="s">
        <v>1083</v>
      </c>
      <c r="B541" s="286">
        <v>442</v>
      </c>
      <c r="C541" s="286">
        <v>727.875</v>
      </c>
      <c r="D541" s="286">
        <v>1013.7500000000001</v>
      </c>
      <c r="E541" s="286">
        <v>5</v>
      </c>
      <c r="F541" s="281">
        <v>2</v>
      </c>
      <c r="G541" s="282">
        <v>80.489678562500004</v>
      </c>
      <c r="H541" s="282">
        <v>82.015237693749995</v>
      </c>
      <c r="I541" s="282">
        <v>83.178287504166676</v>
      </c>
      <c r="J541" s="282">
        <v>85.457893890000008</v>
      </c>
      <c r="K541" s="282">
        <v>83.420270858611133</v>
      </c>
      <c r="L541" s="282">
        <v>84.08507267152774</v>
      </c>
      <c r="M541" s="282">
        <v>86.017417899444439</v>
      </c>
      <c r="N541" s="282">
        <v>87.698414198611118</v>
      </c>
      <c r="O541" s="282">
        <v>88.617070350000006</v>
      </c>
      <c r="P541" s="282">
        <v>87.913942546666647</v>
      </c>
      <c r="Q541" s="282">
        <v>86.840606141458323</v>
      </c>
      <c r="R541" s="283">
        <v>85.350911695833318</v>
      </c>
      <c r="S541" s="284">
        <v>940.59512545006965</v>
      </c>
      <c r="T541" s="284">
        <v>504.17418051750008</v>
      </c>
      <c r="U541" s="296">
        <f t="shared" si="16"/>
        <v>22.80612545006943</v>
      </c>
      <c r="V541" s="296">
        <f t="shared" si="17"/>
        <v>4.3801805175000936</v>
      </c>
      <c r="W541" s="287">
        <v>87</v>
      </c>
      <c r="X541" s="280">
        <v>85</v>
      </c>
      <c r="Y541" s="280">
        <v>85</v>
      </c>
      <c r="Z541" s="280">
        <v>84</v>
      </c>
      <c r="AA541" s="280">
        <v>82</v>
      </c>
      <c r="AB541" s="280">
        <v>82</v>
      </c>
      <c r="AC541" s="280">
        <v>83</v>
      </c>
      <c r="AD541" s="280">
        <v>85</v>
      </c>
      <c r="AE541" s="280">
        <v>85</v>
      </c>
      <c r="AF541" s="280">
        <v>84</v>
      </c>
      <c r="AG541" s="280">
        <v>83</v>
      </c>
      <c r="AH541" s="280">
        <v>84</v>
      </c>
    </row>
    <row r="542" spans="1:34" s="1" customFormat="1" ht="13" x14ac:dyDescent="0.25">
      <c r="A542" s="280" t="s">
        <v>1084</v>
      </c>
      <c r="B542" s="286">
        <v>442</v>
      </c>
      <c r="C542" s="286">
        <v>727.875</v>
      </c>
      <c r="D542" s="286">
        <v>1013.7500000000001</v>
      </c>
      <c r="E542" s="286">
        <v>5</v>
      </c>
      <c r="F542" s="281">
        <v>3</v>
      </c>
      <c r="G542" s="282">
        <v>80.489678562500004</v>
      </c>
      <c r="H542" s="282">
        <v>82.015237693749995</v>
      </c>
      <c r="I542" s="282">
        <v>83.623287504166683</v>
      </c>
      <c r="J542" s="282">
        <v>86.347893890000009</v>
      </c>
      <c r="K542" s="282">
        <v>84.755270858611127</v>
      </c>
      <c r="L542" s="282">
        <v>85.93244767152774</v>
      </c>
      <c r="M542" s="282">
        <v>88.37716789944443</v>
      </c>
      <c r="N542" s="282">
        <v>90.570539198611101</v>
      </c>
      <c r="O542" s="282">
        <v>92.05847660000002</v>
      </c>
      <c r="P542" s="282">
        <v>91.92463004666665</v>
      </c>
      <c r="Q542" s="282">
        <v>91.420574891458315</v>
      </c>
      <c r="R542" s="283">
        <v>90.500161695833313</v>
      </c>
      <c r="S542" s="284">
        <v>967.52568795006937</v>
      </c>
      <c r="T542" s="284">
        <v>511.05130551750005</v>
      </c>
      <c r="U542" s="296">
        <f t="shared" si="16"/>
        <v>49.736687950069154</v>
      </c>
      <c r="V542" s="296">
        <f t="shared" si="17"/>
        <v>11.257305517500072</v>
      </c>
      <c r="W542" s="287">
        <v>87</v>
      </c>
      <c r="X542" s="280">
        <v>85</v>
      </c>
      <c r="Y542" s="280">
        <v>86</v>
      </c>
      <c r="Z542" s="280">
        <v>86</v>
      </c>
      <c r="AA542" s="280">
        <v>85</v>
      </c>
      <c r="AB542" s="280">
        <v>86</v>
      </c>
      <c r="AC542" s="280">
        <v>88</v>
      </c>
      <c r="AD542" s="280">
        <v>91</v>
      </c>
      <c r="AE542" s="280">
        <v>92</v>
      </c>
      <c r="AF542" s="280">
        <v>92</v>
      </c>
      <c r="AG542" s="280">
        <v>92</v>
      </c>
      <c r="AH542" s="280">
        <v>94</v>
      </c>
    </row>
    <row r="543" spans="1:34" s="1" customFormat="1" ht="13" x14ac:dyDescent="0.25">
      <c r="A543" s="280" t="s">
        <v>1085</v>
      </c>
      <c r="B543" s="286">
        <v>442</v>
      </c>
      <c r="C543" s="286">
        <v>727.875</v>
      </c>
      <c r="D543" s="286">
        <v>1013.7500000000001</v>
      </c>
      <c r="E543" s="286">
        <v>5</v>
      </c>
      <c r="F543" s="281">
        <v>4</v>
      </c>
      <c r="G543" s="282">
        <v>80.489678562500004</v>
      </c>
      <c r="H543" s="282">
        <v>82.015237693749995</v>
      </c>
      <c r="I543" s="282">
        <v>84.068287504166676</v>
      </c>
      <c r="J543" s="282">
        <v>87.237893890000009</v>
      </c>
      <c r="K543" s="282">
        <v>86.09027085861112</v>
      </c>
      <c r="L543" s="282">
        <v>87.779822671527739</v>
      </c>
      <c r="M543" s="282">
        <v>90.736917899444435</v>
      </c>
      <c r="N543" s="282">
        <v>93.442664198611098</v>
      </c>
      <c r="O543" s="282">
        <v>95.49988285000002</v>
      </c>
      <c r="P543" s="282">
        <v>95.935317546666653</v>
      </c>
      <c r="Q543" s="282">
        <v>96.000543641458322</v>
      </c>
      <c r="R543" s="283">
        <v>95.649411695833322</v>
      </c>
      <c r="S543" s="284">
        <v>994.45625045006932</v>
      </c>
      <c r="T543" s="284">
        <v>517.92843051749992</v>
      </c>
      <c r="U543" s="296">
        <f t="shared" si="16"/>
        <v>76.667250450069105</v>
      </c>
      <c r="V543" s="296">
        <f t="shared" si="17"/>
        <v>18.134430517499936</v>
      </c>
      <c r="W543" s="287">
        <v>87</v>
      </c>
      <c r="X543" s="280">
        <v>85</v>
      </c>
      <c r="Y543" s="280">
        <v>87</v>
      </c>
      <c r="Z543" s="280">
        <v>88</v>
      </c>
      <c r="AA543" s="280">
        <v>88</v>
      </c>
      <c r="AB543" s="280">
        <v>90</v>
      </c>
      <c r="AC543" s="280">
        <v>93</v>
      </c>
      <c r="AD543" s="280">
        <v>97</v>
      </c>
      <c r="AE543" s="280">
        <v>99</v>
      </c>
      <c r="AF543" s="280">
        <v>100</v>
      </c>
      <c r="AG543" s="280">
        <v>101</v>
      </c>
      <c r="AH543" s="280">
        <v>104</v>
      </c>
    </row>
    <row r="544" spans="1:34" s="1" customFormat="1" ht="13" x14ac:dyDescent="0.25">
      <c r="A544" s="280" t="s">
        <v>1086</v>
      </c>
      <c r="B544" s="286">
        <v>442</v>
      </c>
      <c r="C544" s="286">
        <v>727.875</v>
      </c>
      <c r="D544" s="286">
        <v>1013.7500000000001</v>
      </c>
      <c r="E544" s="286">
        <v>5</v>
      </c>
      <c r="F544" s="281">
        <v>5</v>
      </c>
      <c r="G544" s="282">
        <v>80.489678562500004</v>
      </c>
      <c r="H544" s="282">
        <v>82.015237693749995</v>
      </c>
      <c r="I544" s="282">
        <v>84.513287504166684</v>
      </c>
      <c r="J544" s="282">
        <v>88.12789389000001</v>
      </c>
      <c r="K544" s="282">
        <v>87.425270858611128</v>
      </c>
      <c r="L544" s="282">
        <v>89.627197671527739</v>
      </c>
      <c r="M544" s="282">
        <v>93.096667899444441</v>
      </c>
      <c r="N544" s="282">
        <v>96.314789198611095</v>
      </c>
      <c r="O544" s="282">
        <v>98.94128910000002</v>
      </c>
      <c r="P544" s="282">
        <v>99.946005046666642</v>
      </c>
      <c r="Q544" s="282">
        <v>100.58051239145833</v>
      </c>
      <c r="R544" s="283">
        <v>100.79866169583332</v>
      </c>
      <c r="S544" s="284">
        <v>1021.3868129500694</v>
      </c>
      <c r="T544" s="284">
        <v>524.80555551750001</v>
      </c>
      <c r="U544" s="296">
        <f t="shared" si="16"/>
        <v>103.59781295006917</v>
      </c>
      <c r="V544" s="296">
        <f t="shared" si="17"/>
        <v>25.011555517500028</v>
      </c>
      <c r="W544" s="287">
        <v>87</v>
      </c>
      <c r="X544" s="280">
        <v>85</v>
      </c>
      <c r="Y544" s="280">
        <v>88</v>
      </c>
      <c r="Z544" s="280">
        <v>90</v>
      </c>
      <c r="AA544" s="280">
        <v>91</v>
      </c>
      <c r="AB544" s="280">
        <v>94</v>
      </c>
      <c r="AC544" s="280">
        <v>98</v>
      </c>
      <c r="AD544" s="280">
        <v>103</v>
      </c>
      <c r="AE544" s="280">
        <v>106</v>
      </c>
      <c r="AF544" s="280">
        <v>108</v>
      </c>
      <c r="AG544" s="280">
        <v>110</v>
      </c>
      <c r="AH544" s="280">
        <v>114</v>
      </c>
    </row>
    <row r="545" spans="1:34" s="1" customFormat="1" ht="13" x14ac:dyDescent="0.25">
      <c r="A545" s="280" t="s">
        <v>1087</v>
      </c>
      <c r="B545" s="286">
        <v>442</v>
      </c>
      <c r="C545" s="286">
        <v>727.875</v>
      </c>
      <c r="D545" s="286">
        <v>1013.7500000000001</v>
      </c>
      <c r="E545" s="286">
        <v>1</v>
      </c>
      <c r="F545" s="281">
        <v>0</v>
      </c>
      <c r="G545" s="282">
        <v>80.489678562500004</v>
      </c>
      <c r="H545" s="282">
        <v>84.86351588541666</v>
      </c>
      <c r="I545" s="282">
        <v>85.74339374583333</v>
      </c>
      <c r="J545" s="282">
        <v>87.289373223333342</v>
      </c>
      <c r="K545" s="282">
        <v>84.180189775277796</v>
      </c>
      <c r="L545" s="282">
        <v>82.852671171527774</v>
      </c>
      <c r="M545" s="282">
        <v>83.454806482777784</v>
      </c>
      <c r="N545" s="282">
        <v>83.991622531944444</v>
      </c>
      <c r="O545" s="282">
        <v>84.112049516666673</v>
      </c>
      <c r="P545" s="282">
        <v>82.25498421333333</v>
      </c>
      <c r="Q545" s="282">
        <v>80.044251974791649</v>
      </c>
      <c r="R545" s="283">
        <v>77.540286695833316</v>
      </c>
      <c r="S545" s="284">
        <v>916.32714521673608</v>
      </c>
      <c r="T545" s="284">
        <v>508.38395028416664</v>
      </c>
      <c r="U545" s="296">
        <f t="shared" si="16"/>
        <v>-1.4618547832641298</v>
      </c>
      <c r="V545" s="296">
        <f t="shared" si="17"/>
        <v>8.5899502841666617</v>
      </c>
      <c r="W545" s="287">
        <v>87</v>
      </c>
      <c r="X545" s="280">
        <v>85</v>
      </c>
      <c r="Y545" s="280">
        <v>83</v>
      </c>
      <c r="Z545" s="280">
        <v>80</v>
      </c>
      <c r="AA545" s="280">
        <v>76</v>
      </c>
      <c r="AB545" s="280">
        <v>74</v>
      </c>
      <c r="AC545" s="280">
        <v>73</v>
      </c>
      <c r="AD545" s="280">
        <v>73</v>
      </c>
      <c r="AE545" s="280">
        <v>71</v>
      </c>
      <c r="AF545" s="280">
        <v>68</v>
      </c>
      <c r="AG545" s="280">
        <v>65</v>
      </c>
      <c r="AH545" s="280">
        <v>64</v>
      </c>
    </row>
    <row r="546" spans="1:34" s="1" customFormat="1" ht="13" x14ac:dyDescent="0.25">
      <c r="A546" s="280" t="s">
        <v>1088</v>
      </c>
      <c r="B546" s="286">
        <v>442</v>
      </c>
      <c r="C546" s="286">
        <v>727.875</v>
      </c>
      <c r="D546" s="286">
        <v>1013.7500000000001</v>
      </c>
      <c r="E546" s="286">
        <v>1</v>
      </c>
      <c r="F546" s="281">
        <v>1</v>
      </c>
      <c r="G546" s="282">
        <v>80.489678562500004</v>
      </c>
      <c r="H546" s="282">
        <v>84.86351588541666</v>
      </c>
      <c r="I546" s="282">
        <v>86.188393745833338</v>
      </c>
      <c r="J546" s="282">
        <v>88.179373223333343</v>
      </c>
      <c r="K546" s="282">
        <v>85.51518977527779</v>
      </c>
      <c r="L546" s="282">
        <v>84.700046171527774</v>
      </c>
      <c r="M546" s="282">
        <v>85.814556482777789</v>
      </c>
      <c r="N546" s="282">
        <v>86.863747531944441</v>
      </c>
      <c r="O546" s="282">
        <v>87.554080766666672</v>
      </c>
      <c r="P546" s="282">
        <v>86.266921713333332</v>
      </c>
      <c r="Q546" s="282">
        <v>84.626095724791668</v>
      </c>
      <c r="R546" s="283">
        <v>82.692036695833323</v>
      </c>
      <c r="S546" s="284">
        <v>943.26395771673606</v>
      </c>
      <c r="T546" s="284">
        <v>515.26107528416674</v>
      </c>
      <c r="U546" s="296">
        <f t="shared" si="16"/>
        <v>25.474957716735844</v>
      </c>
      <c r="V546" s="296">
        <f t="shared" si="17"/>
        <v>15.467075284166754</v>
      </c>
      <c r="W546" s="287">
        <v>87</v>
      </c>
      <c r="X546" s="280">
        <v>85</v>
      </c>
      <c r="Y546" s="280">
        <v>84</v>
      </c>
      <c r="Z546" s="280">
        <v>82</v>
      </c>
      <c r="AA546" s="280">
        <v>79</v>
      </c>
      <c r="AB546" s="280">
        <v>78</v>
      </c>
      <c r="AC546" s="280">
        <v>78</v>
      </c>
      <c r="AD546" s="280">
        <v>79</v>
      </c>
      <c r="AE546" s="280">
        <v>78</v>
      </c>
      <c r="AF546" s="280">
        <v>76</v>
      </c>
      <c r="AG546" s="280">
        <v>74</v>
      </c>
      <c r="AH546" s="280">
        <v>74</v>
      </c>
    </row>
    <row r="547" spans="1:34" s="1" customFormat="1" ht="13" x14ac:dyDescent="0.25">
      <c r="A547" s="280" t="s">
        <v>1089</v>
      </c>
      <c r="B547" s="286">
        <v>442</v>
      </c>
      <c r="C547" s="286">
        <v>727.875</v>
      </c>
      <c r="D547" s="286">
        <v>1013.7500000000001</v>
      </c>
      <c r="E547" s="286">
        <v>1</v>
      </c>
      <c r="F547" s="281">
        <v>2</v>
      </c>
      <c r="G547" s="282">
        <v>80.489678562500004</v>
      </c>
      <c r="H547" s="282">
        <v>84.86351588541666</v>
      </c>
      <c r="I547" s="282">
        <v>86.633393745833331</v>
      </c>
      <c r="J547" s="282">
        <v>89.069373223333329</v>
      </c>
      <c r="K547" s="282">
        <v>86.850189775277784</v>
      </c>
      <c r="L547" s="282">
        <v>86.547421171527773</v>
      </c>
      <c r="M547" s="282">
        <v>88.174306482777794</v>
      </c>
      <c r="N547" s="282">
        <v>89.735872531944437</v>
      </c>
      <c r="O547" s="282">
        <v>90.996112016666672</v>
      </c>
      <c r="P547" s="282">
        <v>90.278859213333334</v>
      </c>
      <c r="Q547" s="282">
        <v>89.207939474791658</v>
      </c>
      <c r="R547" s="283">
        <v>87.843786695833316</v>
      </c>
      <c r="S547" s="284">
        <v>970.20077021673603</v>
      </c>
      <c r="T547" s="284">
        <v>522.13820028416671</v>
      </c>
      <c r="U547" s="296">
        <f t="shared" si="16"/>
        <v>52.411770216735817</v>
      </c>
      <c r="V547" s="296">
        <f t="shared" si="17"/>
        <v>22.344200284166732</v>
      </c>
      <c r="W547" s="287">
        <v>87</v>
      </c>
      <c r="X547" s="280">
        <v>85</v>
      </c>
      <c r="Y547" s="280">
        <v>85</v>
      </c>
      <c r="Z547" s="280">
        <v>84</v>
      </c>
      <c r="AA547" s="280">
        <v>82</v>
      </c>
      <c r="AB547" s="280">
        <v>82</v>
      </c>
      <c r="AC547" s="280">
        <v>83</v>
      </c>
      <c r="AD547" s="280">
        <v>85</v>
      </c>
      <c r="AE547" s="280">
        <v>85</v>
      </c>
      <c r="AF547" s="280">
        <v>84</v>
      </c>
      <c r="AG547" s="280">
        <v>83</v>
      </c>
      <c r="AH547" s="280">
        <v>84</v>
      </c>
    </row>
    <row r="548" spans="1:34" s="1" customFormat="1" ht="13" x14ac:dyDescent="0.25">
      <c r="A548" s="280" t="s">
        <v>1090</v>
      </c>
      <c r="B548" s="286">
        <v>442</v>
      </c>
      <c r="C548" s="286">
        <v>727.875</v>
      </c>
      <c r="D548" s="286">
        <v>1013.7500000000001</v>
      </c>
      <c r="E548" s="286">
        <v>1</v>
      </c>
      <c r="F548" s="281">
        <v>3</v>
      </c>
      <c r="G548" s="282">
        <v>80.489678562500004</v>
      </c>
      <c r="H548" s="282">
        <v>84.86351588541666</v>
      </c>
      <c r="I548" s="282">
        <v>87.078393745833338</v>
      </c>
      <c r="J548" s="282">
        <v>89.95937322333333</v>
      </c>
      <c r="K548" s="282">
        <v>88.185189775277792</v>
      </c>
      <c r="L548" s="282">
        <v>88.394796171527773</v>
      </c>
      <c r="M548" s="282">
        <v>90.5340564827778</v>
      </c>
      <c r="N548" s="282">
        <v>92.607997531944449</v>
      </c>
      <c r="O548" s="282">
        <v>94.438143266666671</v>
      </c>
      <c r="P548" s="282">
        <v>94.290796713333336</v>
      </c>
      <c r="Q548" s="282">
        <v>93.789783224791663</v>
      </c>
      <c r="R548" s="283">
        <v>92.995536695833323</v>
      </c>
      <c r="S548" s="284">
        <v>997.13758271673601</v>
      </c>
      <c r="T548" s="284">
        <v>529.01532528416669</v>
      </c>
      <c r="U548" s="296">
        <f t="shared" si="16"/>
        <v>79.348582716735791</v>
      </c>
      <c r="V548" s="296">
        <f t="shared" si="17"/>
        <v>29.22132528416671</v>
      </c>
      <c r="W548" s="287">
        <v>87</v>
      </c>
      <c r="X548" s="280">
        <v>85</v>
      </c>
      <c r="Y548" s="280">
        <v>86</v>
      </c>
      <c r="Z548" s="280">
        <v>86</v>
      </c>
      <c r="AA548" s="280">
        <v>85</v>
      </c>
      <c r="AB548" s="280">
        <v>86</v>
      </c>
      <c r="AC548" s="280">
        <v>88</v>
      </c>
      <c r="AD548" s="280">
        <v>91</v>
      </c>
      <c r="AE548" s="280">
        <v>92</v>
      </c>
      <c r="AF548" s="280">
        <v>92</v>
      </c>
      <c r="AG548" s="280">
        <v>92</v>
      </c>
      <c r="AH548" s="280">
        <v>94</v>
      </c>
    </row>
    <row r="549" spans="1:34" s="1" customFormat="1" ht="13" x14ac:dyDescent="0.25">
      <c r="A549" s="280" t="s">
        <v>1091</v>
      </c>
      <c r="B549" s="286">
        <v>442</v>
      </c>
      <c r="C549" s="286">
        <v>727.875</v>
      </c>
      <c r="D549" s="286">
        <v>1013.7500000000001</v>
      </c>
      <c r="E549" s="286">
        <v>1</v>
      </c>
      <c r="F549" s="281">
        <v>4</v>
      </c>
      <c r="G549" s="282">
        <v>80.489678562500004</v>
      </c>
      <c r="H549" s="282">
        <v>84.86351588541666</v>
      </c>
      <c r="I549" s="282">
        <v>87.523393745833332</v>
      </c>
      <c r="J549" s="282">
        <v>90.84937322333333</v>
      </c>
      <c r="K549" s="282">
        <v>89.520189775277785</v>
      </c>
      <c r="L549" s="282">
        <v>90.242171171527772</v>
      </c>
      <c r="M549" s="282">
        <v>92.893806482777791</v>
      </c>
      <c r="N549" s="282">
        <v>95.480122531944446</v>
      </c>
      <c r="O549" s="282">
        <v>97.880174516666671</v>
      </c>
      <c r="P549" s="282">
        <v>98.302734213333338</v>
      </c>
      <c r="Q549" s="282">
        <v>98.371626974791667</v>
      </c>
      <c r="R549" s="283">
        <v>98.147286695833316</v>
      </c>
      <c r="S549" s="284">
        <v>1024.0743952167361</v>
      </c>
      <c r="T549" s="284">
        <v>535.89245028416667</v>
      </c>
      <c r="U549" s="296">
        <f t="shared" si="16"/>
        <v>106.28539521673588</v>
      </c>
      <c r="V549" s="296">
        <f t="shared" si="17"/>
        <v>36.098450284166688</v>
      </c>
      <c r="W549" s="287">
        <v>87</v>
      </c>
      <c r="X549" s="280">
        <v>85</v>
      </c>
      <c r="Y549" s="280">
        <v>87</v>
      </c>
      <c r="Z549" s="280">
        <v>88</v>
      </c>
      <c r="AA549" s="280">
        <v>88</v>
      </c>
      <c r="AB549" s="280">
        <v>90</v>
      </c>
      <c r="AC549" s="280">
        <v>93</v>
      </c>
      <c r="AD549" s="280">
        <v>97</v>
      </c>
      <c r="AE549" s="280">
        <v>99</v>
      </c>
      <c r="AF549" s="280">
        <v>100</v>
      </c>
      <c r="AG549" s="280">
        <v>101</v>
      </c>
      <c r="AH549" s="280">
        <v>104</v>
      </c>
    </row>
    <row r="550" spans="1:34" s="1" customFormat="1" ht="13" x14ac:dyDescent="0.25">
      <c r="A550" s="280" t="s">
        <v>1092</v>
      </c>
      <c r="B550" s="286">
        <v>442</v>
      </c>
      <c r="C550" s="286">
        <v>727.875</v>
      </c>
      <c r="D550" s="286">
        <v>1013.7500000000001</v>
      </c>
      <c r="E550" s="286">
        <v>1</v>
      </c>
      <c r="F550" s="281">
        <v>5</v>
      </c>
      <c r="G550" s="282">
        <v>80.489678562500004</v>
      </c>
      <c r="H550" s="282">
        <v>84.86351588541666</v>
      </c>
      <c r="I550" s="282">
        <v>87.968393745833339</v>
      </c>
      <c r="J550" s="282">
        <v>91.739373223333331</v>
      </c>
      <c r="K550" s="282">
        <v>90.855189775277793</v>
      </c>
      <c r="L550" s="282">
        <v>92.089546171527772</v>
      </c>
      <c r="M550" s="282">
        <v>95.253556482777796</v>
      </c>
      <c r="N550" s="282">
        <v>98.352247531944442</v>
      </c>
      <c r="O550" s="282">
        <v>101.32220576666667</v>
      </c>
      <c r="P550" s="282">
        <v>102.31467171333333</v>
      </c>
      <c r="Q550" s="282">
        <v>102.95347072479166</v>
      </c>
      <c r="R550" s="283">
        <v>103.29903669583332</v>
      </c>
      <c r="S550" s="284">
        <v>1051.0112077167362</v>
      </c>
      <c r="T550" s="284">
        <v>542.76957528416665</v>
      </c>
      <c r="U550" s="296">
        <f t="shared" si="16"/>
        <v>133.22220771673597</v>
      </c>
      <c r="V550" s="296">
        <f t="shared" si="17"/>
        <v>42.975575284166666</v>
      </c>
      <c r="W550" s="287">
        <v>87</v>
      </c>
      <c r="X550" s="280">
        <v>85</v>
      </c>
      <c r="Y550" s="280">
        <v>88</v>
      </c>
      <c r="Z550" s="280">
        <v>90</v>
      </c>
      <c r="AA550" s="280">
        <v>91</v>
      </c>
      <c r="AB550" s="280">
        <v>94</v>
      </c>
      <c r="AC550" s="280">
        <v>98</v>
      </c>
      <c r="AD550" s="280">
        <v>103</v>
      </c>
      <c r="AE550" s="280">
        <v>106</v>
      </c>
      <c r="AF550" s="280">
        <v>108</v>
      </c>
      <c r="AG550" s="280">
        <v>110</v>
      </c>
      <c r="AH550" s="280">
        <v>114</v>
      </c>
    </row>
    <row r="551" spans="1:34" s="1" customFormat="1" ht="13" x14ac:dyDescent="0.25">
      <c r="A551" s="280" t="s">
        <v>1093</v>
      </c>
      <c r="B551" s="286">
        <v>442</v>
      </c>
      <c r="C551" s="286">
        <v>727.875</v>
      </c>
      <c r="D551" s="286">
        <v>1013.7500000000001</v>
      </c>
      <c r="E551" s="286">
        <v>2</v>
      </c>
      <c r="F551" s="281">
        <v>0</v>
      </c>
      <c r="G551" s="282">
        <v>80.489678562500004</v>
      </c>
      <c r="H551" s="282">
        <v>83.360093393750006</v>
      </c>
      <c r="I551" s="282">
        <v>84.438955370833327</v>
      </c>
      <c r="J551" s="282">
        <v>86.018355140000011</v>
      </c>
      <c r="K551" s="282">
        <v>83.236832108611125</v>
      </c>
      <c r="L551" s="282">
        <v>82.453921171527767</v>
      </c>
      <c r="M551" s="282">
        <v>83.008712732777767</v>
      </c>
      <c r="N551" s="282">
        <v>83.520580865277765</v>
      </c>
      <c r="O551" s="282">
        <v>83.45507035</v>
      </c>
      <c r="P551" s="282">
        <v>81.78394254666668</v>
      </c>
      <c r="Q551" s="282">
        <v>79.536022808124997</v>
      </c>
      <c r="R551" s="283">
        <v>76.932890862499988</v>
      </c>
      <c r="S551" s="284">
        <v>907.74537735006959</v>
      </c>
      <c r="T551" s="284">
        <v>502.51686991750006</v>
      </c>
      <c r="U551" s="296">
        <f t="shared" si="16"/>
        <v>-10.043622649930626</v>
      </c>
      <c r="V551" s="296">
        <f t="shared" si="17"/>
        <v>2.722869917500077</v>
      </c>
      <c r="W551" s="287">
        <v>87</v>
      </c>
      <c r="X551" s="280">
        <v>85</v>
      </c>
      <c r="Y551" s="280">
        <v>83</v>
      </c>
      <c r="Z551" s="280">
        <v>80</v>
      </c>
      <c r="AA551" s="280">
        <v>76</v>
      </c>
      <c r="AB551" s="280">
        <v>74</v>
      </c>
      <c r="AC551" s="280">
        <v>73</v>
      </c>
      <c r="AD551" s="280">
        <v>73</v>
      </c>
      <c r="AE551" s="280">
        <v>71</v>
      </c>
      <c r="AF551" s="280">
        <v>68</v>
      </c>
      <c r="AG551" s="280">
        <v>65</v>
      </c>
      <c r="AH551" s="280">
        <v>64</v>
      </c>
    </row>
    <row r="552" spans="1:34" s="1" customFormat="1" ht="13" x14ac:dyDescent="0.25">
      <c r="A552" s="280" t="s">
        <v>1094</v>
      </c>
      <c r="B552" s="286">
        <v>442</v>
      </c>
      <c r="C552" s="286">
        <v>727.875</v>
      </c>
      <c r="D552" s="286">
        <v>1013.7500000000001</v>
      </c>
      <c r="E552" s="286">
        <v>2</v>
      </c>
      <c r="F552" s="281">
        <v>1</v>
      </c>
      <c r="G552" s="282">
        <v>80.489678562500004</v>
      </c>
      <c r="H552" s="282">
        <v>83.360093393750006</v>
      </c>
      <c r="I552" s="282">
        <v>84.88395537083332</v>
      </c>
      <c r="J552" s="282">
        <v>86.908355140000012</v>
      </c>
      <c r="K552" s="282">
        <v>84.571832108611119</v>
      </c>
      <c r="L552" s="282">
        <v>84.301296171527767</v>
      </c>
      <c r="M552" s="282">
        <v>85.368462732777772</v>
      </c>
      <c r="N552" s="282">
        <v>86.392705865277776</v>
      </c>
      <c r="O552" s="282">
        <v>86.897101599999999</v>
      </c>
      <c r="P552" s="282">
        <v>85.795880046666682</v>
      </c>
      <c r="Q552" s="282">
        <v>84.117866558125002</v>
      </c>
      <c r="R552" s="283">
        <v>82.084640862499981</v>
      </c>
      <c r="S552" s="284">
        <v>934.68218985006956</v>
      </c>
      <c r="T552" s="284">
        <v>509.39399491750009</v>
      </c>
      <c r="U552" s="296">
        <f t="shared" si="16"/>
        <v>16.893189850069348</v>
      </c>
      <c r="V552" s="296">
        <f t="shared" si="17"/>
        <v>9.599994917500112</v>
      </c>
      <c r="W552" s="287">
        <v>87</v>
      </c>
      <c r="X552" s="280">
        <v>85</v>
      </c>
      <c r="Y552" s="280">
        <v>84</v>
      </c>
      <c r="Z552" s="280">
        <v>82</v>
      </c>
      <c r="AA552" s="280">
        <v>79</v>
      </c>
      <c r="AB552" s="280">
        <v>78</v>
      </c>
      <c r="AC552" s="280">
        <v>78</v>
      </c>
      <c r="AD552" s="280">
        <v>79</v>
      </c>
      <c r="AE552" s="280">
        <v>78</v>
      </c>
      <c r="AF552" s="280">
        <v>76</v>
      </c>
      <c r="AG552" s="280">
        <v>74</v>
      </c>
      <c r="AH552" s="280">
        <v>74</v>
      </c>
    </row>
    <row r="553" spans="1:34" s="1" customFormat="1" ht="13" x14ac:dyDescent="0.25">
      <c r="A553" s="280" t="s">
        <v>1095</v>
      </c>
      <c r="B553" s="286">
        <v>442</v>
      </c>
      <c r="C553" s="286">
        <v>727.875</v>
      </c>
      <c r="D553" s="286">
        <v>1013.7500000000001</v>
      </c>
      <c r="E553" s="286">
        <v>2</v>
      </c>
      <c r="F553" s="281">
        <v>2</v>
      </c>
      <c r="G553" s="282">
        <v>80.489678562500004</v>
      </c>
      <c r="H553" s="282">
        <v>83.360093393750006</v>
      </c>
      <c r="I553" s="282">
        <v>85.328955370833327</v>
      </c>
      <c r="J553" s="282">
        <v>87.798355140000012</v>
      </c>
      <c r="K553" s="282">
        <v>85.906832108611127</v>
      </c>
      <c r="L553" s="282">
        <v>86.148671171527766</v>
      </c>
      <c r="M553" s="282">
        <v>87.728212732777777</v>
      </c>
      <c r="N553" s="282">
        <v>89.264830865277773</v>
      </c>
      <c r="O553" s="282">
        <v>90.339132849999999</v>
      </c>
      <c r="P553" s="282">
        <v>89.807817546666641</v>
      </c>
      <c r="Q553" s="282">
        <v>88.699710308125006</v>
      </c>
      <c r="R553" s="283">
        <v>87.236390862500002</v>
      </c>
      <c r="S553" s="284">
        <v>961.61900235006954</v>
      </c>
      <c r="T553" s="284">
        <v>516.27111991750007</v>
      </c>
      <c r="U553" s="296">
        <f t="shared" si="16"/>
        <v>43.830002350069321</v>
      </c>
      <c r="V553" s="296">
        <f t="shared" si="17"/>
        <v>16.47711991750009</v>
      </c>
      <c r="W553" s="287">
        <v>87</v>
      </c>
      <c r="X553" s="280">
        <v>85</v>
      </c>
      <c r="Y553" s="280">
        <v>85</v>
      </c>
      <c r="Z553" s="280">
        <v>84</v>
      </c>
      <c r="AA553" s="280">
        <v>82</v>
      </c>
      <c r="AB553" s="280">
        <v>82</v>
      </c>
      <c r="AC553" s="280">
        <v>83</v>
      </c>
      <c r="AD553" s="280">
        <v>85</v>
      </c>
      <c r="AE553" s="280">
        <v>85</v>
      </c>
      <c r="AF553" s="280">
        <v>84</v>
      </c>
      <c r="AG553" s="280">
        <v>83</v>
      </c>
      <c r="AH553" s="280">
        <v>84</v>
      </c>
    </row>
    <row r="554" spans="1:34" s="1" customFormat="1" ht="13" x14ac:dyDescent="0.25">
      <c r="A554" s="280" t="s">
        <v>1096</v>
      </c>
      <c r="B554" s="286">
        <v>442</v>
      </c>
      <c r="C554" s="286">
        <v>727.875</v>
      </c>
      <c r="D554" s="286">
        <v>1013.7500000000001</v>
      </c>
      <c r="E554" s="286">
        <v>2</v>
      </c>
      <c r="F554" s="281">
        <v>3</v>
      </c>
      <c r="G554" s="282">
        <v>80.489678562500004</v>
      </c>
      <c r="H554" s="282">
        <v>83.360093393750006</v>
      </c>
      <c r="I554" s="282">
        <v>85.77395537083332</v>
      </c>
      <c r="J554" s="282">
        <v>88.688355140000013</v>
      </c>
      <c r="K554" s="282">
        <v>87.241832108611121</v>
      </c>
      <c r="L554" s="282">
        <v>87.996046171527766</v>
      </c>
      <c r="M554" s="282">
        <v>90.087962732777783</v>
      </c>
      <c r="N554" s="282">
        <v>92.13695586527777</v>
      </c>
      <c r="O554" s="282">
        <v>93.781164099999998</v>
      </c>
      <c r="P554" s="282">
        <v>93.819755046666671</v>
      </c>
      <c r="Q554" s="282">
        <v>93.28155405812501</v>
      </c>
      <c r="R554" s="283">
        <v>92.388140862500009</v>
      </c>
      <c r="S554" s="284">
        <v>988.55581485006951</v>
      </c>
      <c r="T554" s="284">
        <v>523.14824491750005</v>
      </c>
      <c r="U554" s="296">
        <f t="shared" si="16"/>
        <v>70.766814850069295</v>
      </c>
      <c r="V554" s="296">
        <f t="shared" si="17"/>
        <v>23.354244917500068</v>
      </c>
      <c r="W554" s="287">
        <v>87</v>
      </c>
      <c r="X554" s="280">
        <v>85</v>
      </c>
      <c r="Y554" s="280">
        <v>86</v>
      </c>
      <c r="Z554" s="280">
        <v>86</v>
      </c>
      <c r="AA554" s="280">
        <v>85</v>
      </c>
      <c r="AB554" s="280">
        <v>86</v>
      </c>
      <c r="AC554" s="280">
        <v>88</v>
      </c>
      <c r="AD554" s="280">
        <v>91</v>
      </c>
      <c r="AE554" s="280">
        <v>92</v>
      </c>
      <c r="AF554" s="280">
        <v>92</v>
      </c>
      <c r="AG554" s="280">
        <v>92</v>
      </c>
      <c r="AH554" s="280">
        <v>94</v>
      </c>
    </row>
    <row r="555" spans="1:34" s="1" customFormat="1" ht="13" x14ac:dyDescent="0.25">
      <c r="A555" s="280" t="s">
        <v>1097</v>
      </c>
      <c r="B555" s="286">
        <v>442</v>
      </c>
      <c r="C555" s="286">
        <v>727.875</v>
      </c>
      <c r="D555" s="286">
        <v>1013.7500000000001</v>
      </c>
      <c r="E555" s="286">
        <v>2</v>
      </c>
      <c r="F555" s="281">
        <v>4</v>
      </c>
      <c r="G555" s="282">
        <v>80.489678562500004</v>
      </c>
      <c r="H555" s="282">
        <v>83.360093393750006</v>
      </c>
      <c r="I555" s="282">
        <v>86.218955370833328</v>
      </c>
      <c r="J555" s="282">
        <v>89.578355139999999</v>
      </c>
      <c r="K555" s="282">
        <v>88.576832108611129</v>
      </c>
      <c r="L555" s="282">
        <v>89.843421171527766</v>
      </c>
      <c r="M555" s="282">
        <v>92.447712732777788</v>
      </c>
      <c r="N555" s="282">
        <v>95.009080865277767</v>
      </c>
      <c r="O555" s="282">
        <v>97.223195349999997</v>
      </c>
      <c r="P555" s="282">
        <v>97.831692546666673</v>
      </c>
      <c r="Q555" s="282">
        <v>97.863397808125001</v>
      </c>
      <c r="R555" s="283">
        <v>97.539890862500002</v>
      </c>
      <c r="S555" s="284">
        <v>1015.4926273500694</v>
      </c>
      <c r="T555" s="284">
        <v>530.02536991750003</v>
      </c>
      <c r="U555" s="296">
        <f t="shared" si="16"/>
        <v>97.703627350069155</v>
      </c>
      <c r="V555" s="296">
        <f t="shared" si="17"/>
        <v>30.231369917500047</v>
      </c>
      <c r="W555" s="287">
        <v>87</v>
      </c>
      <c r="X555" s="280">
        <v>85</v>
      </c>
      <c r="Y555" s="280">
        <v>87</v>
      </c>
      <c r="Z555" s="280">
        <v>88</v>
      </c>
      <c r="AA555" s="280">
        <v>88</v>
      </c>
      <c r="AB555" s="280">
        <v>90</v>
      </c>
      <c r="AC555" s="280">
        <v>93</v>
      </c>
      <c r="AD555" s="280">
        <v>97</v>
      </c>
      <c r="AE555" s="280">
        <v>99</v>
      </c>
      <c r="AF555" s="280">
        <v>100</v>
      </c>
      <c r="AG555" s="280">
        <v>101</v>
      </c>
      <c r="AH555" s="280">
        <v>104</v>
      </c>
    </row>
    <row r="556" spans="1:34" s="1" customFormat="1" ht="13" x14ac:dyDescent="0.25">
      <c r="A556" s="280" t="s">
        <v>1098</v>
      </c>
      <c r="B556" s="286">
        <v>442</v>
      </c>
      <c r="C556" s="286">
        <v>727.875</v>
      </c>
      <c r="D556" s="286">
        <v>1013.7500000000001</v>
      </c>
      <c r="E556" s="286">
        <v>2</v>
      </c>
      <c r="F556" s="281">
        <v>5</v>
      </c>
      <c r="G556" s="282">
        <v>80.489678562500004</v>
      </c>
      <c r="H556" s="282">
        <v>83.360093393750006</v>
      </c>
      <c r="I556" s="282">
        <v>86.663955370833321</v>
      </c>
      <c r="J556" s="282">
        <v>90.46835514</v>
      </c>
      <c r="K556" s="282">
        <v>89.911832108611122</v>
      </c>
      <c r="L556" s="282">
        <v>91.690796171527765</v>
      </c>
      <c r="M556" s="282">
        <v>94.807462732777779</v>
      </c>
      <c r="N556" s="282">
        <v>97.881205865277764</v>
      </c>
      <c r="O556" s="282">
        <v>100.6652266</v>
      </c>
      <c r="P556" s="282">
        <v>101.84363004666668</v>
      </c>
      <c r="Q556" s="282">
        <v>102.44524155812501</v>
      </c>
      <c r="R556" s="283">
        <v>102.69164086250001</v>
      </c>
      <c r="S556" s="284">
        <v>1042.4294398500695</v>
      </c>
      <c r="T556" s="284">
        <v>536.90249491750001</v>
      </c>
      <c r="U556" s="296">
        <f t="shared" si="16"/>
        <v>124.64043985006924</v>
      </c>
      <c r="V556" s="296">
        <f t="shared" si="17"/>
        <v>37.108494917500025</v>
      </c>
      <c r="W556" s="287">
        <v>87</v>
      </c>
      <c r="X556" s="280">
        <v>85</v>
      </c>
      <c r="Y556" s="280">
        <v>88</v>
      </c>
      <c r="Z556" s="280">
        <v>90</v>
      </c>
      <c r="AA556" s="280">
        <v>91</v>
      </c>
      <c r="AB556" s="280">
        <v>94</v>
      </c>
      <c r="AC556" s="280">
        <v>98</v>
      </c>
      <c r="AD556" s="280">
        <v>103</v>
      </c>
      <c r="AE556" s="280">
        <v>106</v>
      </c>
      <c r="AF556" s="280">
        <v>108</v>
      </c>
      <c r="AG556" s="280">
        <v>110</v>
      </c>
      <c r="AH556" s="280">
        <v>114</v>
      </c>
    </row>
    <row r="557" spans="1:34" s="1" customFormat="1" ht="13" x14ac:dyDescent="0.25">
      <c r="A557" s="280" t="s">
        <v>1099</v>
      </c>
      <c r="B557" s="286">
        <v>442</v>
      </c>
      <c r="C557" s="286">
        <v>727.875</v>
      </c>
      <c r="D557" s="286">
        <v>1013.7500000000001</v>
      </c>
      <c r="E557" s="286">
        <v>3</v>
      </c>
      <c r="F557" s="281">
        <v>0</v>
      </c>
      <c r="G557" s="282">
        <v>80.489678562500004</v>
      </c>
      <c r="H557" s="282">
        <v>82.738878921527771</v>
      </c>
      <c r="I557" s="282">
        <v>83.456406134722215</v>
      </c>
      <c r="J557" s="282">
        <v>85.200453223333326</v>
      </c>
      <c r="K557" s="282">
        <v>82.439366830833336</v>
      </c>
      <c r="L557" s="282">
        <v>81.891976727083318</v>
      </c>
      <c r="M557" s="282">
        <v>82.552132871666657</v>
      </c>
      <c r="N557" s="282">
        <v>83.082594754166664</v>
      </c>
      <c r="O557" s="282">
        <v>82.922049516666675</v>
      </c>
      <c r="P557" s="282">
        <v>81.188942546666667</v>
      </c>
      <c r="Q557" s="282">
        <v>79.052585308124989</v>
      </c>
      <c r="R557" s="283">
        <v>76.391606140277759</v>
      </c>
      <c r="S557" s="284">
        <v>900.91699297506932</v>
      </c>
      <c r="T557" s="284">
        <v>498.27921470916658</v>
      </c>
      <c r="U557" s="296">
        <f t="shared" si="16"/>
        <v>-16.872007024930895</v>
      </c>
      <c r="V557" s="296">
        <f t="shared" si="17"/>
        <v>-1.5147852908334016</v>
      </c>
      <c r="W557" s="287">
        <v>87</v>
      </c>
      <c r="X557" s="280">
        <v>85</v>
      </c>
      <c r="Y557" s="280">
        <v>83</v>
      </c>
      <c r="Z557" s="280">
        <v>80</v>
      </c>
      <c r="AA557" s="280">
        <v>76</v>
      </c>
      <c r="AB557" s="280">
        <v>74</v>
      </c>
      <c r="AC557" s="280">
        <v>73</v>
      </c>
      <c r="AD557" s="280">
        <v>73</v>
      </c>
      <c r="AE557" s="280">
        <v>71</v>
      </c>
      <c r="AF557" s="280">
        <v>68</v>
      </c>
      <c r="AG557" s="280">
        <v>65</v>
      </c>
      <c r="AH557" s="280">
        <v>64</v>
      </c>
    </row>
    <row r="558" spans="1:34" s="1" customFormat="1" ht="13" x14ac:dyDescent="0.25">
      <c r="A558" s="280" t="s">
        <v>1100</v>
      </c>
      <c r="B558" s="286">
        <v>442</v>
      </c>
      <c r="C558" s="286">
        <v>727.875</v>
      </c>
      <c r="D558" s="286">
        <v>1013.7500000000001</v>
      </c>
      <c r="E558" s="286">
        <v>3</v>
      </c>
      <c r="F558" s="281">
        <v>1</v>
      </c>
      <c r="G558" s="282">
        <v>80.489678562500004</v>
      </c>
      <c r="H558" s="282">
        <v>82.738878921527771</v>
      </c>
      <c r="I558" s="282">
        <v>83.901406134722208</v>
      </c>
      <c r="J558" s="282">
        <v>86.090453223333341</v>
      </c>
      <c r="K558" s="282">
        <v>83.774366830833344</v>
      </c>
      <c r="L558" s="282">
        <v>83.739351727083317</v>
      </c>
      <c r="M558" s="282">
        <v>84.911882871666677</v>
      </c>
      <c r="N558" s="282">
        <v>85.954719754166661</v>
      </c>
      <c r="O558" s="282">
        <v>86.364080766666675</v>
      </c>
      <c r="P558" s="282">
        <v>85.200880046666668</v>
      </c>
      <c r="Q558" s="282">
        <v>83.634429058124994</v>
      </c>
      <c r="R558" s="283">
        <v>81.543356140277751</v>
      </c>
      <c r="S558" s="284">
        <v>927.85380547506929</v>
      </c>
      <c r="T558" s="284">
        <v>505.15633970916667</v>
      </c>
      <c r="U558" s="296">
        <f t="shared" si="16"/>
        <v>10.064805475069079</v>
      </c>
      <c r="V558" s="296">
        <f t="shared" si="17"/>
        <v>5.3623397091666902</v>
      </c>
      <c r="W558" s="287">
        <v>87</v>
      </c>
      <c r="X558" s="280">
        <v>85</v>
      </c>
      <c r="Y558" s="280">
        <v>84</v>
      </c>
      <c r="Z558" s="280">
        <v>82</v>
      </c>
      <c r="AA558" s="280">
        <v>79</v>
      </c>
      <c r="AB558" s="280">
        <v>78</v>
      </c>
      <c r="AC558" s="280">
        <v>78</v>
      </c>
      <c r="AD558" s="280">
        <v>79</v>
      </c>
      <c r="AE558" s="280">
        <v>78</v>
      </c>
      <c r="AF558" s="280">
        <v>76</v>
      </c>
      <c r="AG558" s="280">
        <v>74</v>
      </c>
      <c r="AH558" s="280">
        <v>74</v>
      </c>
    </row>
    <row r="559" spans="1:34" s="1" customFormat="1" ht="13" x14ac:dyDescent="0.25">
      <c r="A559" s="280" t="s">
        <v>1101</v>
      </c>
      <c r="B559" s="286">
        <v>442</v>
      </c>
      <c r="C559" s="286">
        <v>727.875</v>
      </c>
      <c r="D559" s="286">
        <v>1013.7500000000001</v>
      </c>
      <c r="E559" s="286">
        <v>3</v>
      </c>
      <c r="F559" s="281">
        <v>2</v>
      </c>
      <c r="G559" s="282">
        <v>80.489678562500004</v>
      </c>
      <c r="H559" s="282">
        <v>82.738878921527771</v>
      </c>
      <c r="I559" s="282">
        <v>84.346406134722216</v>
      </c>
      <c r="J559" s="282">
        <v>86.980453223333342</v>
      </c>
      <c r="K559" s="282">
        <v>85.109366830833352</v>
      </c>
      <c r="L559" s="282">
        <v>85.586726727083317</v>
      </c>
      <c r="M559" s="282">
        <v>87.271632871666668</v>
      </c>
      <c r="N559" s="282">
        <v>88.826844754166672</v>
      </c>
      <c r="O559" s="282">
        <v>89.806112016666674</v>
      </c>
      <c r="P559" s="282">
        <v>89.212817546666642</v>
      </c>
      <c r="Q559" s="282">
        <v>88.216272808125012</v>
      </c>
      <c r="R559" s="283">
        <v>86.695106140277773</v>
      </c>
      <c r="S559" s="284">
        <v>954.79061797506949</v>
      </c>
      <c r="T559" s="284">
        <v>512.03346470916665</v>
      </c>
      <c r="U559" s="296">
        <f t="shared" si="16"/>
        <v>37.00161797506928</v>
      </c>
      <c r="V559" s="296">
        <f t="shared" si="17"/>
        <v>12.239464709166668</v>
      </c>
      <c r="W559" s="287">
        <v>87</v>
      </c>
      <c r="X559" s="280">
        <v>85</v>
      </c>
      <c r="Y559" s="280">
        <v>85</v>
      </c>
      <c r="Z559" s="280">
        <v>84</v>
      </c>
      <c r="AA559" s="280">
        <v>82</v>
      </c>
      <c r="AB559" s="280">
        <v>82</v>
      </c>
      <c r="AC559" s="280">
        <v>83</v>
      </c>
      <c r="AD559" s="280">
        <v>85</v>
      </c>
      <c r="AE559" s="280">
        <v>85</v>
      </c>
      <c r="AF559" s="280">
        <v>84</v>
      </c>
      <c r="AG559" s="280">
        <v>83</v>
      </c>
      <c r="AH559" s="280">
        <v>84</v>
      </c>
    </row>
    <row r="560" spans="1:34" s="1" customFormat="1" ht="13" x14ac:dyDescent="0.25">
      <c r="A560" s="280" t="s">
        <v>1102</v>
      </c>
      <c r="B560" s="286">
        <v>442</v>
      </c>
      <c r="C560" s="286">
        <v>727.875</v>
      </c>
      <c r="D560" s="286">
        <v>1013.7500000000001</v>
      </c>
      <c r="E560" s="286">
        <v>3</v>
      </c>
      <c r="F560" s="281">
        <v>3</v>
      </c>
      <c r="G560" s="282">
        <v>80.489678562500004</v>
      </c>
      <c r="H560" s="282">
        <v>82.738878921527771</v>
      </c>
      <c r="I560" s="282">
        <v>84.791406134722209</v>
      </c>
      <c r="J560" s="282">
        <v>87.870453223333342</v>
      </c>
      <c r="K560" s="282">
        <v>86.444366830833346</v>
      </c>
      <c r="L560" s="282">
        <v>87.434101727083316</v>
      </c>
      <c r="M560" s="282">
        <v>89.631382871666673</v>
      </c>
      <c r="N560" s="282">
        <v>91.698969754166669</v>
      </c>
      <c r="O560" s="282">
        <v>93.248143266666673</v>
      </c>
      <c r="P560" s="282">
        <v>93.224755046666672</v>
      </c>
      <c r="Q560" s="282">
        <v>92.798116558125002</v>
      </c>
      <c r="R560" s="283">
        <v>91.846856140277765</v>
      </c>
      <c r="S560" s="284">
        <v>981.72743047506947</v>
      </c>
      <c r="T560" s="284">
        <v>518.91058970916663</v>
      </c>
      <c r="U560" s="296">
        <f t="shared" si="16"/>
        <v>63.938430475069254</v>
      </c>
      <c r="V560" s="296">
        <f t="shared" si="17"/>
        <v>19.116589709166647</v>
      </c>
      <c r="W560" s="287">
        <v>87</v>
      </c>
      <c r="X560" s="280">
        <v>85</v>
      </c>
      <c r="Y560" s="280">
        <v>86</v>
      </c>
      <c r="Z560" s="280">
        <v>86</v>
      </c>
      <c r="AA560" s="280">
        <v>85</v>
      </c>
      <c r="AB560" s="280">
        <v>86</v>
      </c>
      <c r="AC560" s="280">
        <v>88</v>
      </c>
      <c r="AD560" s="280">
        <v>91</v>
      </c>
      <c r="AE560" s="280">
        <v>92</v>
      </c>
      <c r="AF560" s="280">
        <v>92</v>
      </c>
      <c r="AG560" s="280">
        <v>92</v>
      </c>
      <c r="AH560" s="280">
        <v>94</v>
      </c>
    </row>
    <row r="561" spans="1:34" s="1" customFormat="1" ht="13" x14ac:dyDescent="0.25">
      <c r="A561" s="280" t="s">
        <v>1103</v>
      </c>
      <c r="B561" s="286">
        <v>442</v>
      </c>
      <c r="C561" s="286">
        <v>727.875</v>
      </c>
      <c r="D561" s="286">
        <v>1013.7500000000001</v>
      </c>
      <c r="E561" s="286">
        <v>3</v>
      </c>
      <c r="F561" s="281">
        <v>4</v>
      </c>
      <c r="G561" s="282">
        <v>80.489678562500004</v>
      </c>
      <c r="H561" s="282">
        <v>82.738878921527771</v>
      </c>
      <c r="I561" s="282">
        <v>85.236406134722216</v>
      </c>
      <c r="J561" s="282">
        <v>88.760453223333343</v>
      </c>
      <c r="K561" s="282">
        <v>87.779366830833339</v>
      </c>
      <c r="L561" s="282">
        <v>89.28147672708333</v>
      </c>
      <c r="M561" s="282">
        <v>91.991132871666679</v>
      </c>
      <c r="N561" s="282">
        <v>94.57109475416668</v>
      </c>
      <c r="O561" s="282">
        <v>96.690174516666673</v>
      </c>
      <c r="P561" s="282">
        <v>97.236692546666674</v>
      </c>
      <c r="Q561" s="282">
        <v>97.379960308125007</v>
      </c>
      <c r="R561" s="283">
        <v>96.998606140277772</v>
      </c>
      <c r="S561" s="284">
        <v>1008.6642429750693</v>
      </c>
      <c r="T561" s="284">
        <v>525.78771470916661</v>
      </c>
      <c r="U561" s="296">
        <f t="shared" si="16"/>
        <v>90.875242975069114</v>
      </c>
      <c r="V561" s="296">
        <f t="shared" si="17"/>
        <v>25.993714709166625</v>
      </c>
      <c r="W561" s="287">
        <v>87</v>
      </c>
      <c r="X561" s="280">
        <v>85</v>
      </c>
      <c r="Y561" s="280">
        <v>87</v>
      </c>
      <c r="Z561" s="280">
        <v>88</v>
      </c>
      <c r="AA561" s="280">
        <v>88</v>
      </c>
      <c r="AB561" s="280">
        <v>90</v>
      </c>
      <c r="AC561" s="280">
        <v>93</v>
      </c>
      <c r="AD561" s="280">
        <v>97</v>
      </c>
      <c r="AE561" s="280">
        <v>99</v>
      </c>
      <c r="AF561" s="280">
        <v>100</v>
      </c>
      <c r="AG561" s="280">
        <v>101</v>
      </c>
      <c r="AH561" s="280">
        <v>104</v>
      </c>
    </row>
    <row r="562" spans="1:34" s="1" customFormat="1" ht="13" x14ac:dyDescent="0.25">
      <c r="A562" s="280" t="s">
        <v>1104</v>
      </c>
      <c r="B562" s="286">
        <v>442</v>
      </c>
      <c r="C562" s="286">
        <v>727.875</v>
      </c>
      <c r="D562" s="286">
        <v>1013.7500000000001</v>
      </c>
      <c r="E562" s="286">
        <v>3</v>
      </c>
      <c r="F562" s="281">
        <v>5</v>
      </c>
      <c r="G562" s="282">
        <v>80.489678562500004</v>
      </c>
      <c r="H562" s="282">
        <v>82.738878921527771</v>
      </c>
      <c r="I562" s="282">
        <v>85.681406134722209</v>
      </c>
      <c r="J562" s="282">
        <v>89.650453223333344</v>
      </c>
      <c r="K562" s="282">
        <v>89.114366830833347</v>
      </c>
      <c r="L562" s="282">
        <v>91.128851727083315</v>
      </c>
      <c r="M562" s="282">
        <v>94.35088287166667</v>
      </c>
      <c r="N562" s="282">
        <v>97.443219754166677</v>
      </c>
      <c r="O562" s="282">
        <v>100.13220576666667</v>
      </c>
      <c r="P562" s="282">
        <v>101.24863004666668</v>
      </c>
      <c r="Q562" s="282">
        <v>101.96180405812501</v>
      </c>
      <c r="R562" s="283">
        <v>102.15035614027776</v>
      </c>
      <c r="S562" s="284">
        <v>1035.6010554750694</v>
      </c>
      <c r="T562" s="284">
        <v>532.6648397091667</v>
      </c>
      <c r="U562" s="296">
        <f t="shared" si="16"/>
        <v>117.8120554750692</v>
      </c>
      <c r="V562" s="296">
        <f t="shared" si="17"/>
        <v>32.870839709166717</v>
      </c>
      <c r="W562" s="287">
        <v>87</v>
      </c>
      <c r="X562" s="280">
        <v>85</v>
      </c>
      <c r="Y562" s="280">
        <v>88</v>
      </c>
      <c r="Z562" s="280">
        <v>90</v>
      </c>
      <c r="AA562" s="280">
        <v>91</v>
      </c>
      <c r="AB562" s="280">
        <v>94</v>
      </c>
      <c r="AC562" s="280">
        <v>98</v>
      </c>
      <c r="AD562" s="280">
        <v>103</v>
      </c>
      <c r="AE562" s="280">
        <v>106</v>
      </c>
      <c r="AF562" s="280">
        <v>108</v>
      </c>
      <c r="AG562" s="280">
        <v>110</v>
      </c>
      <c r="AH562" s="280">
        <v>114</v>
      </c>
    </row>
    <row r="563" spans="1:34" s="1" customFormat="1" ht="13" x14ac:dyDescent="0.25">
      <c r="A563" s="280" t="s">
        <v>1105</v>
      </c>
      <c r="B563" s="286">
        <v>442</v>
      </c>
      <c r="C563" s="286">
        <v>727.875</v>
      </c>
      <c r="D563" s="286">
        <v>1013.7500000000001</v>
      </c>
      <c r="E563" s="286">
        <v>4</v>
      </c>
      <c r="F563" s="281">
        <v>0</v>
      </c>
      <c r="G563" s="282">
        <v>80.489678562500004</v>
      </c>
      <c r="H563" s="282">
        <v>82.406943310416651</v>
      </c>
      <c r="I563" s="282">
        <v>82.866482816666689</v>
      </c>
      <c r="J563" s="282">
        <v>84.417270306666651</v>
      </c>
      <c r="K563" s="282">
        <v>81.676989858611108</v>
      </c>
      <c r="L563" s="282">
        <v>81.259938504861111</v>
      </c>
      <c r="M563" s="282">
        <v>82.051134607777769</v>
      </c>
      <c r="N563" s="282">
        <v>82.677664198611112</v>
      </c>
      <c r="O563" s="282">
        <v>82.444809933333318</v>
      </c>
      <c r="P563" s="282">
        <v>80.655921713333328</v>
      </c>
      <c r="Q563" s="282">
        <v>78.482376974791649</v>
      </c>
      <c r="R563" s="283">
        <v>75.885442945833319</v>
      </c>
      <c r="S563" s="284">
        <v>894.8249751709028</v>
      </c>
      <c r="T563" s="284">
        <v>494.67875940499999</v>
      </c>
      <c r="U563" s="296">
        <f t="shared" si="16"/>
        <v>-22.964024829097411</v>
      </c>
      <c r="V563" s="296">
        <f t="shared" si="17"/>
        <v>-5.1152405949999888</v>
      </c>
      <c r="W563" s="287">
        <v>87</v>
      </c>
      <c r="X563" s="280">
        <v>85</v>
      </c>
      <c r="Y563" s="280">
        <v>83</v>
      </c>
      <c r="Z563" s="280">
        <v>80</v>
      </c>
      <c r="AA563" s="280">
        <v>76</v>
      </c>
      <c r="AB563" s="280">
        <v>74</v>
      </c>
      <c r="AC563" s="280">
        <v>73</v>
      </c>
      <c r="AD563" s="280">
        <v>73</v>
      </c>
      <c r="AE563" s="280">
        <v>71</v>
      </c>
      <c r="AF563" s="280">
        <v>68</v>
      </c>
      <c r="AG563" s="280">
        <v>65</v>
      </c>
      <c r="AH563" s="280">
        <v>64</v>
      </c>
    </row>
    <row r="564" spans="1:34" s="1" customFormat="1" ht="13" x14ac:dyDescent="0.25">
      <c r="A564" s="280" t="s">
        <v>1106</v>
      </c>
      <c r="B564" s="286">
        <v>442</v>
      </c>
      <c r="C564" s="286">
        <v>727.875</v>
      </c>
      <c r="D564" s="286">
        <v>1013.7500000000001</v>
      </c>
      <c r="E564" s="286">
        <v>4</v>
      </c>
      <c r="F564" s="281">
        <v>1</v>
      </c>
      <c r="G564" s="282">
        <v>80.489678562500004</v>
      </c>
      <c r="H564" s="282">
        <v>82.406943310416651</v>
      </c>
      <c r="I564" s="282">
        <v>83.311482816666683</v>
      </c>
      <c r="J564" s="282">
        <v>85.307270306666666</v>
      </c>
      <c r="K564" s="282">
        <v>83.011989858611116</v>
      </c>
      <c r="L564" s="282">
        <v>83.107313504861111</v>
      </c>
      <c r="M564" s="282">
        <v>84.410884607777774</v>
      </c>
      <c r="N564" s="282">
        <v>85.549789198611109</v>
      </c>
      <c r="O564" s="282">
        <v>85.886841183333331</v>
      </c>
      <c r="P564" s="282">
        <v>84.66785921333333</v>
      </c>
      <c r="Q564" s="282">
        <v>83.064220724791667</v>
      </c>
      <c r="R564" s="283">
        <v>81.037192945833311</v>
      </c>
      <c r="S564" s="284">
        <v>921.76178767090289</v>
      </c>
      <c r="T564" s="284">
        <v>501.55588440500003</v>
      </c>
      <c r="U564" s="296">
        <f t="shared" si="16"/>
        <v>3.9727876709026759</v>
      </c>
      <c r="V564" s="296">
        <f t="shared" si="17"/>
        <v>1.7618844050000462</v>
      </c>
      <c r="W564" s="287">
        <v>87</v>
      </c>
      <c r="X564" s="280">
        <v>85</v>
      </c>
      <c r="Y564" s="280">
        <v>84</v>
      </c>
      <c r="Z564" s="280">
        <v>82</v>
      </c>
      <c r="AA564" s="280">
        <v>79</v>
      </c>
      <c r="AB564" s="280">
        <v>78</v>
      </c>
      <c r="AC564" s="280">
        <v>78</v>
      </c>
      <c r="AD564" s="280">
        <v>79</v>
      </c>
      <c r="AE564" s="280">
        <v>78</v>
      </c>
      <c r="AF564" s="280">
        <v>76</v>
      </c>
      <c r="AG564" s="280">
        <v>74</v>
      </c>
      <c r="AH564" s="280">
        <v>74</v>
      </c>
    </row>
    <row r="565" spans="1:34" s="1" customFormat="1" ht="13" x14ac:dyDescent="0.25">
      <c r="A565" s="280" t="s">
        <v>1107</v>
      </c>
      <c r="B565" s="286">
        <v>442</v>
      </c>
      <c r="C565" s="286">
        <v>727.875</v>
      </c>
      <c r="D565" s="286">
        <v>1013.7500000000001</v>
      </c>
      <c r="E565" s="286">
        <v>4</v>
      </c>
      <c r="F565" s="281">
        <v>2</v>
      </c>
      <c r="G565" s="282">
        <v>80.489678562500004</v>
      </c>
      <c r="H565" s="282">
        <v>82.406943310416651</v>
      </c>
      <c r="I565" s="282">
        <v>83.756482816666676</v>
      </c>
      <c r="J565" s="282">
        <v>86.197270306666667</v>
      </c>
      <c r="K565" s="282">
        <v>84.346989858611124</v>
      </c>
      <c r="L565" s="282">
        <v>84.95468850486111</v>
      </c>
      <c r="M565" s="282">
        <v>86.770634607777765</v>
      </c>
      <c r="N565" s="282">
        <v>88.42191419861112</v>
      </c>
      <c r="O565" s="282">
        <v>89.328872433333331</v>
      </c>
      <c r="P565" s="282">
        <v>88.679796713333332</v>
      </c>
      <c r="Q565" s="282">
        <v>87.646064474791658</v>
      </c>
      <c r="R565" s="283">
        <v>86.188942945833318</v>
      </c>
      <c r="S565" s="284">
        <v>948.69860017090275</v>
      </c>
      <c r="T565" s="284">
        <v>508.43300940500001</v>
      </c>
      <c r="U565" s="296">
        <f t="shared" si="16"/>
        <v>30.909600170902536</v>
      </c>
      <c r="V565" s="296">
        <f t="shared" si="17"/>
        <v>8.6390094050000243</v>
      </c>
      <c r="W565" s="287">
        <v>87</v>
      </c>
      <c r="X565" s="280">
        <v>85</v>
      </c>
      <c r="Y565" s="280">
        <v>85</v>
      </c>
      <c r="Z565" s="280">
        <v>84</v>
      </c>
      <c r="AA565" s="280">
        <v>82</v>
      </c>
      <c r="AB565" s="280">
        <v>82</v>
      </c>
      <c r="AC565" s="280">
        <v>83</v>
      </c>
      <c r="AD565" s="280">
        <v>85</v>
      </c>
      <c r="AE565" s="280">
        <v>85</v>
      </c>
      <c r="AF565" s="280">
        <v>84</v>
      </c>
      <c r="AG565" s="280">
        <v>83</v>
      </c>
      <c r="AH565" s="280">
        <v>84</v>
      </c>
    </row>
    <row r="566" spans="1:34" s="1" customFormat="1" ht="13" x14ac:dyDescent="0.25">
      <c r="A566" s="280" t="s">
        <v>1108</v>
      </c>
      <c r="B566" s="286">
        <v>442</v>
      </c>
      <c r="C566" s="286">
        <v>727.875</v>
      </c>
      <c r="D566" s="286">
        <v>1013.7500000000001</v>
      </c>
      <c r="E566" s="286">
        <v>4</v>
      </c>
      <c r="F566" s="281">
        <v>3</v>
      </c>
      <c r="G566" s="282">
        <v>80.489678562500004</v>
      </c>
      <c r="H566" s="282">
        <v>82.406943310416651</v>
      </c>
      <c r="I566" s="282">
        <v>84.201482816666683</v>
      </c>
      <c r="J566" s="282">
        <v>87.087270306666667</v>
      </c>
      <c r="K566" s="282">
        <v>85.681989858611118</v>
      </c>
      <c r="L566" s="282">
        <v>86.80206350486111</v>
      </c>
      <c r="M566" s="282">
        <v>89.130384607777785</v>
      </c>
      <c r="N566" s="282">
        <v>91.294039198611117</v>
      </c>
      <c r="O566" s="282">
        <v>92.77090368333333</v>
      </c>
      <c r="P566" s="282">
        <v>92.691734213333334</v>
      </c>
      <c r="Q566" s="282">
        <v>92.227908224791662</v>
      </c>
      <c r="R566" s="283">
        <v>91.340692945833311</v>
      </c>
      <c r="S566" s="284">
        <v>975.63541267090295</v>
      </c>
      <c r="T566" s="284">
        <v>515.3101344050001</v>
      </c>
      <c r="U566" s="296">
        <f t="shared" si="16"/>
        <v>57.846412670902737</v>
      </c>
      <c r="V566" s="296">
        <f t="shared" si="17"/>
        <v>15.516134405000116</v>
      </c>
      <c r="W566" s="287">
        <v>87</v>
      </c>
      <c r="X566" s="280">
        <v>85</v>
      </c>
      <c r="Y566" s="280">
        <v>86</v>
      </c>
      <c r="Z566" s="280">
        <v>86</v>
      </c>
      <c r="AA566" s="280">
        <v>85</v>
      </c>
      <c r="AB566" s="280">
        <v>86</v>
      </c>
      <c r="AC566" s="280">
        <v>88</v>
      </c>
      <c r="AD566" s="280">
        <v>91</v>
      </c>
      <c r="AE566" s="280">
        <v>92</v>
      </c>
      <c r="AF566" s="280">
        <v>92</v>
      </c>
      <c r="AG566" s="280">
        <v>92</v>
      </c>
      <c r="AH566" s="280">
        <v>94</v>
      </c>
    </row>
    <row r="567" spans="1:34" s="1" customFormat="1" ht="13" x14ac:dyDescent="0.25">
      <c r="A567" s="280" t="s">
        <v>1109</v>
      </c>
      <c r="B567" s="286">
        <v>442</v>
      </c>
      <c r="C567" s="286">
        <v>727.875</v>
      </c>
      <c r="D567" s="286">
        <v>1013.7500000000001</v>
      </c>
      <c r="E567" s="286">
        <v>4</v>
      </c>
      <c r="F567" s="281">
        <v>4</v>
      </c>
      <c r="G567" s="282">
        <v>80.489678562500004</v>
      </c>
      <c r="H567" s="282">
        <v>82.406943310416651</v>
      </c>
      <c r="I567" s="282">
        <v>84.646482816666676</v>
      </c>
      <c r="J567" s="282">
        <v>87.977270306666668</v>
      </c>
      <c r="K567" s="282">
        <v>87.016989858611126</v>
      </c>
      <c r="L567" s="282">
        <v>88.649438504861109</v>
      </c>
      <c r="M567" s="282">
        <v>91.490134607777776</v>
      </c>
      <c r="N567" s="282">
        <v>94.166164198611114</v>
      </c>
      <c r="O567" s="282">
        <v>96.212934933333329</v>
      </c>
      <c r="P567" s="282">
        <v>96.703671713333335</v>
      </c>
      <c r="Q567" s="282">
        <v>96.809751974791666</v>
      </c>
      <c r="R567" s="283">
        <v>96.492442945833318</v>
      </c>
      <c r="S567" s="284">
        <v>1002.5722251709028</v>
      </c>
      <c r="T567" s="284">
        <v>522.18725940499996</v>
      </c>
      <c r="U567" s="296">
        <f t="shared" si="16"/>
        <v>84.783225170902597</v>
      </c>
      <c r="V567" s="296">
        <f t="shared" si="17"/>
        <v>22.393259404999981</v>
      </c>
      <c r="W567" s="287">
        <v>87</v>
      </c>
      <c r="X567" s="280">
        <v>85</v>
      </c>
      <c r="Y567" s="280">
        <v>87</v>
      </c>
      <c r="Z567" s="280">
        <v>88</v>
      </c>
      <c r="AA567" s="280">
        <v>88</v>
      </c>
      <c r="AB567" s="280">
        <v>90</v>
      </c>
      <c r="AC567" s="280">
        <v>93</v>
      </c>
      <c r="AD567" s="280">
        <v>97</v>
      </c>
      <c r="AE567" s="280">
        <v>99</v>
      </c>
      <c r="AF567" s="280">
        <v>100</v>
      </c>
      <c r="AG567" s="280">
        <v>101</v>
      </c>
      <c r="AH567" s="280">
        <v>104</v>
      </c>
    </row>
    <row r="568" spans="1:34" s="1" customFormat="1" ht="13" x14ac:dyDescent="0.25">
      <c r="A568" s="280" t="s">
        <v>1110</v>
      </c>
      <c r="B568" s="286">
        <v>442</v>
      </c>
      <c r="C568" s="286">
        <v>727.875</v>
      </c>
      <c r="D568" s="286">
        <v>1013.7500000000001</v>
      </c>
      <c r="E568" s="286">
        <v>4</v>
      </c>
      <c r="F568" s="281">
        <v>5</v>
      </c>
      <c r="G568" s="282">
        <v>80.489678562500004</v>
      </c>
      <c r="H568" s="282">
        <v>82.406943310416651</v>
      </c>
      <c r="I568" s="282">
        <v>85.091482816666684</v>
      </c>
      <c r="J568" s="282">
        <v>88.867270306666668</v>
      </c>
      <c r="K568" s="282">
        <v>88.35198985861112</v>
      </c>
      <c r="L568" s="282">
        <v>90.496813504861109</v>
      </c>
      <c r="M568" s="282">
        <v>93.849884607777781</v>
      </c>
      <c r="N568" s="282">
        <v>97.03828919861111</v>
      </c>
      <c r="O568" s="282">
        <v>99.654966183333329</v>
      </c>
      <c r="P568" s="282">
        <v>100.71560921333334</v>
      </c>
      <c r="Q568" s="282">
        <v>101.39159572479167</v>
      </c>
      <c r="R568" s="283">
        <v>101.64419294583331</v>
      </c>
      <c r="S568" s="284">
        <v>1029.5090376709029</v>
      </c>
      <c r="T568" s="284">
        <v>529.06438440500006</v>
      </c>
      <c r="U568" s="296">
        <f t="shared" si="16"/>
        <v>111.72003767090268</v>
      </c>
      <c r="V568" s="296">
        <f t="shared" si="17"/>
        <v>29.270384405000073</v>
      </c>
      <c r="W568" s="287">
        <v>87</v>
      </c>
      <c r="X568" s="280">
        <v>85</v>
      </c>
      <c r="Y568" s="280">
        <v>88</v>
      </c>
      <c r="Z568" s="280">
        <v>90</v>
      </c>
      <c r="AA568" s="280">
        <v>91</v>
      </c>
      <c r="AB568" s="280">
        <v>94</v>
      </c>
      <c r="AC568" s="280">
        <v>98</v>
      </c>
      <c r="AD568" s="280">
        <v>103</v>
      </c>
      <c r="AE568" s="280">
        <v>106</v>
      </c>
      <c r="AF568" s="280">
        <v>108</v>
      </c>
      <c r="AG568" s="280">
        <v>110</v>
      </c>
      <c r="AH568" s="280">
        <v>114</v>
      </c>
    </row>
    <row r="569" spans="1:34" s="1" customFormat="1" ht="13" x14ac:dyDescent="0.25">
      <c r="A569" s="280" t="s">
        <v>1111</v>
      </c>
      <c r="B569" s="286">
        <v>442</v>
      </c>
      <c r="C569" s="286">
        <v>727.875</v>
      </c>
      <c r="D569" s="286">
        <v>1013.7500000000001</v>
      </c>
      <c r="E569" s="286">
        <v>5</v>
      </c>
      <c r="F569" s="281">
        <v>0</v>
      </c>
      <c r="G569" s="282">
        <v>80.489678562500004</v>
      </c>
      <c r="H569" s="282">
        <v>82.181987693750003</v>
      </c>
      <c r="I569" s="282">
        <v>82.479422920833343</v>
      </c>
      <c r="J569" s="282">
        <v>83.889060556666664</v>
      </c>
      <c r="K569" s="282">
        <v>80.958312525277776</v>
      </c>
      <c r="L569" s="282">
        <v>80.615531004861097</v>
      </c>
      <c r="M569" s="282">
        <v>81.547272066111091</v>
      </c>
      <c r="N569" s="282">
        <v>82.216539198611088</v>
      </c>
      <c r="O569" s="282">
        <v>82.00971618333331</v>
      </c>
      <c r="P569" s="282">
        <v>80.167525879999985</v>
      </c>
      <c r="Q569" s="282">
        <v>77.951835308124998</v>
      </c>
      <c r="R569" s="283">
        <v>75.318953362499983</v>
      </c>
      <c r="S569" s="284">
        <v>889.33615670006952</v>
      </c>
      <c r="T569" s="284">
        <v>491.6715867675</v>
      </c>
      <c r="U569" s="296">
        <f t="shared" si="16"/>
        <v>-28.452843299930692</v>
      </c>
      <c r="V569" s="296">
        <f t="shared" si="17"/>
        <v>-8.12241323249998</v>
      </c>
      <c r="W569" s="287">
        <v>87</v>
      </c>
      <c r="X569" s="280">
        <v>85</v>
      </c>
      <c r="Y569" s="280">
        <v>83</v>
      </c>
      <c r="Z569" s="280">
        <v>80</v>
      </c>
      <c r="AA569" s="280">
        <v>76</v>
      </c>
      <c r="AB569" s="280">
        <v>74</v>
      </c>
      <c r="AC569" s="280">
        <v>73</v>
      </c>
      <c r="AD569" s="280">
        <v>73</v>
      </c>
      <c r="AE569" s="280">
        <v>71</v>
      </c>
      <c r="AF569" s="280">
        <v>68</v>
      </c>
      <c r="AG569" s="280">
        <v>65</v>
      </c>
      <c r="AH569" s="280">
        <v>64</v>
      </c>
    </row>
    <row r="570" spans="1:34" s="1" customFormat="1" ht="13" x14ac:dyDescent="0.25">
      <c r="A570" s="280" t="s">
        <v>1112</v>
      </c>
      <c r="B570" s="286">
        <v>442</v>
      </c>
      <c r="C570" s="286">
        <v>727.875</v>
      </c>
      <c r="D570" s="286">
        <v>1013.7500000000001</v>
      </c>
      <c r="E570" s="286">
        <v>5</v>
      </c>
      <c r="F570" s="281">
        <v>1</v>
      </c>
      <c r="G570" s="282">
        <v>80.489678562500004</v>
      </c>
      <c r="H570" s="282">
        <v>82.181987693750003</v>
      </c>
      <c r="I570" s="282">
        <v>82.924422920833337</v>
      </c>
      <c r="J570" s="282">
        <v>84.779060556666678</v>
      </c>
      <c r="K570" s="282">
        <v>82.29331252527777</v>
      </c>
      <c r="L570" s="282">
        <v>82.462906004861097</v>
      </c>
      <c r="M570" s="282">
        <v>83.907022066111111</v>
      </c>
      <c r="N570" s="282">
        <v>85.088664198611099</v>
      </c>
      <c r="O570" s="282">
        <v>85.451747433333324</v>
      </c>
      <c r="P570" s="282">
        <v>84.179463379999987</v>
      </c>
      <c r="Q570" s="282">
        <v>82.533679058124989</v>
      </c>
      <c r="R570" s="283">
        <v>80.470703362499989</v>
      </c>
      <c r="S570" s="284">
        <v>916.2729692000695</v>
      </c>
      <c r="T570" s="284">
        <v>498.54871176750004</v>
      </c>
      <c r="U570" s="296">
        <f t="shared" si="16"/>
        <v>-1.5160307999307179</v>
      </c>
      <c r="V570" s="296">
        <f t="shared" si="17"/>
        <v>-1.245288232499945</v>
      </c>
      <c r="W570" s="287">
        <v>87</v>
      </c>
      <c r="X570" s="280">
        <v>85</v>
      </c>
      <c r="Y570" s="280">
        <v>84</v>
      </c>
      <c r="Z570" s="280">
        <v>82</v>
      </c>
      <c r="AA570" s="280">
        <v>79</v>
      </c>
      <c r="AB570" s="280">
        <v>78</v>
      </c>
      <c r="AC570" s="280">
        <v>78</v>
      </c>
      <c r="AD570" s="280">
        <v>79</v>
      </c>
      <c r="AE570" s="280">
        <v>78</v>
      </c>
      <c r="AF570" s="280">
        <v>76</v>
      </c>
      <c r="AG570" s="280">
        <v>74</v>
      </c>
      <c r="AH570" s="280">
        <v>74</v>
      </c>
    </row>
    <row r="571" spans="1:34" s="1" customFormat="1" ht="13" x14ac:dyDescent="0.25">
      <c r="A571" s="280" t="s">
        <v>1113</v>
      </c>
      <c r="B571" s="286">
        <v>442</v>
      </c>
      <c r="C571" s="286">
        <v>727.875</v>
      </c>
      <c r="D571" s="286">
        <v>1013.7500000000001</v>
      </c>
      <c r="E571" s="286">
        <v>5</v>
      </c>
      <c r="F571" s="281">
        <v>2</v>
      </c>
      <c r="G571" s="282">
        <v>80.489678562500004</v>
      </c>
      <c r="H571" s="282">
        <v>82.181987693750003</v>
      </c>
      <c r="I571" s="282">
        <v>83.369422920833344</v>
      </c>
      <c r="J571" s="282">
        <v>85.669060556666679</v>
      </c>
      <c r="K571" s="282">
        <v>83.628312525277778</v>
      </c>
      <c r="L571" s="282">
        <v>84.310281004861096</v>
      </c>
      <c r="M571" s="282">
        <v>86.266772066111102</v>
      </c>
      <c r="N571" s="282">
        <v>87.960789198611096</v>
      </c>
      <c r="O571" s="282">
        <v>88.893778683333323</v>
      </c>
      <c r="P571" s="282">
        <v>88.191400879999989</v>
      </c>
      <c r="Q571" s="282">
        <v>87.115522808125007</v>
      </c>
      <c r="R571" s="283">
        <v>85.622453362499996</v>
      </c>
      <c r="S571" s="284">
        <v>943.20978170006924</v>
      </c>
      <c r="T571" s="284">
        <v>505.42583676750002</v>
      </c>
      <c r="U571" s="296">
        <f t="shared" si="16"/>
        <v>25.420781700069028</v>
      </c>
      <c r="V571" s="296">
        <f t="shared" si="17"/>
        <v>5.6318367675000331</v>
      </c>
      <c r="W571" s="287">
        <v>87</v>
      </c>
      <c r="X571" s="280">
        <v>85</v>
      </c>
      <c r="Y571" s="280">
        <v>85</v>
      </c>
      <c r="Z571" s="280">
        <v>84</v>
      </c>
      <c r="AA571" s="280">
        <v>82</v>
      </c>
      <c r="AB571" s="280">
        <v>82</v>
      </c>
      <c r="AC571" s="280">
        <v>83</v>
      </c>
      <c r="AD571" s="280">
        <v>85</v>
      </c>
      <c r="AE571" s="280">
        <v>85</v>
      </c>
      <c r="AF571" s="280">
        <v>84</v>
      </c>
      <c r="AG571" s="280">
        <v>83</v>
      </c>
      <c r="AH571" s="280">
        <v>84</v>
      </c>
    </row>
    <row r="572" spans="1:34" s="1" customFormat="1" ht="13" x14ac:dyDescent="0.25">
      <c r="A572" s="280" t="s">
        <v>1114</v>
      </c>
      <c r="B572" s="286">
        <v>442</v>
      </c>
      <c r="C572" s="286">
        <v>727.875</v>
      </c>
      <c r="D572" s="286">
        <v>1013.7500000000001</v>
      </c>
      <c r="E572" s="286">
        <v>5</v>
      </c>
      <c r="F572" s="281">
        <v>3</v>
      </c>
      <c r="G572" s="282">
        <v>80.489678562500004</v>
      </c>
      <c r="H572" s="282">
        <v>82.181987693750003</v>
      </c>
      <c r="I572" s="282">
        <v>83.814422920833337</v>
      </c>
      <c r="J572" s="282">
        <v>86.55906055666668</v>
      </c>
      <c r="K572" s="282">
        <v>84.963312525277786</v>
      </c>
      <c r="L572" s="282">
        <v>86.15765600486111</v>
      </c>
      <c r="M572" s="282">
        <v>88.626522066111107</v>
      </c>
      <c r="N572" s="282">
        <v>90.832914198611093</v>
      </c>
      <c r="O572" s="282">
        <v>92.335809933333323</v>
      </c>
      <c r="P572" s="282">
        <v>92.203338379999991</v>
      </c>
      <c r="Q572" s="282">
        <v>91.697366558125012</v>
      </c>
      <c r="R572" s="283">
        <v>90.774203362500003</v>
      </c>
      <c r="S572" s="284">
        <v>970.14659420006944</v>
      </c>
      <c r="T572" s="284">
        <v>512.30296176750005</v>
      </c>
      <c r="U572" s="296">
        <f t="shared" si="16"/>
        <v>52.357594200069229</v>
      </c>
      <c r="V572" s="296">
        <f t="shared" si="17"/>
        <v>12.508961767500068</v>
      </c>
      <c r="W572" s="287">
        <v>87</v>
      </c>
      <c r="X572" s="280">
        <v>85</v>
      </c>
      <c r="Y572" s="280">
        <v>86</v>
      </c>
      <c r="Z572" s="280">
        <v>86</v>
      </c>
      <c r="AA572" s="280">
        <v>85</v>
      </c>
      <c r="AB572" s="280">
        <v>86</v>
      </c>
      <c r="AC572" s="280">
        <v>88</v>
      </c>
      <c r="AD572" s="280">
        <v>91</v>
      </c>
      <c r="AE572" s="280">
        <v>92</v>
      </c>
      <c r="AF572" s="280">
        <v>92</v>
      </c>
      <c r="AG572" s="280">
        <v>92</v>
      </c>
      <c r="AH572" s="280">
        <v>94</v>
      </c>
    </row>
    <row r="573" spans="1:34" s="1" customFormat="1" ht="13" x14ac:dyDescent="0.25">
      <c r="A573" s="280" t="s">
        <v>1115</v>
      </c>
      <c r="B573" s="286">
        <v>442</v>
      </c>
      <c r="C573" s="286">
        <v>727.875</v>
      </c>
      <c r="D573" s="286">
        <v>1013.7500000000001</v>
      </c>
      <c r="E573" s="286">
        <v>5</v>
      </c>
      <c r="F573" s="281">
        <v>4</v>
      </c>
      <c r="G573" s="282">
        <v>80.489678562500004</v>
      </c>
      <c r="H573" s="282">
        <v>82.181987693750003</v>
      </c>
      <c r="I573" s="282">
        <v>84.259422920833345</v>
      </c>
      <c r="J573" s="282">
        <v>87.44906055666668</v>
      </c>
      <c r="K573" s="282">
        <v>86.29831252527778</v>
      </c>
      <c r="L573" s="282">
        <v>88.00503100486111</v>
      </c>
      <c r="M573" s="282">
        <v>90.986272066111113</v>
      </c>
      <c r="N573" s="282">
        <v>93.705039198611104</v>
      </c>
      <c r="O573" s="282">
        <v>95.777841183333322</v>
      </c>
      <c r="P573" s="282">
        <v>96.215275879999993</v>
      </c>
      <c r="Q573" s="282">
        <v>96.279210308125002</v>
      </c>
      <c r="R573" s="283">
        <v>95.925953362499996</v>
      </c>
      <c r="S573" s="284">
        <v>997.08340670006942</v>
      </c>
      <c r="T573" s="284">
        <v>519.18008676750003</v>
      </c>
      <c r="U573" s="296">
        <f t="shared" si="16"/>
        <v>79.294406700069203</v>
      </c>
      <c r="V573" s="296">
        <f t="shared" si="17"/>
        <v>19.386086767500046</v>
      </c>
      <c r="W573" s="287">
        <v>87</v>
      </c>
      <c r="X573" s="280">
        <v>85</v>
      </c>
      <c r="Y573" s="280">
        <v>87</v>
      </c>
      <c r="Z573" s="280">
        <v>88</v>
      </c>
      <c r="AA573" s="280">
        <v>88</v>
      </c>
      <c r="AB573" s="280">
        <v>90</v>
      </c>
      <c r="AC573" s="280">
        <v>93</v>
      </c>
      <c r="AD573" s="280">
        <v>97</v>
      </c>
      <c r="AE573" s="280">
        <v>99</v>
      </c>
      <c r="AF573" s="280">
        <v>100</v>
      </c>
      <c r="AG573" s="280">
        <v>101</v>
      </c>
      <c r="AH573" s="280">
        <v>104</v>
      </c>
    </row>
    <row r="574" spans="1:34" s="1" customFormat="1" ht="13" x14ac:dyDescent="0.25">
      <c r="A574" s="280" t="s">
        <v>1116</v>
      </c>
      <c r="B574" s="286">
        <v>442</v>
      </c>
      <c r="C574" s="286">
        <v>727.875</v>
      </c>
      <c r="D574" s="286">
        <v>1013.7500000000001</v>
      </c>
      <c r="E574" s="286">
        <v>5</v>
      </c>
      <c r="F574" s="281">
        <v>5</v>
      </c>
      <c r="G574" s="282">
        <v>80.489678562500004</v>
      </c>
      <c r="H574" s="282">
        <v>82.181987693750003</v>
      </c>
      <c r="I574" s="282">
        <v>84.704422920833338</v>
      </c>
      <c r="J574" s="282">
        <v>88.339060556666681</v>
      </c>
      <c r="K574" s="282">
        <v>87.633312525277788</v>
      </c>
      <c r="L574" s="282">
        <v>89.852406004861109</v>
      </c>
      <c r="M574" s="282">
        <v>93.346022066111104</v>
      </c>
      <c r="N574" s="282">
        <v>96.577164198611101</v>
      </c>
      <c r="O574" s="282">
        <v>99.219872433333322</v>
      </c>
      <c r="P574" s="282">
        <v>100.22721337999999</v>
      </c>
      <c r="Q574" s="282">
        <v>100.86105405812501</v>
      </c>
      <c r="R574" s="283">
        <v>101.0777033625</v>
      </c>
      <c r="S574" s="284">
        <v>1024.0202192000693</v>
      </c>
      <c r="T574" s="284">
        <v>526.05721176750001</v>
      </c>
      <c r="U574" s="296">
        <f t="shared" si="16"/>
        <v>106.23121920006906</v>
      </c>
      <c r="V574" s="296">
        <f t="shared" si="17"/>
        <v>26.263211767500025</v>
      </c>
      <c r="W574" s="287">
        <v>87</v>
      </c>
      <c r="X574" s="280">
        <v>85</v>
      </c>
      <c r="Y574" s="280">
        <v>88</v>
      </c>
      <c r="Z574" s="280">
        <v>90</v>
      </c>
      <c r="AA574" s="280">
        <v>91</v>
      </c>
      <c r="AB574" s="280">
        <v>94</v>
      </c>
      <c r="AC574" s="280">
        <v>98</v>
      </c>
      <c r="AD574" s="280">
        <v>103</v>
      </c>
      <c r="AE574" s="280">
        <v>106</v>
      </c>
      <c r="AF574" s="280">
        <v>108</v>
      </c>
      <c r="AG574" s="280">
        <v>110</v>
      </c>
      <c r="AH574" s="280">
        <v>114</v>
      </c>
    </row>
    <row r="575" spans="1:34" s="1" customFormat="1" ht="13" x14ac:dyDescent="0.25">
      <c r="A575" s="280" t="s">
        <v>1117</v>
      </c>
      <c r="B575" s="286">
        <v>442</v>
      </c>
      <c r="C575" s="286">
        <v>727.875</v>
      </c>
      <c r="D575" s="286">
        <v>1013.7500000000001</v>
      </c>
      <c r="E575" s="286">
        <v>1</v>
      </c>
      <c r="F575" s="281">
        <v>0</v>
      </c>
      <c r="G575" s="282">
        <v>80.489678562500004</v>
      </c>
      <c r="H575" s="282">
        <v>85.076849218749999</v>
      </c>
      <c r="I575" s="282">
        <v>85.993654162499993</v>
      </c>
      <c r="J575" s="282">
        <v>87.556248223333327</v>
      </c>
      <c r="K575" s="282">
        <v>84.436231441944443</v>
      </c>
      <c r="L575" s="282">
        <v>83.108296171527769</v>
      </c>
      <c r="M575" s="282">
        <v>83.720223149444436</v>
      </c>
      <c r="N575" s="282">
        <v>84.268914198611114</v>
      </c>
      <c r="O575" s="282">
        <v>84.405174516666662</v>
      </c>
      <c r="P575" s="282">
        <v>82.547484213333334</v>
      </c>
      <c r="Q575" s="282">
        <v>80.333001974791657</v>
      </c>
      <c r="R575" s="283">
        <v>77.82549502916666</v>
      </c>
      <c r="S575" s="284">
        <v>919.27157230006924</v>
      </c>
      <c r="T575" s="284">
        <v>509.89150236749992</v>
      </c>
      <c r="U575" s="296">
        <f t="shared" si="16"/>
        <v>1.4825723000690232</v>
      </c>
      <c r="V575" s="296">
        <f t="shared" si="17"/>
        <v>10.097502367499942</v>
      </c>
      <c r="W575" s="287">
        <v>87</v>
      </c>
      <c r="X575" s="280">
        <v>85</v>
      </c>
      <c r="Y575" s="280">
        <v>83</v>
      </c>
      <c r="Z575" s="280">
        <v>80</v>
      </c>
      <c r="AA575" s="280">
        <v>76</v>
      </c>
      <c r="AB575" s="280">
        <v>74</v>
      </c>
      <c r="AC575" s="280">
        <v>73</v>
      </c>
      <c r="AD575" s="280">
        <v>73</v>
      </c>
      <c r="AE575" s="280">
        <v>71</v>
      </c>
      <c r="AF575" s="280">
        <v>68</v>
      </c>
      <c r="AG575" s="280">
        <v>65</v>
      </c>
      <c r="AH575" s="280">
        <v>64</v>
      </c>
    </row>
    <row r="576" spans="1:34" s="1" customFormat="1" ht="13" x14ac:dyDescent="0.25">
      <c r="A576" s="280" t="s">
        <v>1118</v>
      </c>
      <c r="B576" s="286">
        <v>442</v>
      </c>
      <c r="C576" s="286">
        <v>727.875</v>
      </c>
      <c r="D576" s="286">
        <v>1013.7500000000001</v>
      </c>
      <c r="E576" s="286">
        <v>1</v>
      </c>
      <c r="F576" s="281">
        <v>1</v>
      </c>
      <c r="G576" s="282">
        <v>80.489678562500004</v>
      </c>
      <c r="H576" s="282">
        <v>85.076849218749999</v>
      </c>
      <c r="I576" s="282">
        <v>86.438654162499986</v>
      </c>
      <c r="J576" s="282">
        <v>88.446248223333328</v>
      </c>
      <c r="K576" s="282">
        <v>85.771231441944451</v>
      </c>
      <c r="L576" s="282">
        <v>84.955671171527769</v>
      </c>
      <c r="M576" s="282">
        <v>86.079973149444442</v>
      </c>
      <c r="N576" s="282">
        <v>87.141039198611111</v>
      </c>
      <c r="O576" s="282">
        <v>87.847830766666661</v>
      </c>
      <c r="P576" s="282">
        <v>86.560671713333335</v>
      </c>
      <c r="Q576" s="282">
        <v>84.916720724791659</v>
      </c>
      <c r="R576" s="283">
        <v>82.979745029166665</v>
      </c>
      <c r="S576" s="284">
        <v>946.21463480006935</v>
      </c>
      <c r="T576" s="284">
        <v>516.7686273674999</v>
      </c>
      <c r="U576" s="296">
        <f t="shared" si="16"/>
        <v>28.425634800069133</v>
      </c>
      <c r="V576" s="296">
        <f t="shared" si="17"/>
        <v>16.97462736749992</v>
      </c>
      <c r="W576" s="287">
        <v>87</v>
      </c>
      <c r="X576" s="280">
        <v>85</v>
      </c>
      <c r="Y576" s="280">
        <v>84</v>
      </c>
      <c r="Z576" s="280">
        <v>82</v>
      </c>
      <c r="AA576" s="280">
        <v>79</v>
      </c>
      <c r="AB576" s="280">
        <v>78</v>
      </c>
      <c r="AC576" s="280">
        <v>78</v>
      </c>
      <c r="AD576" s="280">
        <v>79</v>
      </c>
      <c r="AE576" s="280">
        <v>78</v>
      </c>
      <c r="AF576" s="280">
        <v>76</v>
      </c>
      <c r="AG576" s="280">
        <v>74</v>
      </c>
      <c r="AH576" s="280">
        <v>74</v>
      </c>
    </row>
    <row r="577" spans="1:34" s="1" customFormat="1" ht="13" x14ac:dyDescent="0.25">
      <c r="A577" s="280" t="s">
        <v>1119</v>
      </c>
      <c r="B577" s="286">
        <v>442</v>
      </c>
      <c r="C577" s="286">
        <v>727.875</v>
      </c>
      <c r="D577" s="286">
        <v>1013.7500000000001</v>
      </c>
      <c r="E577" s="286">
        <v>1</v>
      </c>
      <c r="F577" s="281">
        <v>2</v>
      </c>
      <c r="G577" s="282">
        <v>80.489678562500004</v>
      </c>
      <c r="H577" s="282">
        <v>85.076849218749999</v>
      </c>
      <c r="I577" s="282">
        <v>86.883654162499994</v>
      </c>
      <c r="J577" s="282">
        <v>89.336248223333328</v>
      </c>
      <c r="K577" s="282">
        <v>87.106231441944445</v>
      </c>
      <c r="L577" s="282">
        <v>86.803046171527768</v>
      </c>
      <c r="M577" s="282">
        <v>88.439723149444433</v>
      </c>
      <c r="N577" s="282">
        <v>90.013164198611094</v>
      </c>
      <c r="O577" s="282">
        <v>91.29048701666666</v>
      </c>
      <c r="P577" s="282">
        <v>90.573859213333336</v>
      </c>
      <c r="Q577" s="282">
        <v>89.500439474791662</v>
      </c>
      <c r="R577" s="283">
        <v>88.133995029166655</v>
      </c>
      <c r="S577" s="284">
        <v>973.15769730006923</v>
      </c>
      <c r="T577" s="284">
        <v>523.64575236749988</v>
      </c>
      <c r="U577" s="296">
        <f t="shared" si="16"/>
        <v>55.368697300069016</v>
      </c>
      <c r="V577" s="296">
        <f t="shared" si="17"/>
        <v>23.851752367499898</v>
      </c>
      <c r="W577" s="287">
        <v>87</v>
      </c>
      <c r="X577" s="280">
        <v>85</v>
      </c>
      <c r="Y577" s="280">
        <v>85</v>
      </c>
      <c r="Z577" s="280">
        <v>84</v>
      </c>
      <c r="AA577" s="280">
        <v>82</v>
      </c>
      <c r="AB577" s="280">
        <v>82</v>
      </c>
      <c r="AC577" s="280">
        <v>83</v>
      </c>
      <c r="AD577" s="280">
        <v>85</v>
      </c>
      <c r="AE577" s="280">
        <v>85</v>
      </c>
      <c r="AF577" s="280">
        <v>84</v>
      </c>
      <c r="AG577" s="280">
        <v>83</v>
      </c>
      <c r="AH577" s="280">
        <v>84</v>
      </c>
    </row>
    <row r="578" spans="1:34" s="1" customFormat="1" ht="13" x14ac:dyDescent="0.25">
      <c r="A578" s="280" t="s">
        <v>1120</v>
      </c>
      <c r="B578" s="286">
        <v>442</v>
      </c>
      <c r="C578" s="286">
        <v>727.875</v>
      </c>
      <c r="D578" s="286">
        <v>1013.7500000000001</v>
      </c>
      <c r="E578" s="286">
        <v>1</v>
      </c>
      <c r="F578" s="281">
        <v>3</v>
      </c>
      <c r="G578" s="282">
        <v>80.489678562500004</v>
      </c>
      <c r="H578" s="282">
        <v>85.076849218749999</v>
      </c>
      <c r="I578" s="282">
        <v>87.328654162499987</v>
      </c>
      <c r="J578" s="282">
        <v>90.226248223333329</v>
      </c>
      <c r="K578" s="282">
        <v>88.441231441944467</v>
      </c>
      <c r="L578" s="282">
        <v>88.650421171527768</v>
      </c>
      <c r="M578" s="282">
        <v>90.799473149444438</v>
      </c>
      <c r="N578" s="282">
        <v>92.885289198611105</v>
      </c>
      <c r="O578" s="282">
        <v>94.733143266666659</v>
      </c>
      <c r="P578" s="282">
        <v>94.587046713333336</v>
      </c>
      <c r="Q578" s="282">
        <v>94.084158224791665</v>
      </c>
      <c r="R578" s="283">
        <v>93.28824502916666</v>
      </c>
      <c r="S578" s="284">
        <v>1000.1007598000692</v>
      </c>
      <c r="T578" s="284">
        <v>530.52287736749997</v>
      </c>
      <c r="U578" s="296">
        <f t="shared" si="16"/>
        <v>82.311759800069012</v>
      </c>
      <c r="V578" s="296">
        <f t="shared" si="17"/>
        <v>30.72887736749999</v>
      </c>
      <c r="W578" s="287">
        <v>87</v>
      </c>
      <c r="X578" s="280">
        <v>85</v>
      </c>
      <c r="Y578" s="280">
        <v>86</v>
      </c>
      <c r="Z578" s="280">
        <v>86</v>
      </c>
      <c r="AA578" s="280">
        <v>85</v>
      </c>
      <c r="AB578" s="280">
        <v>86</v>
      </c>
      <c r="AC578" s="280">
        <v>88</v>
      </c>
      <c r="AD578" s="280">
        <v>91</v>
      </c>
      <c r="AE578" s="280">
        <v>92</v>
      </c>
      <c r="AF578" s="280">
        <v>92</v>
      </c>
      <c r="AG578" s="280">
        <v>92</v>
      </c>
      <c r="AH578" s="280">
        <v>94</v>
      </c>
    </row>
    <row r="579" spans="1:34" s="1" customFormat="1" ht="13" x14ac:dyDescent="0.25">
      <c r="A579" s="280" t="s">
        <v>1121</v>
      </c>
      <c r="B579" s="286">
        <v>442</v>
      </c>
      <c r="C579" s="286">
        <v>727.875</v>
      </c>
      <c r="D579" s="286">
        <v>1013.7500000000001</v>
      </c>
      <c r="E579" s="286">
        <v>1</v>
      </c>
      <c r="F579" s="281">
        <v>4</v>
      </c>
      <c r="G579" s="282">
        <v>80.489678562500004</v>
      </c>
      <c r="H579" s="282">
        <v>85.076849218749999</v>
      </c>
      <c r="I579" s="282">
        <v>87.773654162499994</v>
      </c>
      <c r="J579" s="282">
        <v>91.116248223333329</v>
      </c>
      <c r="K579" s="282">
        <v>89.776231441944461</v>
      </c>
      <c r="L579" s="282">
        <v>90.497796171527767</v>
      </c>
      <c r="M579" s="282">
        <v>93.159223149444443</v>
      </c>
      <c r="N579" s="282">
        <v>95.757414198611102</v>
      </c>
      <c r="O579" s="282">
        <v>98.175799516666657</v>
      </c>
      <c r="P579" s="282">
        <v>98.600234213333337</v>
      </c>
      <c r="Q579" s="282">
        <v>98.667876974791668</v>
      </c>
      <c r="R579" s="283">
        <v>98.442495029166665</v>
      </c>
      <c r="S579" s="284">
        <v>1027.0438223000692</v>
      </c>
      <c r="T579" s="284">
        <v>537.40000236749995</v>
      </c>
      <c r="U579" s="296">
        <f t="shared" si="16"/>
        <v>109.25482230006901</v>
      </c>
      <c r="V579" s="296">
        <f t="shared" si="17"/>
        <v>37.606002367499968</v>
      </c>
      <c r="W579" s="287">
        <v>87</v>
      </c>
      <c r="X579" s="280">
        <v>85</v>
      </c>
      <c r="Y579" s="280">
        <v>87</v>
      </c>
      <c r="Z579" s="280">
        <v>88</v>
      </c>
      <c r="AA579" s="280">
        <v>88</v>
      </c>
      <c r="AB579" s="280">
        <v>90</v>
      </c>
      <c r="AC579" s="280">
        <v>93</v>
      </c>
      <c r="AD579" s="280">
        <v>97</v>
      </c>
      <c r="AE579" s="280">
        <v>99</v>
      </c>
      <c r="AF579" s="280">
        <v>100</v>
      </c>
      <c r="AG579" s="280">
        <v>101</v>
      </c>
      <c r="AH579" s="280">
        <v>104</v>
      </c>
    </row>
    <row r="580" spans="1:34" s="1" customFormat="1" ht="13" x14ac:dyDescent="0.25">
      <c r="A580" s="280" t="s">
        <v>1122</v>
      </c>
      <c r="B580" s="286">
        <v>442</v>
      </c>
      <c r="C580" s="286">
        <v>727.875</v>
      </c>
      <c r="D580" s="286">
        <v>1013.7500000000001</v>
      </c>
      <c r="E580" s="286">
        <v>1</v>
      </c>
      <c r="F580" s="281">
        <v>5</v>
      </c>
      <c r="G580" s="282">
        <v>80.489678562500004</v>
      </c>
      <c r="H580" s="282">
        <v>85.076849218749999</v>
      </c>
      <c r="I580" s="282">
        <v>88.218654162499988</v>
      </c>
      <c r="J580" s="282">
        <v>92.00624822333333</v>
      </c>
      <c r="K580" s="282">
        <v>91.111231441944454</v>
      </c>
      <c r="L580" s="282">
        <v>92.345171171527767</v>
      </c>
      <c r="M580" s="282">
        <v>95.518973149444435</v>
      </c>
      <c r="N580" s="282">
        <v>98.629539198611099</v>
      </c>
      <c r="O580" s="282">
        <v>101.61845576666666</v>
      </c>
      <c r="P580" s="282">
        <v>102.61342171333334</v>
      </c>
      <c r="Q580" s="282">
        <v>103.25159572479167</v>
      </c>
      <c r="R580" s="283">
        <v>103.59674502916666</v>
      </c>
      <c r="S580" s="284">
        <v>1053.9868848000694</v>
      </c>
      <c r="T580" s="284">
        <v>544.27712736750004</v>
      </c>
      <c r="U580" s="296">
        <f t="shared" si="16"/>
        <v>136.19788480006923</v>
      </c>
      <c r="V580" s="296">
        <f t="shared" si="17"/>
        <v>44.48312736750006</v>
      </c>
      <c r="W580" s="287">
        <v>87</v>
      </c>
      <c r="X580" s="280">
        <v>85</v>
      </c>
      <c r="Y580" s="280">
        <v>88</v>
      </c>
      <c r="Z580" s="280">
        <v>90</v>
      </c>
      <c r="AA580" s="280">
        <v>91</v>
      </c>
      <c r="AB580" s="280">
        <v>94</v>
      </c>
      <c r="AC580" s="280">
        <v>98</v>
      </c>
      <c r="AD580" s="280">
        <v>103</v>
      </c>
      <c r="AE580" s="280">
        <v>106</v>
      </c>
      <c r="AF580" s="280">
        <v>108</v>
      </c>
      <c r="AG580" s="280">
        <v>110</v>
      </c>
      <c r="AH580" s="280">
        <v>114</v>
      </c>
    </row>
    <row r="581" spans="1:34" s="1" customFormat="1" ht="13" x14ac:dyDescent="0.25">
      <c r="A581" s="280" t="s">
        <v>1123</v>
      </c>
      <c r="B581" s="286">
        <v>442</v>
      </c>
      <c r="C581" s="286">
        <v>727.875</v>
      </c>
      <c r="D581" s="286">
        <v>1013.7500000000001</v>
      </c>
      <c r="E581" s="286">
        <v>2</v>
      </c>
      <c r="F581" s="281">
        <v>0</v>
      </c>
      <c r="G581" s="282">
        <v>80.489678562500004</v>
      </c>
      <c r="H581" s="282">
        <v>83.549468393750004</v>
      </c>
      <c r="I581" s="282">
        <v>84.6636689125</v>
      </c>
      <c r="J581" s="282">
        <v>86.275438473333324</v>
      </c>
      <c r="K581" s="282">
        <v>83.48860294194445</v>
      </c>
      <c r="L581" s="282">
        <v>82.708296171527763</v>
      </c>
      <c r="M581" s="282">
        <v>83.272306482777779</v>
      </c>
      <c r="N581" s="282">
        <v>83.79391419861112</v>
      </c>
      <c r="O581" s="282">
        <v>83.742674516666654</v>
      </c>
      <c r="P581" s="282">
        <v>82.072484213333325</v>
      </c>
      <c r="Q581" s="282">
        <v>79.820501974791654</v>
      </c>
      <c r="R581" s="283">
        <v>77.212995029166663</v>
      </c>
      <c r="S581" s="284">
        <v>910.60035130840276</v>
      </c>
      <c r="T581" s="284">
        <v>503.95778137583335</v>
      </c>
      <c r="U581" s="296">
        <f t="shared" ref="U581:U644" si="18">S581-S$3</f>
        <v>-7.1886486915974501</v>
      </c>
      <c r="V581" s="296">
        <f t="shared" ref="V581:V644" si="19">T581-T$3</f>
        <v>4.1637813758333664</v>
      </c>
      <c r="W581" s="287">
        <v>87</v>
      </c>
      <c r="X581" s="280">
        <v>85</v>
      </c>
      <c r="Y581" s="280">
        <v>83</v>
      </c>
      <c r="Z581" s="280">
        <v>80</v>
      </c>
      <c r="AA581" s="280">
        <v>76</v>
      </c>
      <c r="AB581" s="280">
        <v>74</v>
      </c>
      <c r="AC581" s="280">
        <v>73</v>
      </c>
      <c r="AD581" s="280">
        <v>73</v>
      </c>
      <c r="AE581" s="280">
        <v>71</v>
      </c>
      <c r="AF581" s="280">
        <v>68</v>
      </c>
      <c r="AG581" s="280">
        <v>65</v>
      </c>
      <c r="AH581" s="280">
        <v>64</v>
      </c>
    </row>
    <row r="582" spans="1:34" s="1" customFormat="1" ht="13" x14ac:dyDescent="0.25">
      <c r="A582" s="280" t="s">
        <v>1124</v>
      </c>
      <c r="B582" s="286">
        <v>442</v>
      </c>
      <c r="C582" s="286">
        <v>727.875</v>
      </c>
      <c r="D582" s="286">
        <v>1013.7500000000001</v>
      </c>
      <c r="E582" s="286">
        <v>2</v>
      </c>
      <c r="F582" s="281">
        <v>1</v>
      </c>
      <c r="G582" s="282">
        <v>80.489678562500004</v>
      </c>
      <c r="H582" s="282">
        <v>83.549468393750004</v>
      </c>
      <c r="I582" s="282">
        <v>85.108668912499994</v>
      </c>
      <c r="J582" s="282">
        <v>87.165438473333325</v>
      </c>
      <c r="K582" s="282">
        <v>84.823602941944458</v>
      </c>
      <c r="L582" s="282">
        <v>84.555671171527763</v>
      </c>
      <c r="M582" s="282">
        <v>85.632056482777784</v>
      </c>
      <c r="N582" s="282">
        <v>86.666039198611116</v>
      </c>
      <c r="O582" s="282">
        <v>87.185330766666652</v>
      </c>
      <c r="P582" s="282">
        <v>86.085671713333326</v>
      </c>
      <c r="Q582" s="282">
        <v>84.404220724791671</v>
      </c>
      <c r="R582" s="283">
        <v>82.367245029166654</v>
      </c>
      <c r="S582" s="284">
        <v>937.54341380840276</v>
      </c>
      <c r="T582" s="284">
        <v>510.83490637583333</v>
      </c>
      <c r="U582" s="296">
        <f t="shared" si="18"/>
        <v>19.754413808402546</v>
      </c>
      <c r="V582" s="296">
        <f t="shared" si="19"/>
        <v>11.040906375833345</v>
      </c>
      <c r="W582" s="287">
        <v>87</v>
      </c>
      <c r="X582" s="280">
        <v>85</v>
      </c>
      <c r="Y582" s="280">
        <v>84</v>
      </c>
      <c r="Z582" s="280">
        <v>82</v>
      </c>
      <c r="AA582" s="280">
        <v>79</v>
      </c>
      <c r="AB582" s="280">
        <v>78</v>
      </c>
      <c r="AC582" s="280">
        <v>78</v>
      </c>
      <c r="AD582" s="280">
        <v>79</v>
      </c>
      <c r="AE582" s="280">
        <v>78</v>
      </c>
      <c r="AF582" s="280">
        <v>76</v>
      </c>
      <c r="AG582" s="280">
        <v>74</v>
      </c>
      <c r="AH582" s="280">
        <v>74</v>
      </c>
    </row>
    <row r="583" spans="1:34" s="1" customFormat="1" ht="13" x14ac:dyDescent="0.25">
      <c r="A583" s="280" t="s">
        <v>1125</v>
      </c>
      <c r="B583" s="286">
        <v>442</v>
      </c>
      <c r="C583" s="286">
        <v>727.875</v>
      </c>
      <c r="D583" s="286">
        <v>1013.7500000000001</v>
      </c>
      <c r="E583" s="286">
        <v>2</v>
      </c>
      <c r="F583" s="281">
        <v>2</v>
      </c>
      <c r="G583" s="282">
        <v>80.489678562500004</v>
      </c>
      <c r="H583" s="282">
        <v>83.549468393750004</v>
      </c>
      <c r="I583" s="282">
        <v>85.553668912500001</v>
      </c>
      <c r="J583" s="282">
        <v>88.055438473333325</v>
      </c>
      <c r="K583" s="282">
        <v>86.158602941944451</v>
      </c>
      <c r="L583" s="282">
        <v>86.403046171527762</v>
      </c>
      <c r="M583" s="282">
        <v>87.99180648277779</v>
      </c>
      <c r="N583" s="282">
        <v>89.538164198611099</v>
      </c>
      <c r="O583" s="282">
        <v>90.627987016666651</v>
      </c>
      <c r="P583" s="282">
        <v>90.098859213333327</v>
      </c>
      <c r="Q583" s="282">
        <v>88.987939474791659</v>
      </c>
      <c r="R583" s="283">
        <v>87.521495029166658</v>
      </c>
      <c r="S583" s="284">
        <v>964.48647630840264</v>
      </c>
      <c r="T583" s="284">
        <v>517.71203137583325</v>
      </c>
      <c r="U583" s="296">
        <f t="shared" si="18"/>
        <v>46.697476308402429</v>
      </c>
      <c r="V583" s="296">
        <f t="shared" si="19"/>
        <v>17.918031375833266</v>
      </c>
      <c r="W583" s="287">
        <v>87</v>
      </c>
      <c r="X583" s="280">
        <v>85</v>
      </c>
      <c r="Y583" s="280">
        <v>85</v>
      </c>
      <c r="Z583" s="280">
        <v>84</v>
      </c>
      <c r="AA583" s="280">
        <v>82</v>
      </c>
      <c r="AB583" s="280">
        <v>82</v>
      </c>
      <c r="AC583" s="280">
        <v>83</v>
      </c>
      <c r="AD583" s="280">
        <v>85</v>
      </c>
      <c r="AE583" s="280">
        <v>85</v>
      </c>
      <c r="AF583" s="280">
        <v>84</v>
      </c>
      <c r="AG583" s="280">
        <v>83</v>
      </c>
      <c r="AH583" s="280">
        <v>84</v>
      </c>
    </row>
    <row r="584" spans="1:34" s="1" customFormat="1" ht="13" x14ac:dyDescent="0.25">
      <c r="A584" s="280" t="s">
        <v>1126</v>
      </c>
      <c r="B584" s="286">
        <v>442</v>
      </c>
      <c r="C584" s="286">
        <v>727.875</v>
      </c>
      <c r="D584" s="286">
        <v>1013.7500000000001</v>
      </c>
      <c r="E584" s="286">
        <v>2</v>
      </c>
      <c r="F584" s="281">
        <v>3</v>
      </c>
      <c r="G584" s="282">
        <v>80.489678562500004</v>
      </c>
      <c r="H584" s="282">
        <v>83.549468393750004</v>
      </c>
      <c r="I584" s="282">
        <v>85.998668912499994</v>
      </c>
      <c r="J584" s="282">
        <v>88.945438473333326</v>
      </c>
      <c r="K584" s="282">
        <v>87.493602941944459</v>
      </c>
      <c r="L584" s="282">
        <v>88.250421171527762</v>
      </c>
      <c r="M584" s="282">
        <v>90.351556482777781</v>
      </c>
      <c r="N584" s="282">
        <v>92.410289198611096</v>
      </c>
      <c r="O584" s="282">
        <v>94.07064326666665</v>
      </c>
      <c r="P584" s="282">
        <v>94.112046713333328</v>
      </c>
      <c r="Q584" s="282">
        <v>93.571658224791662</v>
      </c>
      <c r="R584" s="283">
        <v>92.675745029166663</v>
      </c>
      <c r="S584" s="284">
        <v>991.42953880840287</v>
      </c>
      <c r="T584" s="284">
        <v>524.58915637583334</v>
      </c>
      <c r="U584" s="296">
        <f t="shared" si="18"/>
        <v>73.640538808402653</v>
      </c>
      <c r="V584" s="296">
        <f t="shared" si="19"/>
        <v>24.795156375833358</v>
      </c>
      <c r="W584" s="287">
        <v>87</v>
      </c>
      <c r="X584" s="280">
        <v>85</v>
      </c>
      <c r="Y584" s="280">
        <v>86</v>
      </c>
      <c r="Z584" s="280">
        <v>86</v>
      </c>
      <c r="AA584" s="280">
        <v>85</v>
      </c>
      <c r="AB584" s="280">
        <v>86</v>
      </c>
      <c r="AC584" s="280">
        <v>88</v>
      </c>
      <c r="AD584" s="280">
        <v>91</v>
      </c>
      <c r="AE584" s="280">
        <v>92</v>
      </c>
      <c r="AF584" s="280">
        <v>92</v>
      </c>
      <c r="AG584" s="280">
        <v>92</v>
      </c>
      <c r="AH584" s="280">
        <v>94</v>
      </c>
    </row>
    <row r="585" spans="1:34" s="1" customFormat="1" ht="13" x14ac:dyDescent="0.25">
      <c r="A585" s="280" t="s">
        <v>1127</v>
      </c>
      <c r="B585" s="286">
        <v>442</v>
      </c>
      <c r="C585" s="286">
        <v>727.875</v>
      </c>
      <c r="D585" s="286">
        <v>1013.7500000000001</v>
      </c>
      <c r="E585" s="286">
        <v>2</v>
      </c>
      <c r="F585" s="281">
        <v>4</v>
      </c>
      <c r="G585" s="282">
        <v>80.489678562500004</v>
      </c>
      <c r="H585" s="282">
        <v>83.549468393750004</v>
      </c>
      <c r="I585" s="282">
        <v>86.443668912500002</v>
      </c>
      <c r="J585" s="282">
        <v>89.835438473333326</v>
      </c>
      <c r="K585" s="282">
        <v>88.828602941944453</v>
      </c>
      <c r="L585" s="282">
        <v>90.097796171527762</v>
      </c>
      <c r="M585" s="282">
        <v>92.711306482777786</v>
      </c>
      <c r="N585" s="282">
        <v>95.282414198611093</v>
      </c>
      <c r="O585" s="282">
        <v>97.513299516666663</v>
      </c>
      <c r="P585" s="282">
        <v>98.125234213333329</v>
      </c>
      <c r="Q585" s="282">
        <v>98.155376974791665</v>
      </c>
      <c r="R585" s="283">
        <v>97.829995029166653</v>
      </c>
      <c r="S585" s="284">
        <v>1018.3726013084026</v>
      </c>
      <c r="T585" s="284">
        <v>531.46628137583332</v>
      </c>
      <c r="U585" s="296">
        <f t="shared" si="18"/>
        <v>100.58360130840242</v>
      </c>
      <c r="V585" s="296">
        <f t="shared" si="19"/>
        <v>31.672281375833336</v>
      </c>
      <c r="W585" s="287">
        <v>87</v>
      </c>
      <c r="X585" s="280">
        <v>85</v>
      </c>
      <c r="Y585" s="280">
        <v>87</v>
      </c>
      <c r="Z585" s="280">
        <v>88</v>
      </c>
      <c r="AA585" s="280">
        <v>88</v>
      </c>
      <c r="AB585" s="280">
        <v>90</v>
      </c>
      <c r="AC585" s="280">
        <v>93</v>
      </c>
      <c r="AD585" s="280">
        <v>97</v>
      </c>
      <c r="AE585" s="280">
        <v>99</v>
      </c>
      <c r="AF585" s="280">
        <v>100</v>
      </c>
      <c r="AG585" s="280">
        <v>101</v>
      </c>
      <c r="AH585" s="280">
        <v>104</v>
      </c>
    </row>
    <row r="586" spans="1:34" s="1" customFormat="1" ht="13" x14ac:dyDescent="0.25">
      <c r="A586" s="280" t="s">
        <v>1128</v>
      </c>
      <c r="B586" s="286">
        <v>442</v>
      </c>
      <c r="C586" s="286">
        <v>727.875</v>
      </c>
      <c r="D586" s="286">
        <v>1013.7500000000001</v>
      </c>
      <c r="E586" s="286">
        <v>2</v>
      </c>
      <c r="F586" s="281">
        <v>5</v>
      </c>
      <c r="G586" s="282">
        <v>80.489678562500004</v>
      </c>
      <c r="H586" s="282">
        <v>83.549468393750004</v>
      </c>
      <c r="I586" s="282">
        <v>86.888668912499995</v>
      </c>
      <c r="J586" s="282">
        <v>90.725438473333327</v>
      </c>
      <c r="K586" s="282">
        <v>90.163602941944461</v>
      </c>
      <c r="L586" s="282">
        <v>91.945171171527761</v>
      </c>
      <c r="M586" s="282">
        <v>95.071056482777777</v>
      </c>
      <c r="N586" s="282">
        <v>98.154539198611104</v>
      </c>
      <c r="O586" s="282">
        <v>100.95595576666666</v>
      </c>
      <c r="P586" s="282">
        <v>102.13842171333333</v>
      </c>
      <c r="Q586" s="282">
        <v>102.73909572479167</v>
      </c>
      <c r="R586" s="283">
        <v>102.98424502916666</v>
      </c>
      <c r="S586" s="284">
        <v>1045.3156638084026</v>
      </c>
      <c r="T586" s="284">
        <v>538.3434063758333</v>
      </c>
      <c r="U586" s="296">
        <f t="shared" si="18"/>
        <v>127.52666380840242</v>
      </c>
      <c r="V586" s="296">
        <f t="shared" si="19"/>
        <v>38.549406375833314</v>
      </c>
      <c r="W586" s="287">
        <v>87</v>
      </c>
      <c r="X586" s="280">
        <v>85</v>
      </c>
      <c r="Y586" s="280">
        <v>88</v>
      </c>
      <c r="Z586" s="280">
        <v>90</v>
      </c>
      <c r="AA586" s="280">
        <v>91</v>
      </c>
      <c r="AB586" s="280">
        <v>94</v>
      </c>
      <c r="AC586" s="280">
        <v>98</v>
      </c>
      <c r="AD586" s="280">
        <v>103</v>
      </c>
      <c r="AE586" s="280">
        <v>106</v>
      </c>
      <c r="AF586" s="280">
        <v>108</v>
      </c>
      <c r="AG586" s="280">
        <v>110</v>
      </c>
      <c r="AH586" s="280">
        <v>114</v>
      </c>
    </row>
    <row r="587" spans="1:34" s="1" customFormat="1" ht="13" x14ac:dyDescent="0.25">
      <c r="A587" s="280" t="s">
        <v>1129</v>
      </c>
      <c r="B587" s="286">
        <v>442</v>
      </c>
      <c r="C587" s="286">
        <v>727.875</v>
      </c>
      <c r="D587" s="286">
        <v>1013.7500000000001</v>
      </c>
      <c r="E587" s="286">
        <v>3</v>
      </c>
      <c r="F587" s="281">
        <v>0</v>
      </c>
      <c r="G587" s="282">
        <v>80.489678562500004</v>
      </c>
      <c r="H587" s="282">
        <v>82.919017810416676</v>
      </c>
      <c r="I587" s="282">
        <v>83.663409495833321</v>
      </c>
      <c r="J587" s="282">
        <v>85.436078223333311</v>
      </c>
      <c r="K587" s="282">
        <v>82.684436275277761</v>
      </c>
      <c r="L587" s="282">
        <v>82.1416295048611</v>
      </c>
      <c r="M587" s="282">
        <v>82.811889816111091</v>
      </c>
      <c r="N587" s="282">
        <v>83.352247531944442</v>
      </c>
      <c r="O587" s="282">
        <v>83.205174516666659</v>
      </c>
      <c r="P587" s="282">
        <v>81.472484213333331</v>
      </c>
      <c r="Q587" s="282">
        <v>79.333001974791657</v>
      </c>
      <c r="R587" s="283">
        <v>76.667161695833315</v>
      </c>
      <c r="S587" s="284">
        <v>903.68653105840269</v>
      </c>
      <c r="T587" s="284">
        <v>499.65646112583329</v>
      </c>
      <c r="U587" s="296">
        <f t="shared" si="18"/>
        <v>-14.102468941597522</v>
      </c>
      <c r="V587" s="296">
        <f t="shared" si="19"/>
        <v>-0.13753887416669386</v>
      </c>
      <c r="W587" s="287">
        <v>87</v>
      </c>
      <c r="X587" s="280">
        <v>85</v>
      </c>
      <c r="Y587" s="280">
        <v>83</v>
      </c>
      <c r="Z587" s="280">
        <v>80</v>
      </c>
      <c r="AA587" s="280">
        <v>76</v>
      </c>
      <c r="AB587" s="280">
        <v>74</v>
      </c>
      <c r="AC587" s="280">
        <v>73</v>
      </c>
      <c r="AD587" s="280">
        <v>73</v>
      </c>
      <c r="AE587" s="280">
        <v>71</v>
      </c>
      <c r="AF587" s="280">
        <v>68</v>
      </c>
      <c r="AG587" s="280">
        <v>65</v>
      </c>
      <c r="AH587" s="280">
        <v>64</v>
      </c>
    </row>
    <row r="588" spans="1:34" s="1" customFormat="1" ht="13" x14ac:dyDescent="0.25">
      <c r="A588" s="280" t="s">
        <v>1130</v>
      </c>
      <c r="B588" s="286">
        <v>442</v>
      </c>
      <c r="C588" s="286">
        <v>727.875</v>
      </c>
      <c r="D588" s="286">
        <v>1013.7500000000001</v>
      </c>
      <c r="E588" s="286">
        <v>3</v>
      </c>
      <c r="F588" s="281">
        <v>1</v>
      </c>
      <c r="G588" s="282">
        <v>80.489678562500004</v>
      </c>
      <c r="H588" s="282">
        <v>82.919017810416676</v>
      </c>
      <c r="I588" s="282">
        <v>84.108409495833328</v>
      </c>
      <c r="J588" s="282">
        <v>86.326078223333326</v>
      </c>
      <c r="K588" s="282">
        <v>84.019436275277783</v>
      </c>
      <c r="L588" s="282">
        <v>83.9890045048611</v>
      </c>
      <c r="M588" s="282">
        <v>85.17163981611111</v>
      </c>
      <c r="N588" s="282">
        <v>86.224372531944439</v>
      </c>
      <c r="O588" s="282">
        <v>86.647830766666658</v>
      </c>
      <c r="P588" s="282">
        <v>85.485671713333332</v>
      </c>
      <c r="Q588" s="282">
        <v>83.916720724791659</v>
      </c>
      <c r="R588" s="283">
        <v>81.821411695833319</v>
      </c>
      <c r="S588" s="284">
        <v>930.62959355840258</v>
      </c>
      <c r="T588" s="284">
        <v>506.53358612583332</v>
      </c>
      <c r="U588" s="296">
        <f t="shared" si="18"/>
        <v>12.840593558402361</v>
      </c>
      <c r="V588" s="296">
        <f t="shared" si="19"/>
        <v>6.7395861258333412</v>
      </c>
      <c r="W588" s="287">
        <v>87</v>
      </c>
      <c r="X588" s="280">
        <v>85</v>
      </c>
      <c r="Y588" s="280">
        <v>84</v>
      </c>
      <c r="Z588" s="280">
        <v>82</v>
      </c>
      <c r="AA588" s="280">
        <v>79</v>
      </c>
      <c r="AB588" s="280">
        <v>78</v>
      </c>
      <c r="AC588" s="280">
        <v>78</v>
      </c>
      <c r="AD588" s="280">
        <v>79</v>
      </c>
      <c r="AE588" s="280">
        <v>78</v>
      </c>
      <c r="AF588" s="280">
        <v>76</v>
      </c>
      <c r="AG588" s="280">
        <v>74</v>
      </c>
      <c r="AH588" s="280">
        <v>74</v>
      </c>
    </row>
    <row r="589" spans="1:34" s="1" customFormat="1" ht="13" x14ac:dyDescent="0.25">
      <c r="A589" s="280" t="s">
        <v>1131</v>
      </c>
      <c r="B589" s="286">
        <v>442</v>
      </c>
      <c r="C589" s="286">
        <v>727.875</v>
      </c>
      <c r="D589" s="286">
        <v>1013.7500000000001</v>
      </c>
      <c r="E589" s="286">
        <v>3</v>
      </c>
      <c r="F589" s="281">
        <v>2</v>
      </c>
      <c r="G589" s="282">
        <v>80.489678562500004</v>
      </c>
      <c r="H589" s="282">
        <v>82.919017810416676</v>
      </c>
      <c r="I589" s="282">
        <v>84.553409495833321</v>
      </c>
      <c r="J589" s="282">
        <v>87.216078223333326</v>
      </c>
      <c r="K589" s="282">
        <v>85.354436275277777</v>
      </c>
      <c r="L589" s="282">
        <v>85.8363795048611</v>
      </c>
      <c r="M589" s="282">
        <v>87.531389816111115</v>
      </c>
      <c r="N589" s="282">
        <v>89.096497531944436</v>
      </c>
      <c r="O589" s="282">
        <v>90.090487016666657</v>
      </c>
      <c r="P589" s="282">
        <v>89.498859213333333</v>
      </c>
      <c r="Q589" s="282">
        <v>88.500439474791662</v>
      </c>
      <c r="R589" s="283">
        <v>86.97566169583331</v>
      </c>
      <c r="S589" s="284">
        <v>957.57265605840269</v>
      </c>
      <c r="T589" s="284">
        <v>513.41071112583336</v>
      </c>
      <c r="U589" s="296">
        <f t="shared" si="18"/>
        <v>39.783656058402471</v>
      </c>
      <c r="V589" s="296">
        <f t="shared" si="19"/>
        <v>13.616711125833376</v>
      </c>
      <c r="W589" s="287">
        <v>87</v>
      </c>
      <c r="X589" s="280">
        <v>85</v>
      </c>
      <c r="Y589" s="280">
        <v>85</v>
      </c>
      <c r="Z589" s="280">
        <v>84</v>
      </c>
      <c r="AA589" s="280">
        <v>82</v>
      </c>
      <c r="AB589" s="280">
        <v>82</v>
      </c>
      <c r="AC589" s="280">
        <v>83</v>
      </c>
      <c r="AD589" s="280">
        <v>85</v>
      </c>
      <c r="AE589" s="280">
        <v>85</v>
      </c>
      <c r="AF589" s="280">
        <v>84</v>
      </c>
      <c r="AG589" s="280">
        <v>83</v>
      </c>
      <c r="AH589" s="280">
        <v>84</v>
      </c>
    </row>
    <row r="590" spans="1:34" s="1" customFormat="1" ht="13" x14ac:dyDescent="0.25">
      <c r="A590" s="280" t="s">
        <v>1132</v>
      </c>
      <c r="B590" s="286">
        <v>442</v>
      </c>
      <c r="C590" s="286">
        <v>727.875</v>
      </c>
      <c r="D590" s="286">
        <v>1013.7500000000001</v>
      </c>
      <c r="E590" s="286">
        <v>3</v>
      </c>
      <c r="F590" s="281">
        <v>3</v>
      </c>
      <c r="G590" s="282">
        <v>80.489678562500004</v>
      </c>
      <c r="H590" s="282">
        <v>82.919017810416676</v>
      </c>
      <c r="I590" s="282">
        <v>84.998409495833329</v>
      </c>
      <c r="J590" s="282">
        <v>88.106078223333327</v>
      </c>
      <c r="K590" s="282">
        <v>86.689436275277785</v>
      </c>
      <c r="L590" s="282">
        <v>87.683754504861099</v>
      </c>
      <c r="M590" s="282">
        <v>89.891139816111121</v>
      </c>
      <c r="N590" s="282">
        <v>91.968622531944447</v>
      </c>
      <c r="O590" s="282">
        <v>93.533143266666656</v>
      </c>
      <c r="P590" s="282">
        <v>93.512046713333334</v>
      </c>
      <c r="Q590" s="282">
        <v>93.084158224791665</v>
      </c>
      <c r="R590" s="283">
        <v>92.129911695833314</v>
      </c>
      <c r="S590" s="284">
        <v>984.5157185584028</v>
      </c>
      <c r="T590" s="284">
        <v>520.28783612583334</v>
      </c>
      <c r="U590" s="296">
        <f t="shared" si="18"/>
        <v>66.726718558402581</v>
      </c>
      <c r="V590" s="296">
        <f t="shared" si="19"/>
        <v>20.493836125833354</v>
      </c>
      <c r="W590" s="287">
        <v>87</v>
      </c>
      <c r="X590" s="280">
        <v>85</v>
      </c>
      <c r="Y590" s="280">
        <v>86</v>
      </c>
      <c r="Z590" s="280">
        <v>86</v>
      </c>
      <c r="AA590" s="280">
        <v>85</v>
      </c>
      <c r="AB590" s="280">
        <v>86</v>
      </c>
      <c r="AC590" s="280">
        <v>88</v>
      </c>
      <c r="AD590" s="280">
        <v>91</v>
      </c>
      <c r="AE590" s="280">
        <v>92</v>
      </c>
      <c r="AF590" s="280">
        <v>92</v>
      </c>
      <c r="AG590" s="280">
        <v>92</v>
      </c>
      <c r="AH590" s="280">
        <v>94</v>
      </c>
    </row>
    <row r="591" spans="1:34" s="1" customFormat="1" ht="13" x14ac:dyDescent="0.25">
      <c r="A591" s="280" t="s">
        <v>1133</v>
      </c>
      <c r="B591" s="286">
        <v>442</v>
      </c>
      <c r="C591" s="286">
        <v>727.875</v>
      </c>
      <c r="D591" s="286">
        <v>1013.7500000000001</v>
      </c>
      <c r="E591" s="286">
        <v>3</v>
      </c>
      <c r="F591" s="281">
        <v>4</v>
      </c>
      <c r="G591" s="282">
        <v>80.489678562500004</v>
      </c>
      <c r="H591" s="282">
        <v>82.919017810416676</v>
      </c>
      <c r="I591" s="282">
        <v>85.443409495833322</v>
      </c>
      <c r="J591" s="282">
        <v>88.996078223333328</v>
      </c>
      <c r="K591" s="282">
        <v>88.024436275277779</v>
      </c>
      <c r="L591" s="282">
        <v>89.531129504861099</v>
      </c>
      <c r="M591" s="282">
        <v>92.250889816111126</v>
      </c>
      <c r="N591" s="282">
        <v>94.840747531944444</v>
      </c>
      <c r="O591" s="282">
        <v>96.975799516666655</v>
      </c>
      <c r="P591" s="282">
        <v>97.525234213333334</v>
      </c>
      <c r="Q591" s="282">
        <v>97.667876974791668</v>
      </c>
      <c r="R591" s="283">
        <v>97.284161695833319</v>
      </c>
      <c r="S591" s="284">
        <v>1011.4587810584026</v>
      </c>
      <c r="T591" s="284">
        <v>527.16496112583332</v>
      </c>
      <c r="U591" s="296">
        <f t="shared" si="18"/>
        <v>93.66978105840235</v>
      </c>
      <c r="V591" s="296">
        <f t="shared" si="19"/>
        <v>27.370961125833333</v>
      </c>
      <c r="W591" s="287">
        <v>87</v>
      </c>
      <c r="X591" s="280">
        <v>85</v>
      </c>
      <c r="Y591" s="280">
        <v>87</v>
      </c>
      <c r="Z591" s="280">
        <v>88</v>
      </c>
      <c r="AA591" s="280">
        <v>88</v>
      </c>
      <c r="AB591" s="280">
        <v>90</v>
      </c>
      <c r="AC591" s="280">
        <v>93</v>
      </c>
      <c r="AD591" s="280">
        <v>97</v>
      </c>
      <c r="AE591" s="280">
        <v>99</v>
      </c>
      <c r="AF591" s="280">
        <v>100</v>
      </c>
      <c r="AG591" s="280">
        <v>101</v>
      </c>
      <c r="AH591" s="280">
        <v>104</v>
      </c>
    </row>
    <row r="592" spans="1:34" s="1" customFormat="1" ht="13" x14ac:dyDescent="0.25">
      <c r="A592" s="280" t="s">
        <v>1134</v>
      </c>
      <c r="B592" s="286">
        <v>442</v>
      </c>
      <c r="C592" s="286">
        <v>727.875</v>
      </c>
      <c r="D592" s="286">
        <v>1013.7500000000001</v>
      </c>
      <c r="E592" s="286">
        <v>3</v>
      </c>
      <c r="F592" s="281">
        <v>5</v>
      </c>
      <c r="G592" s="282">
        <v>80.489678562500004</v>
      </c>
      <c r="H592" s="282">
        <v>82.919017810416676</v>
      </c>
      <c r="I592" s="282">
        <v>85.888409495833329</v>
      </c>
      <c r="J592" s="282">
        <v>89.886078223333328</v>
      </c>
      <c r="K592" s="282">
        <v>89.359436275277801</v>
      </c>
      <c r="L592" s="282">
        <v>91.378504504861098</v>
      </c>
      <c r="M592" s="282">
        <v>94.610639816111131</v>
      </c>
      <c r="N592" s="282">
        <v>97.712872531944441</v>
      </c>
      <c r="O592" s="282">
        <v>100.41845576666665</v>
      </c>
      <c r="P592" s="282">
        <v>101.53842171333334</v>
      </c>
      <c r="Q592" s="282">
        <v>102.25159572479167</v>
      </c>
      <c r="R592" s="283">
        <v>102.43841169583331</v>
      </c>
      <c r="S592" s="284">
        <v>1038.4018435584028</v>
      </c>
      <c r="T592" s="284">
        <v>534.04208612583341</v>
      </c>
      <c r="U592" s="296">
        <f t="shared" si="18"/>
        <v>120.61284355840257</v>
      </c>
      <c r="V592" s="296">
        <f t="shared" si="19"/>
        <v>34.248086125833424</v>
      </c>
      <c r="W592" s="287">
        <v>87</v>
      </c>
      <c r="X592" s="280">
        <v>85</v>
      </c>
      <c r="Y592" s="280">
        <v>88</v>
      </c>
      <c r="Z592" s="280">
        <v>90</v>
      </c>
      <c r="AA592" s="280">
        <v>91</v>
      </c>
      <c r="AB592" s="280">
        <v>94</v>
      </c>
      <c r="AC592" s="280">
        <v>98</v>
      </c>
      <c r="AD592" s="280">
        <v>103</v>
      </c>
      <c r="AE592" s="280">
        <v>106</v>
      </c>
      <c r="AF592" s="280">
        <v>108</v>
      </c>
      <c r="AG592" s="280">
        <v>110</v>
      </c>
      <c r="AH592" s="280">
        <v>114</v>
      </c>
    </row>
    <row r="593" spans="1:34" s="1" customFormat="1" ht="13" x14ac:dyDescent="0.25">
      <c r="A593" s="280" t="s">
        <v>1135</v>
      </c>
      <c r="B593" s="286">
        <v>442</v>
      </c>
      <c r="C593" s="286">
        <v>727.875</v>
      </c>
      <c r="D593" s="286">
        <v>1013.7500000000001</v>
      </c>
      <c r="E593" s="286">
        <v>4</v>
      </c>
      <c r="F593" s="281">
        <v>0</v>
      </c>
      <c r="G593" s="282">
        <v>80.489678562500004</v>
      </c>
      <c r="H593" s="282">
        <v>82.576237693750002</v>
      </c>
      <c r="I593" s="282">
        <v>83.060870837499991</v>
      </c>
      <c r="J593" s="282">
        <v>84.637999473333309</v>
      </c>
      <c r="K593" s="282">
        <v>81.902198191944436</v>
      </c>
      <c r="L593" s="282">
        <v>81.50233433819443</v>
      </c>
      <c r="M593" s="282">
        <v>82.306681482777762</v>
      </c>
      <c r="N593" s="282">
        <v>82.943914198611097</v>
      </c>
      <c r="O593" s="282">
        <v>82.723924516666656</v>
      </c>
      <c r="P593" s="282">
        <v>80.934984213333337</v>
      </c>
      <c r="Q593" s="282">
        <v>78.758001974791654</v>
      </c>
      <c r="R593" s="283">
        <v>76.156745029166657</v>
      </c>
      <c r="S593" s="284">
        <v>897.50389195006949</v>
      </c>
      <c r="T593" s="284">
        <v>495.98632201749996</v>
      </c>
      <c r="U593" s="296">
        <f t="shared" si="18"/>
        <v>-20.285108049930727</v>
      </c>
      <c r="V593" s="296">
        <f t="shared" si="19"/>
        <v>-3.8076779825000244</v>
      </c>
      <c r="W593" s="287">
        <v>87</v>
      </c>
      <c r="X593" s="280">
        <v>85</v>
      </c>
      <c r="Y593" s="280">
        <v>83</v>
      </c>
      <c r="Z593" s="280">
        <v>80</v>
      </c>
      <c r="AA593" s="280">
        <v>76</v>
      </c>
      <c r="AB593" s="280">
        <v>74</v>
      </c>
      <c r="AC593" s="280">
        <v>73</v>
      </c>
      <c r="AD593" s="280">
        <v>73</v>
      </c>
      <c r="AE593" s="280">
        <v>71</v>
      </c>
      <c r="AF593" s="280">
        <v>68</v>
      </c>
      <c r="AG593" s="280">
        <v>65</v>
      </c>
      <c r="AH593" s="280">
        <v>64</v>
      </c>
    </row>
    <row r="594" spans="1:34" s="1" customFormat="1" ht="13" x14ac:dyDescent="0.25">
      <c r="A594" s="280" t="s">
        <v>1136</v>
      </c>
      <c r="B594" s="286">
        <v>442</v>
      </c>
      <c r="C594" s="286">
        <v>727.875</v>
      </c>
      <c r="D594" s="286">
        <v>1013.7500000000001</v>
      </c>
      <c r="E594" s="286">
        <v>4</v>
      </c>
      <c r="F594" s="281">
        <v>1</v>
      </c>
      <c r="G594" s="282">
        <v>80.489678562500004</v>
      </c>
      <c r="H594" s="282">
        <v>82.576237693750002</v>
      </c>
      <c r="I594" s="282">
        <v>83.505870837499998</v>
      </c>
      <c r="J594" s="282">
        <v>85.527999473333324</v>
      </c>
      <c r="K594" s="282">
        <v>83.237198191944458</v>
      </c>
      <c r="L594" s="282">
        <v>83.349709338194444</v>
      </c>
      <c r="M594" s="282">
        <v>84.666431482777782</v>
      </c>
      <c r="N594" s="282">
        <v>85.816039198611108</v>
      </c>
      <c r="O594" s="282">
        <v>86.166580766666655</v>
      </c>
      <c r="P594" s="282">
        <v>84.948171713333338</v>
      </c>
      <c r="Q594" s="282">
        <v>83.341720724791671</v>
      </c>
      <c r="R594" s="283">
        <v>81.310995029166662</v>
      </c>
      <c r="S594" s="284">
        <v>924.44695445006948</v>
      </c>
      <c r="T594" s="284">
        <v>502.86344701750005</v>
      </c>
      <c r="U594" s="296">
        <f t="shared" si="18"/>
        <v>6.6579544500692691</v>
      </c>
      <c r="V594" s="296">
        <f t="shared" si="19"/>
        <v>3.0694470175000674</v>
      </c>
      <c r="W594" s="287">
        <v>87</v>
      </c>
      <c r="X594" s="280">
        <v>85</v>
      </c>
      <c r="Y594" s="280">
        <v>84</v>
      </c>
      <c r="Z594" s="280">
        <v>82</v>
      </c>
      <c r="AA594" s="280">
        <v>79</v>
      </c>
      <c r="AB594" s="280">
        <v>78</v>
      </c>
      <c r="AC594" s="280">
        <v>78</v>
      </c>
      <c r="AD594" s="280">
        <v>79</v>
      </c>
      <c r="AE594" s="280">
        <v>78</v>
      </c>
      <c r="AF594" s="280">
        <v>76</v>
      </c>
      <c r="AG594" s="280">
        <v>74</v>
      </c>
      <c r="AH594" s="280">
        <v>74</v>
      </c>
    </row>
    <row r="595" spans="1:34" s="1" customFormat="1" ht="13" x14ac:dyDescent="0.25">
      <c r="A595" s="280" t="s">
        <v>1137</v>
      </c>
      <c r="B595" s="286">
        <v>442</v>
      </c>
      <c r="C595" s="286">
        <v>727.875</v>
      </c>
      <c r="D595" s="286">
        <v>1013.7500000000001</v>
      </c>
      <c r="E595" s="286">
        <v>4</v>
      </c>
      <c r="F595" s="281">
        <v>2</v>
      </c>
      <c r="G595" s="282">
        <v>80.489678562500004</v>
      </c>
      <c r="H595" s="282">
        <v>82.576237693750002</v>
      </c>
      <c r="I595" s="282">
        <v>83.950870837499991</v>
      </c>
      <c r="J595" s="282">
        <v>86.417999473333325</v>
      </c>
      <c r="K595" s="282">
        <v>84.572198191944452</v>
      </c>
      <c r="L595" s="282">
        <v>85.197084338194429</v>
      </c>
      <c r="M595" s="282">
        <v>87.026181482777787</v>
      </c>
      <c r="N595" s="282">
        <v>88.688164198611105</v>
      </c>
      <c r="O595" s="282">
        <v>89.609237016666654</v>
      </c>
      <c r="P595" s="282">
        <v>88.961359213333338</v>
      </c>
      <c r="Q595" s="282">
        <v>87.925439474791659</v>
      </c>
      <c r="R595" s="283">
        <v>86.465245029166653</v>
      </c>
      <c r="S595" s="284">
        <v>951.39001695006937</v>
      </c>
      <c r="T595" s="284">
        <v>509.74057201749997</v>
      </c>
      <c r="U595" s="296">
        <f t="shared" si="18"/>
        <v>33.601016950069152</v>
      </c>
      <c r="V595" s="296">
        <f t="shared" si="19"/>
        <v>9.9465720174999888</v>
      </c>
      <c r="W595" s="287">
        <v>87</v>
      </c>
      <c r="X595" s="280">
        <v>85</v>
      </c>
      <c r="Y595" s="280">
        <v>85</v>
      </c>
      <c r="Z595" s="280">
        <v>84</v>
      </c>
      <c r="AA595" s="280">
        <v>82</v>
      </c>
      <c r="AB595" s="280">
        <v>82</v>
      </c>
      <c r="AC595" s="280">
        <v>83</v>
      </c>
      <c r="AD595" s="280">
        <v>85</v>
      </c>
      <c r="AE595" s="280">
        <v>85</v>
      </c>
      <c r="AF595" s="280">
        <v>84</v>
      </c>
      <c r="AG595" s="280">
        <v>83</v>
      </c>
      <c r="AH595" s="280">
        <v>84</v>
      </c>
    </row>
    <row r="596" spans="1:34" s="1" customFormat="1" ht="13" x14ac:dyDescent="0.25">
      <c r="A596" s="280" t="s">
        <v>1138</v>
      </c>
      <c r="B596" s="286">
        <v>442</v>
      </c>
      <c r="C596" s="286">
        <v>727.875</v>
      </c>
      <c r="D596" s="286">
        <v>1013.7500000000001</v>
      </c>
      <c r="E596" s="286">
        <v>4</v>
      </c>
      <c r="F596" s="281">
        <v>3</v>
      </c>
      <c r="G596" s="282">
        <v>80.489678562500004</v>
      </c>
      <c r="H596" s="282">
        <v>82.576237693750002</v>
      </c>
      <c r="I596" s="282">
        <v>84.395870837499999</v>
      </c>
      <c r="J596" s="282">
        <v>87.307999473333325</v>
      </c>
      <c r="K596" s="282">
        <v>85.90719819194446</v>
      </c>
      <c r="L596" s="282">
        <v>87.044459338194429</v>
      </c>
      <c r="M596" s="282">
        <v>89.385931482777778</v>
      </c>
      <c r="N596" s="282">
        <v>91.560289198611102</v>
      </c>
      <c r="O596" s="282">
        <v>93.051893266666653</v>
      </c>
      <c r="P596" s="282">
        <v>92.974546713333339</v>
      </c>
      <c r="Q596" s="282">
        <v>92.509158224791662</v>
      </c>
      <c r="R596" s="283">
        <v>91.619495029166657</v>
      </c>
      <c r="S596" s="284">
        <v>978.33307945006936</v>
      </c>
      <c r="T596" s="284">
        <v>516.61769701749995</v>
      </c>
      <c r="U596" s="296">
        <f t="shared" si="18"/>
        <v>60.544079450069148</v>
      </c>
      <c r="V596" s="296">
        <f t="shared" si="19"/>
        <v>16.823697017499967</v>
      </c>
      <c r="W596" s="287">
        <v>87</v>
      </c>
      <c r="X596" s="280">
        <v>85</v>
      </c>
      <c r="Y596" s="280">
        <v>86</v>
      </c>
      <c r="Z596" s="280">
        <v>86</v>
      </c>
      <c r="AA596" s="280">
        <v>85</v>
      </c>
      <c r="AB596" s="280">
        <v>86</v>
      </c>
      <c r="AC596" s="280">
        <v>88</v>
      </c>
      <c r="AD596" s="280">
        <v>91</v>
      </c>
      <c r="AE596" s="280">
        <v>92</v>
      </c>
      <c r="AF596" s="280">
        <v>92</v>
      </c>
      <c r="AG596" s="280">
        <v>92</v>
      </c>
      <c r="AH596" s="280">
        <v>94</v>
      </c>
    </row>
    <row r="597" spans="1:34" s="1" customFormat="1" ht="13" x14ac:dyDescent="0.25">
      <c r="A597" s="280" t="s">
        <v>1139</v>
      </c>
      <c r="B597" s="286">
        <v>442</v>
      </c>
      <c r="C597" s="286">
        <v>727.875</v>
      </c>
      <c r="D597" s="286">
        <v>1013.7500000000001</v>
      </c>
      <c r="E597" s="286">
        <v>4</v>
      </c>
      <c r="F597" s="281">
        <v>4</v>
      </c>
      <c r="G597" s="282">
        <v>80.489678562500004</v>
      </c>
      <c r="H597" s="282">
        <v>82.576237693750002</v>
      </c>
      <c r="I597" s="282">
        <v>84.840870837499992</v>
      </c>
      <c r="J597" s="282">
        <v>88.197999473333326</v>
      </c>
      <c r="K597" s="282">
        <v>87.242198191944453</v>
      </c>
      <c r="L597" s="282">
        <v>88.891834338194428</v>
      </c>
      <c r="M597" s="282">
        <v>91.745681482777783</v>
      </c>
      <c r="N597" s="282">
        <v>94.432414198611099</v>
      </c>
      <c r="O597" s="282">
        <v>96.494549516666652</v>
      </c>
      <c r="P597" s="282">
        <v>96.987734213333326</v>
      </c>
      <c r="Q597" s="282">
        <v>97.092876974791665</v>
      </c>
      <c r="R597" s="283">
        <v>96.773745029166662</v>
      </c>
      <c r="S597" s="284">
        <v>1005.2761419500694</v>
      </c>
      <c r="T597" s="284">
        <v>523.49482201749993</v>
      </c>
      <c r="U597" s="296">
        <f t="shared" si="18"/>
        <v>87.487141950069145</v>
      </c>
      <c r="V597" s="296">
        <f t="shared" si="19"/>
        <v>23.700822017499945</v>
      </c>
      <c r="W597" s="287">
        <v>87</v>
      </c>
      <c r="X597" s="280">
        <v>85</v>
      </c>
      <c r="Y597" s="280">
        <v>87</v>
      </c>
      <c r="Z597" s="280">
        <v>88</v>
      </c>
      <c r="AA597" s="280">
        <v>88</v>
      </c>
      <c r="AB597" s="280">
        <v>90</v>
      </c>
      <c r="AC597" s="280">
        <v>93</v>
      </c>
      <c r="AD597" s="280">
        <v>97</v>
      </c>
      <c r="AE597" s="280">
        <v>99</v>
      </c>
      <c r="AF597" s="280">
        <v>100</v>
      </c>
      <c r="AG597" s="280">
        <v>101</v>
      </c>
      <c r="AH597" s="280">
        <v>104</v>
      </c>
    </row>
    <row r="598" spans="1:34" s="1" customFormat="1" ht="13" x14ac:dyDescent="0.25">
      <c r="A598" s="280" t="s">
        <v>1140</v>
      </c>
      <c r="B598" s="286">
        <v>442</v>
      </c>
      <c r="C598" s="286">
        <v>727.875</v>
      </c>
      <c r="D598" s="286">
        <v>1013.7500000000001</v>
      </c>
      <c r="E598" s="286">
        <v>4</v>
      </c>
      <c r="F598" s="281">
        <v>5</v>
      </c>
      <c r="G598" s="282">
        <v>80.489678562500004</v>
      </c>
      <c r="H598" s="282">
        <v>82.576237693750002</v>
      </c>
      <c r="I598" s="282">
        <v>85.285870837499999</v>
      </c>
      <c r="J598" s="282">
        <v>89.087999473333326</v>
      </c>
      <c r="K598" s="282">
        <v>88.577198191944447</v>
      </c>
      <c r="L598" s="282">
        <v>90.739209338194428</v>
      </c>
      <c r="M598" s="282">
        <v>94.105431482777789</v>
      </c>
      <c r="N598" s="282">
        <v>97.304539198611096</v>
      </c>
      <c r="O598" s="282">
        <v>99.937205766666651</v>
      </c>
      <c r="P598" s="282">
        <v>101.00092171333333</v>
      </c>
      <c r="Q598" s="282">
        <v>101.67659572479167</v>
      </c>
      <c r="R598" s="283">
        <v>101.92799502916665</v>
      </c>
      <c r="S598" s="284">
        <v>1032.2192044500694</v>
      </c>
      <c r="T598" s="284">
        <v>530.37194701749991</v>
      </c>
      <c r="U598" s="296">
        <f t="shared" si="18"/>
        <v>114.43020445006914</v>
      </c>
      <c r="V598" s="296">
        <f t="shared" si="19"/>
        <v>30.577947017499923</v>
      </c>
      <c r="W598" s="287">
        <v>87</v>
      </c>
      <c r="X598" s="280">
        <v>85</v>
      </c>
      <c r="Y598" s="280">
        <v>88</v>
      </c>
      <c r="Z598" s="280">
        <v>90</v>
      </c>
      <c r="AA598" s="280">
        <v>91</v>
      </c>
      <c r="AB598" s="280">
        <v>94</v>
      </c>
      <c r="AC598" s="280">
        <v>98</v>
      </c>
      <c r="AD598" s="280">
        <v>103</v>
      </c>
      <c r="AE598" s="280">
        <v>106</v>
      </c>
      <c r="AF598" s="280">
        <v>108</v>
      </c>
      <c r="AG598" s="280">
        <v>110</v>
      </c>
      <c r="AH598" s="280">
        <v>114</v>
      </c>
    </row>
    <row r="599" spans="1:34" s="1" customFormat="1" ht="13" x14ac:dyDescent="0.25">
      <c r="A599" s="280" t="s">
        <v>1141</v>
      </c>
      <c r="B599" s="286">
        <v>442</v>
      </c>
      <c r="C599" s="286">
        <v>727.875</v>
      </c>
      <c r="D599" s="286">
        <v>1013.7500000000001</v>
      </c>
      <c r="E599" s="286">
        <v>5</v>
      </c>
      <c r="F599" s="281">
        <v>0</v>
      </c>
      <c r="G599" s="282">
        <v>80.489678562500004</v>
      </c>
      <c r="H599" s="282">
        <v>82.348737693749996</v>
      </c>
      <c r="I599" s="282">
        <v>82.6684410875</v>
      </c>
      <c r="J599" s="282">
        <v>84.10022722333332</v>
      </c>
      <c r="K599" s="282">
        <v>81.166354191944436</v>
      </c>
      <c r="L599" s="282">
        <v>80.840739338194425</v>
      </c>
      <c r="M599" s="282">
        <v>81.796626232777768</v>
      </c>
      <c r="N599" s="282">
        <v>82.478914198611093</v>
      </c>
      <c r="O599" s="282">
        <v>82.285174516666657</v>
      </c>
      <c r="P599" s="282">
        <v>80.44248421333333</v>
      </c>
      <c r="Q599" s="282">
        <v>78.223001974791643</v>
      </c>
      <c r="R599" s="283">
        <v>75.585495029166665</v>
      </c>
      <c r="S599" s="284">
        <v>891.93619570006933</v>
      </c>
      <c r="T599" s="284">
        <v>492.92112576749997</v>
      </c>
      <c r="U599" s="296">
        <f t="shared" si="18"/>
        <v>-25.852804299930881</v>
      </c>
      <c r="V599" s="296">
        <f t="shared" si="19"/>
        <v>-6.8728742325000098</v>
      </c>
      <c r="W599" s="287">
        <v>87</v>
      </c>
      <c r="X599" s="280">
        <v>85</v>
      </c>
      <c r="Y599" s="280">
        <v>83</v>
      </c>
      <c r="Z599" s="280">
        <v>80</v>
      </c>
      <c r="AA599" s="280">
        <v>76</v>
      </c>
      <c r="AB599" s="280">
        <v>74</v>
      </c>
      <c r="AC599" s="280">
        <v>73</v>
      </c>
      <c r="AD599" s="280">
        <v>73</v>
      </c>
      <c r="AE599" s="280">
        <v>71</v>
      </c>
      <c r="AF599" s="280">
        <v>68</v>
      </c>
      <c r="AG599" s="280">
        <v>65</v>
      </c>
      <c r="AH599" s="280">
        <v>64</v>
      </c>
    </row>
    <row r="600" spans="1:34" s="1" customFormat="1" ht="13" x14ac:dyDescent="0.25">
      <c r="A600" s="280" t="s">
        <v>1142</v>
      </c>
      <c r="B600" s="286">
        <v>442</v>
      </c>
      <c r="C600" s="286">
        <v>727.875</v>
      </c>
      <c r="D600" s="286">
        <v>1013.7500000000001</v>
      </c>
      <c r="E600" s="286">
        <v>5</v>
      </c>
      <c r="F600" s="281">
        <v>1</v>
      </c>
      <c r="G600" s="282">
        <v>80.489678562500004</v>
      </c>
      <c r="H600" s="282">
        <v>82.348737693749996</v>
      </c>
      <c r="I600" s="282">
        <v>83.113441087500007</v>
      </c>
      <c r="J600" s="282">
        <v>84.990227223333335</v>
      </c>
      <c r="K600" s="282">
        <v>82.501354191944444</v>
      </c>
      <c r="L600" s="282">
        <v>82.688114338194438</v>
      </c>
      <c r="M600" s="282">
        <v>84.156376232777774</v>
      </c>
      <c r="N600" s="282">
        <v>85.351039198611119</v>
      </c>
      <c r="O600" s="282">
        <v>85.727830766666656</v>
      </c>
      <c r="P600" s="282">
        <v>84.455671713333331</v>
      </c>
      <c r="Q600" s="282">
        <v>82.80672072479166</v>
      </c>
      <c r="R600" s="283">
        <v>80.739745029166656</v>
      </c>
      <c r="S600" s="284">
        <v>918.87925820006944</v>
      </c>
      <c r="T600" s="284">
        <v>499.79825076750001</v>
      </c>
      <c r="U600" s="296">
        <f t="shared" si="18"/>
        <v>1.0902582000692291</v>
      </c>
      <c r="V600" s="296">
        <f t="shared" si="19"/>
        <v>4.2507675000251766E-3</v>
      </c>
      <c r="W600" s="287">
        <v>87</v>
      </c>
      <c r="X600" s="280">
        <v>85</v>
      </c>
      <c r="Y600" s="280">
        <v>84</v>
      </c>
      <c r="Z600" s="280">
        <v>82</v>
      </c>
      <c r="AA600" s="280">
        <v>79</v>
      </c>
      <c r="AB600" s="280">
        <v>78</v>
      </c>
      <c r="AC600" s="280">
        <v>78</v>
      </c>
      <c r="AD600" s="280">
        <v>79</v>
      </c>
      <c r="AE600" s="280">
        <v>78</v>
      </c>
      <c r="AF600" s="280">
        <v>76</v>
      </c>
      <c r="AG600" s="280">
        <v>74</v>
      </c>
      <c r="AH600" s="280">
        <v>74</v>
      </c>
    </row>
    <row r="601" spans="1:34" s="1" customFormat="1" ht="13" x14ac:dyDescent="0.25">
      <c r="A601" s="280" t="s">
        <v>1143</v>
      </c>
      <c r="B601" s="286">
        <v>442</v>
      </c>
      <c r="C601" s="286">
        <v>727.875</v>
      </c>
      <c r="D601" s="286">
        <v>1013.7500000000001</v>
      </c>
      <c r="E601" s="286">
        <v>5</v>
      </c>
      <c r="F601" s="281">
        <v>2</v>
      </c>
      <c r="G601" s="282">
        <v>80.489678562500004</v>
      </c>
      <c r="H601" s="282">
        <v>82.348737693749996</v>
      </c>
      <c r="I601" s="282">
        <v>83.5584410875</v>
      </c>
      <c r="J601" s="282">
        <v>85.880227223333335</v>
      </c>
      <c r="K601" s="282">
        <v>83.836354191944451</v>
      </c>
      <c r="L601" s="282">
        <v>84.535489338194438</v>
      </c>
      <c r="M601" s="282">
        <v>86.516126232777779</v>
      </c>
      <c r="N601" s="282">
        <v>88.223164198611101</v>
      </c>
      <c r="O601" s="282">
        <v>89.170487016666655</v>
      </c>
      <c r="P601" s="282">
        <v>88.468859213333332</v>
      </c>
      <c r="Q601" s="282">
        <v>87.390439474791663</v>
      </c>
      <c r="R601" s="283">
        <v>85.893995029166661</v>
      </c>
      <c r="S601" s="284">
        <v>945.82232070006944</v>
      </c>
      <c r="T601" s="284">
        <v>506.67537576749999</v>
      </c>
      <c r="U601" s="296">
        <f t="shared" si="18"/>
        <v>28.033320700069225</v>
      </c>
      <c r="V601" s="296">
        <f t="shared" si="19"/>
        <v>6.8813757675000033</v>
      </c>
      <c r="W601" s="287">
        <v>87</v>
      </c>
      <c r="X601" s="280">
        <v>85</v>
      </c>
      <c r="Y601" s="280">
        <v>85</v>
      </c>
      <c r="Z601" s="280">
        <v>84</v>
      </c>
      <c r="AA601" s="280">
        <v>82</v>
      </c>
      <c r="AB601" s="280">
        <v>82</v>
      </c>
      <c r="AC601" s="280">
        <v>83</v>
      </c>
      <c r="AD601" s="280">
        <v>85</v>
      </c>
      <c r="AE601" s="280">
        <v>85</v>
      </c>
      <c r="AF601" s="280">
        <v>84</v>
      </c>
      <c r="AG601" s="280">
        <v>83</v>
      </c>
      <c r="AH601" s="280">
        <v>84</v>
      </c>
    </row>
    <row r="602" spans="1:34" s="1" customFormat="1" ht="13" x14ac:dyDescent="0.25">
      <c r="A602" s="280" t="s">
        <v>1144</v>
      </c>
      <c r="B602" s="286">
        <v>442</v>
      </c>
      <c r="C602" s="286">
        <v>727.875</v>
      </c>
      <c r="D602" s="286">
        <v>1013.7500000000001</v>
      </c>
      <c r="E602" s="286">
        <v>5</v>
      </c>
      <c r="F602" s="281">
        <v>3</v>
      </c>
      <c r="G602" s="282">
        <v>80.489678562500004</v>
      </c>
      <c r="H602" s="282">
        <v>82.348737693749996</v>
      </c>
      <c r="I602" s="282">
        <v>84.003441087500008</v>
      </c>
      <c r="J602" s="282">
        <v>86.770227223333336</v>
      </c>
      <c r="K602" s="282">
        <v>85.171354191944459</v>
      </c>
      <c r="L602" s="282">
        <v>86.382864338194437</v>
      </c>
      <c r="M602" s="282">
        <v>88.875876232777784</v>
      </c>
      <c r="N602" s="282">
        <v>91.095289198611098</v>
      </c>
      <c r="O602" s="282">
        <v>92.613143266666654</v>
      </c>
      <c r="P602" s="282">
        <v>92.482046713333332</v>
      </c>
      <c r="Q602" s="282">
        <v>91.974158224791665</v>
      </c>
      <c r="R602" s="283">
        <v>91.048245029166665</v>
      </c>
      <c r="S602" s="284">
        <v>972.76538320006955</v>
      </c>
      <c r="T602" s="284">
        <v>513.55250076750008</v>
      </c>
      <c r="U602" s="296">
        <f t="shared" si="18"/>
        <v>54.976383200069336</v>
      </c>
      <c r="V602" s="296">
        <f t="shared" si="19"/>
        <v>13.758500767500095</v>
      </c>
      <c r="W602" s="287">
        <v>87</v>
      </c>
      <c r="X602" s="280">
        <v>85</v>
      </c>
      <c r="Y602" s="280">
        <v>86</v>
      </c>
      <c r="Z602" s="280">
        <v>86</v>
      </c>
      <c r="AA602" s="280">
        <v>85</v>
      </c>
      <c r="AB602" s="280">
        <v>86</v>
      </c>
      <c r="AC602" s="280">
        <v>88</v>
      </c>
      <c r="AD602" s="280">
        <v>91</v>
      </c>
      <c r="AE602" s="280">
        <v>92</v>
      </c>
      <c r="AF602" s="280">
        <v>92</v>
      </c>
      <c r="AG602" s="280">
        <v>92</v>
      </c>
      <c r="AH602" s="280">
        <v>94</v>
      </c>
    </row>
    <row r="603" spans="1:34" s="1" customFormat="1" ht="13" x14ac:dyDescent="0.25">
      <c r="A603" s="280" t="s">
        <v>1145</v>
      </c>
      <c r="B603" s="286">
        <v>442</v>
      </c>
      <c r="C603" s="286">
        <v>727.875</v>
      </c>
      <c r="D603" s="286">
        <v>1013.7500000000001</v>
      </c>
      <c r="E603" s="286">
        <v>5</v>
      </c>
      <c r="F603" s="281">
        <v>4</v>
      </c>
      <c r="G603" s="282">
        <v>80.489678562500004</v>
      </c>
      <c r="H603" s="282">
        <v>82.348737693749996</v>
      </c>
      <c r="I603" s="282">
        <v>84.448441087500001</v>
      </c>
      <c r="J603" s="282">
        <v>87.660227223333337</v>
      </c>
      <c r="K603" s="282">
        <v>86.506354191944453</v>
      </c>
      <c r="L603" s="282">
        <v>88.230239338194437</v>
      </c>
      <c r="M603" s="282">
        <v>91.235626232777776</v>
      </c>
      <c r="N603" s="282">
        <v>93.967414198611095</v>
      </c>
      <c r="O603" s="282">
        <v>96.055799516666653</v>
      </c>
      <c r="P603" s="282">
        <v>96.495234213333333</v>
      </c>
      <c r="Q603" s="282">
        <v>96.557876974791668</v>
      </c>
      <c r="R603" s="283">
        <v>96.202495029166656</v>
      </c>
      <c r="S603" s="284">
        <v>999.70844570006955</v>
      </c>
      <c r="T603" s="284">
        <v>520.42962576750006</v>
      </c>
      <c r="U603" s="296">
        <f t="shared" si="18"/>
        <v>81.919445700069332</v>
      </c>
      <c r="V603" s="296">
        <f t="shared" si="19"/>
        <v>20.635625767500073</v>
      </c>
      <c r="W603" s="287">
        <v>87</v>
      </c>
      <c r="X603" s="280">
        <v>85</v>
      </c>
      <c r="Y603" s="280">
        <v>87</v>
      </c>
      <c r="Z603" s="280">
        <v>88</v>
      </c>
      <c r="AA603" s="280">
        <v>88</v>
      </c>
      <c r="AB603" s="280">
        <v>90</v>
      </c>
      <c r="AC603" s="280">
        <v>93</v>
      </c>
      <c r="AD603" s="280">
        <v>97</v>
      </c>
      <c r="AE603" s="280">
        <v>99</v>
      </c>
      <c r="AF603" s="280">
        <v>100</v>
      </c>
      <c r="AG603" s="280">
        <v>101</v>
      </c>
      <c r="AH603" s="280">
        <v>104</v>
      </c>
    </row>
    <row r="604" spans="1:34" s="1" customFormat="1" ht="13" x14ac:dyDescent="0.25">
      <c r="A604" s="280" t="s">
        <v>1146</v>
      </c>
      <c r="B604" s="286">
        <v>442</v>
      </c>
      <c r="C604" s="286">
        <v>727.875</v>
      </c>
      <c r="D604" s="286">
        <v>1013.7500000000001</v>
      </c>
      <c r="E604" s="286">
        <v>5</v>
      </c>
      <c r="F604" s="281">
        <v>5</v>
      </c>
      <c r="G604" s="282">
        <v>80.489678562500004</v>
      </c>
      <c r="H604" s="282">
        <v>82.348737693749996</v>
      </c>
      <c r="I604" s="282">
        <v>84.893441087499994</v>
      </c>
      <c r="J604" s="282">
        <v>88.550227223333337</v>
      </c>
      <c r="K604" s="282">
        <v>87.841354191944461</v>
      </c>
      <c r="L604" s="282">
        <v>90.077614338194437</v>
      </c>
      <c r="M604" s="282">
        <v>93.595376232777781</v>
      </c>
      <c r="N604" s="282">
        <v>96.839539198611092</v>
      </c>
      <c r="O604" s="282">
        <v>99.498455766666652</v>
      </c>
      <c r="P604" s="282">
        <v>100.50842171333333</v>
      </c>
      <c r="Q604" s="282">
        <v>101.14159572479167</v>
      </c>
      <c r="R604" s="283">
        <v>101.35674502916666</v>
      </c>
      <c r="S604" s="284">
        <v>1026.6515082000694</v>
      </c>
      <c r="T604" s="284">
        <v>527.30675076750003</v>
      </c>
      <c r="U604" s="296">
        <f t="shared" si="18"/>
        <v>108.86250820006921</v>
      </c>
      <c r="V604" s="296">
        <f t="shared" si="19"/>
        <v>27.512750767500052</v>
      </c>
      <c r="W604" s="287">
        <v>87</v>
      </c>
      <c r="X604" s="280">
        <v>85</v>
      </c>
      <c r="Y604" s="280">
        <v>88</v>
      </c>
      <c r="Z604" s="280">
        <v>90</v>
      </c>
      <c r="AA604" s="280">
        <v>91</v>
      </c>
      <c r="AB604" s="280">
        <v>94</v>
      </c>
      <c r="AC604" s="280">
        <v>98</v>
      </c>
      <c r="AD604" s="280">
        <v>103</v>
      </c>
      <c r="AE604" s="280">
        <v>106</v>
      </c>
      <c r="AF604" s="280">
        <v>108</v>
      </c>
      <c r="AG604" s="280">
        <v>110</v>
      </c>
      <c r="AH604" s="280">
        <v>114</v>
      </c>
    </row>
    <row r="605" spans="1:34" s="1" customFormat="1" ht="13" x14ac:dyDescent="0.25">
      <c r="A605" s="280" t="s">
        <v>1147</v>
      </c>
      <c r="B605" s="286">
        <v>442</v>
      </c>
      <c r="C605" s="286">
        <v>727.875</v>
      </c>
      <c r="D605" s="286">
        <v>1013.7500000000001</v>
      </c>
      <c r="E605" s="286">
        <v>1</v>
      </c>
      <c r="F605" s="281">
        <v>0</v>
      </c>
      <c r="G605" s="282">
        <v>80.489678562500004</v>
      </c>
      <c r="H605" s="282">
        <v>85.288458552083327</v>
      </c>
      <c r="I605" s="282">
        <v>86.24391457916667</v>
      </c>
      <c r="J605" s="282">
        <v>87.82312322333334</v>
      </c>
      <c r="K605" s="282">
        <v>84.692273108611118</v>
      </c>
      <c r="L605" s="282">
        <v>83.363921171527764</v>
      </c>
      <c r="M605" s="282">
        <v>83.985639816111103</v>
      </c>
      <c r="N605" s="282">
        <v>84.54620586527777</v>
      </c>
      <c r="O605" s="282">
        <v>84.698299516666665</v>
      </c>
      <c r="P605" s="282">
        <v>82.839984213333338</v>
      </c>
      <c r="Q605" s="282">
        <v>80.62175197479165</v>
      </c>
      <c r="R605" s="283">
        <v>78.11070336249999</v>
      </c>
      <c r="S605" s="284">
        <v>922.21427538340276</v>
      </c>
      <c r="T605" s="284">
        <v>511.39733045083335</v>
      </c>
      <c r="U605" s="296">
        <f t="shared" si="18"/>
        <v>4.4252753834025498</v>
      </c>
      <c r="V605" s="296">
        <f t="shared" si="19"/>
        <v>11.603330450833369</v>
      </c>
      <c r="W605" s="287">
        <v>87</v>
      </c>
      <c r="X605" s="280">
        <v>85</v>
      </c>
      <c r="Y605" s="280">
        <v>83</v>
      </c>
      <c r="Z605" s="280">
        <v>80</v>
      </c>
      <c r="AA605" s="280">
        <v>76</v>
      </c>
      <c r="AB605" s="280">
        <v>74</v>
      </c>
      <c r="AC605" s="280">
        <v>73</v>
      </c>
      <c r="AD605" s="280">
        <v>73</v>
      </c>
      <c r="AE605" s="280">
        <v>71</v>
      </c>
      <c r="AF605" s="280">
        <v>68</v>
      </c>
      <c r="AG605" s="280">
        <v>65</v>
      </c>
      <c r="AH605" s="280">
        <v>64</v>
      </c>
    </row>
    <row r="606" spans="1:34" s="1" customFormat="1" ht="13" x14ac:dyDescent="0.25">
      <c r="A606" s="280" t="s">
        <v>1148</v>
      </c>
      <c r="B606" s="286">
        <v>442</v>
      </c>
      <c r="C606" s="286">
        <v>727.875</v>
      </c>
      <c r="D606" s="286">
        <v>1013.7500000000001</v>
      </c>
      <c r="E606" s="286">
        <v>1</v>
      </c>
      <c r="F606" s="281">
        <v>1</v>
      </c>
      <c r="G606" s="282">
        <v>80.489678562500004</v>
      </c>
      <c r="H606" s="282">
        <v>85.288458552083327</v>
      </c>
      <c r="I606" s="282">
        <v>86.688914579166664</v>
      </c>
      <c r="J606" s="282">
        <v>88.713123223333341</v>
      </c>
      <c r="K606" s="282">
        <v>86.027273108611112</v>
      </c>
      <c r="L606" s="282">
        <v>85.211296171527763</v>
      </c>
      <c r="M606" s="282">
        <v>86.345389816111094</v>
      </c>
      <c r="N606" s="282">
        <v>87.418330865277767</v>
      </c>
      <c r="O606" s="282">
        <v>88.141580766666678</v>
      </c>
      <c r="P606" s="282">
        <v>86.854421713333338</v>
      </c>
      <c r="Q606" s="282">
        <v>85.207345724791665</v>
      </c>
      <c r="R606" s="283">
        <v>83.267453362500007</v>
      </c>
      <c r="S606" s="284">
        <v>949.16358788340278</v>
      </c>
      <c r="T606" s="284">
        <v>518.27445545083333</v>
      </c>
      <c r="U606" s="296">
        <f t="shared" si="18"/>
        <v>31.374587883402569</v>
      </c>
      <c r="V606" s="296">
        <f t="shared" si="19"/>
        <v>18.480455450833347</v>
      </c>
      <c r="W606" s="287">
        <v>87</v>
      </c>
      <c r="X606" s="280">
        <v>85</v>
      </c>
      <c r="Y606" s="280">
        <v>84</v>
      </c>
      <c r="Z606" s="280">
        <v>82</v>
      </c>
      <c r="AA606" s="280">
        <v>79</v>
      </c>
      <c r="AB606" s="280">
        <v>78</v>
      </c>
      <c r="AC606" s="280">
        <v>78</v>
      </c>
      <c r="AD606" s="280">
        <v>79</v>
      </c>
      <c r="AE606" s="280">
        <v>78</v>
      </c>
      <c r="AF606" s="280">
        <v>76</v>
      </c>
      <c r="AG606" s="280">
        <v>74</v>
      </c>
      <c r="AH606" s="280">
        <v>74</v>
      </c>
    </row>
    <row r="607" spans="1:34" s="1" customFormat="1" ht="13" x14ac:dyDescent="0.25">
      <c r="A607" s="280" t="s">
        <v>1149</v>
      </c>
      <c r="B607" s="286">
        <v>442</v>
      </c>
      <c r="C607" s="286">
        <v>727.875</v>
      </c>
      <c r="D607" s="286">
        <v>1013.7500000000001</v>
      </c>
      <c r="E607" s="286">
        <v>1</v>
      </c>
      <c r="F607" s="281">
        <v>2</v>
      </c>
      <c r="G607" s="282">
        <v>80.489678562500004</v>
      </c>
      <c r="H607" s="282">
        <v>85.288458552083327</v>
      </c>
      <c r="I607" s="282">
        <v>87.133914579166671</v>
      </c>
      <c r="J607" s="282">
        <v>89.603123223333327</v>
      </c>
      <c r="K607" s="282">
        <v>87.36227310861112</v>
      </c>
      <c r="L607" s="282">
        <v>87.058671171527763</v>
      </c>
      <c r="M607" s="282">
        <v>88.705139816111114</v>
      </c>
      <c r="N607" s="282">
        <v>90.290455865277764</v>
      </c>
      <c r="O607" s="282">
        <v>91.584862016666676</v>
      </c>
      <c r="P607" s="282">
        <v>90.868859213333337</v>
      </c>
      <c r="Q607" s="282">
        <v>89.792939474791666</v>
      </c>
      <c r="R607" s="283">
        <v>88.424203362500009</v>
      </c>
      <c r="S607" s="284">
        <v>976.1129003834028</v>
      </c>
      <c r="T607" s="284">
        <v>525.15158045083331</v>
      </c>
      <c r="U607" s="296">
        <f t="shared" si="18"/>
        <v>58.323900383402588</v>
      </c>
      <c r="V607" s="296">
        <f t="shared" si="19"/>
        <v>25.357580450833325</v>
      </c>
      <c r="W607" s="287">
        <v>87</v>
      </c>
      <c r="X607" s="280">
        <v>85</v>
      </c>
      <c r="Y607" s="280">
        <v>85</v>
      </c>
      <c r="Z607" s="280">
        <v>84</v>
      </c>
      <c r="AA607" s="280">
        <v>82</v>
      </c>
      <c r="AB607" s="280">
        <v>82</v>
      </c>
      <c r="AC607" s="280">
        <v>83</v>
      </c>
      <c r="AD607" s="280">
        <v>85</v>
      </c>
      <c r="AE607" s="280">
        <v>85</v>
      </c>
      <c r="AF607" s="280">
        <v>84</v>
      </c>
      <c r="AG607" s="280">
        <v>83</v>
      </c>
      <c r="AH607" s="280">
        <v>84</v>
      </c>
    </row>
    <row r="608" spans="1:34" s="1" customFormat="1" ht="13" x14ac:dyDescent="0.25">
      <c r="A608" s="280" t="s">
        <v>1150</v>
      </c>
      <c r="B608" s="286">
        <v>442</v>
      </c>
      <c r="C608" s="286">
        <v>727.875</v>
      </c>
      <c r="D608" s="286">
        <v>1013.7500000000001</v>
      </c>
      <c r="E608" s="286">
        <v>1</v>
      </c>
      <c r="F608" s="281">
        <v>3</v>
      </c>
      <c r="G608" s="282">
        <v>80.489678562500004</v>
      </c>
      <c r="H608" s="282">
        <v>85.288458552083327</v>
      </c>
      <c r="I608" s="282">
        <v>87.578914579166664</v>
      </c>
      <c r="J608" s="282">
        <v>90.493123223333328</v>
      </c>
      <c r="K608" s="282">
        <v>88.697273108611128</v>
      </c>
      <c r="L608" s="282">
        <v>88.906046171527763</v>
      </c>
      <c r="M608" s="282">
        <v>91.064889816111105</v>
      </c>
      <c r="N608" s="282">
        <v>93.162580865277775</v>
      </c>
      <c r="O608" s="282">
        <v>95.028143266666675</v>
      </c>
      <c r="P608" s="282">
        <v>94.883296713333337</v>
      </c>
      <c r="Q608" s="282">
        <v>94.378533224791667</v>
      </c>
      <c r="R608" s="283">
        <v>93.580953362499997</v>
      </c>
      <c r="S608" s="284">
        <v>1003.0622128834027</v>
      </c>
      <c r="T608" s="284">
        <v>532.02870545083329</v>
      </c>
      <c r="U608" s="296">
        <f t="shared" si="18"/>
        <v>85.273212883402493</v>
      </c>
      <c r="V608" s="296">
        <f t="shared" si="19"/>
        <v>32.234705450833303</v>
      </c>
      <c r="W608" s="287">
        <v>87</v>
      </c>
      <c r="X608" s="280">
        <v>85</v>
      </c>
      <c r="Y608" s="280">
        <v>86</v>
      </c>
      <c r="Z608" s="280">
        <v>86</v>
      </c>
      <c r="AA608" s="280">
        <v>85</v>
      </c>
      <c r="AB608" s="280">
        <v>86</v>
      </c>
      <c r="AC608" s="280">
        <v>88</v>
      </c>
      <c r="AD608" s="280">
        <v>91</v>
      </c>
      <c r="AE608" s="280">
        <v>92</v>
      </c>
      <c r="AF608" s="280">
        <v>92</v>
      </c>
      <c r="AG608" s="280">
        <v>92</v>
      </c>
      <c r="AH608" s="280">
        <v>94</v>
      </c>
    </row>
    <row r="609" spans="1:34" s="1" customFormat="1" ht="13" x14ac:dyDescent="0.25">
      <c r="A609" s="280" t="s">
        <v>1151</v>
      </c>
      <c r="B609" s="286">
        <v>442</v>
      </c>
      <c r="C609" s="286">
        <v>727.875</v>
      </c>
      <c r="D609" s="286">
        <v>1013.7500000000001</v>
      </c>
      <c r="E609" s="286">
        <v>1</v>
      </c>
      <c r="F609" s="281">
        <v>4</v>
      </c>
      <c r="G609" s="282">
        <v>80.489678562500004</v>
      </c>
      <c r="H609" s="282">
        <v>85.288458552083327</v>
      </c>
      <c r="I609" s="282">
        <v>88.023914579166672</v>
      </c>
      <c r="J609" s="282">
        <v>91.383123223333328</v>
      </c>
      <c r="K609" s="282">
        <v>90.032273108611136</v>
      </c>
      <c r="L609" s="282">
        <v>90.753421171527762</v>
      </c>
      <c r="M609" s="282">
        <v>93.42463981611111</v>
      </c>
      <c r="N609" s="282">
        <v>96.034705865277772</v>
      </c>
      <c r="O609" s="282">
        <v>98.471424516666673</v>
      </c>
      <c r="P609" s="282">
        <v>98.897734213333337</v>
      </c>
      <c r="Q609" s="282">
        <v>98.964126974791668</v>
      </c>
      <c r="R609" s="283">
        <v>98.7377033625</v>
      </c>
      <c r="S609" s="284">
        <v>1030.0115253834028</v>
      </c>
      <c r="T609" s="284">
        <v>538.90583045083338</v>
      </c>
      <c r="U609" s="296">
        <f t="shared" si="18"/>
        <v>112.22252538340263</v>
      </c>
      <c r="V609" s="296">
        <f t="shared" si="19"/>
        <v>39.111830450833395</v>
      </c>
      <c r="W609" s="287">
        <v>87</v>
      </c>
      <c r="X609" s="280">
        <v>85</v>
      </c>
      <c r="Y609" s="280">
        <v>87</v>
      </c>
      <c r="Z609" s="280">
        <v>88</v>
      </c>
      <c r="AA609" s="280">
        <v>88</v>
      </c>
      <c r="AB609" s="280">
        <v>90</v>
      </c>
      <c r="AC609" s="280">
        <v>93</v>
      </c>
      <c r="AD609" s="280">
        <v>97</v>
      </c>
      <c r="AE609" s="280">
        <v>99</v>
      </c>
      <c r="AF609" s="280">
        <v>100</v>
      </c>
      <c r="AG609" s="280">
        <v>101</v>
      </c>
      <c r="AH609" s="280">
        <v>104</v>
      </c>
    </row>
    <row r="610" spans="1:34" s="1" customFormat="1" ht="13" x14ac:dyDescent="0.25">
      <c r="A610" s="280" t="s">
        <v>1152</v>
      </c>
      <c r="B610" s="286">
        <v>442</v>
      </c>
      <c r="C610" s="286">
        <v>727.875</v>
      </c>
      <c r="D610" s="286">
        <v>1013.7500000000001</v>
      </c>
      <c r="E610" s="286">
        <v>1</v>
      </c>
      <c r="F610" s="281">
        <v>5</v>
      </c>
      <c r="G610" s="282">
        <v>80.489678562500004</v>
      </c>
      <c r="H610" s="282">
        <v>85.288458552083327</v>
      </c>
      <c r="I610" s="282">
        <v>88.468914579166665</v>
      </c>
      <c r="J610" s="282">
        <v>92.273123223333329</v>
      </c>
      <c r="K610" s="282">
        <v>91.36727310861113</v>
      </c>
      <c r="L610" s="282">
        <v>92.600796171527762</v>
      </c>
      <c r="M610" s="282">
        <v>95.784389816111116</v>
      </c>
      <c r="N610" s="282">
        <v>98.906830865277769</v>
      </c>
      <c r="O610" s="282">
        <v>101.91470576666667</v>
      </c>
      <c r="P610" s="282">
        <v>102.91217171333334</v>
      </c>
      <c r="Q610" s="282">
        <v>103.54972072479167</v>
      </c>
      <c r="R610" s="283">
        <v>103.8944533625</v>
      </c>
      <c r="S610" s="284">
        <v>1056.9608378834027</v>
      </c>
      <c r="T610" s="284">
        <v>545.78295545083324</v>
      </c>
      <c r="U610" s="296">
        <f t="shared" si="18"/>
        <v>139.17183788340253</v>
      </c>
      <c r="V610" s="296">
        <f t="shared" si="19"/>
        <v>45.988955450833259</v>
      </c>
      <c r="W610" s="287">
        <v>87</v>
      </c>
      <c r="X610" s="280">
        <v>85</v>
      </c>
      <c r="Y610" s="280">
        <v>88</v>
      </c>
      <c r="Z610" s="280">
        <v>90</v>
      </c>
      <c r="AA610" s="280">
        <v>91</v>
      </c>
      <c r="AB610" s="280">
        <v>94</v>
      </c>
      <c r="AC610" s="280">
        <v>98</v>
      </c>
      <c r="AD610" s="280">
        <v>103</v>
      </c>
      <c r="AE610" s="280">
        <v>106</v>
      </c>
      <c r="AF610" s="280">
        <v>108</v>
      </c>
      <c r="AG610" s="280">
        <v>110</v>
      </c>
      <c r="AH610" s="280">
        <v>114</v>
      </c>
    </row>
    <row r="611" spans="1:34" s="1" customFormat="1" ht="13" x14ac:dyDescent="0.25">
      <c r="A611" s="280" t="s">
        <v>1153</v>
      </c>
      <c r="B611" s="286">
        <v>442</v>
      </c>
      <c r="C611" s="286">
        <v>727.875</v>
      </c>
      <c r="D611" s="286">
        <v>1013.7500000000001</v>
      </c>
      <c r="E611" s="286">
        <v>2</v>
      </c>
      <c r="F611" s="281">
        <v>0</v>
      </c>
      <c r="G611" s="282">
        <v>80.489678562500004</v>
      </c>
      <c r="H611" s="282">
        <v>83.738843393750003</v>
      </c>
      <c r="I611" s="282">
        <v>84.885069204166669</v>
      </c>
      <c r="J611" s="282">
        <v>86.532521806666665</v>
      </c>
      <c r="K611" s="282">
        <v>83.740373775277789</v>
      </c>
      <c r="L611" s="282">
        <v>82.962671171527774</v>
      </c>
      <c r="M611" s="282">
        <v>83.535900232777763</v>
      </c>
      <c r="N611" s="282">
        <v>84.067247531944446</v>
      </c>
      <c r="O611" s="282">
        <v>84.03027868333335</v>
      </c>
      <c r="P611" s="282">
        <v>82.361025879999985</v>
      </c>
      <c r="Q611" s="282">
        <v>80.104981141458325</v>
      </c>
      <c r="R611" s="283">
        <v>77.49309919583331</v>
      </c>
      <c r="S611" s="284">
        <v>913.45201201673603</v>
      </c>
      <c r="T611" s="284">
        <v>505.39537958416668</v>
      </c>
      <c r="U611" s="296">
        <f t="shared" si="18"/>
        <v>-4.33698798326418</v>
      </c>
      <c r="V611" s="296">
        <f t="shared" si="19"/>
        <v>5.6013795841666933</v>
      </c>
      <c r="W611" s="287">
        <v>87</v>
      </c>
      <c r="X611" s="280">
        <v>85</v>
      </c>
      <c r="Y611" s="280">
        <v>83</v>
      </c>
      <c r="Z611" s="280">
        <v>80</v>
      </c>
      <c r="AA611" s="280">
        <v>76</v>
      </c>
      <c r="AB611" s="280">
        <v>74</v>
      </c>
      <c r="AC611" s="280">
        <v>73</v>
      </c>
      <c r="AD611" s="280">
        <v>73</v>
      </c>
      <c r="AE611" s="280">
        <v>71</v>
      </c>
      <c r="AF611" s="280">
        <v>68</v>
      </c>
      <c r="AG611" s="280">
        <v>65</v>
      </c>
      <c r="AH611" s="280">
        <v>64</v>
      </c>
    </row>
    <row r="612" spans="1:34" s="1" customFormat="1" ht="13" x14ac:dyDescent="0.25">
      <c r="A612" s="280" t="s">
        <v>1154</v>
      </c>
      <c r="B612" s="286">
        <v>442</v>
      </c>
      <c r="C612" s="286">
        <v>727.875</v>
      </c>
      <c r="D612" s="286">
        <v>1013.7500000000001</v>
      </c>
      <c r="E612" s="286">
        <v>2</v>
      </c>
      <c r="F612" s="281">
        <v>1</v>
      </c>
      <c r="G612" s="282">
        <v>80.489678562500004</v>
      </c>
      <c r="H612" s="282">
        <v>83.738843393750003</v>
      </c>
      <c r="I612" s="282">
        <v>85.330069204166676</v>
      </c>
      <c r="J612" s="282">
        <v>87.422521806666666</v>
      </c>
      <c r="K612" s="282">
        <v>85.075373775277782</v>
      </c>
      <c r="L612" s="282">
        <v>84.810046171527773</v>
      </c>
      <c r="M612" s="282">
        <v>85.895650232777768</v>
      </c>
      <c r="N612" s="282">
        <v>86.939372531944443</v>
      </c>
      <c r="O612" s="282">
        <v>87.473559933333348</v>
      </c>
      <c r="P612" s="282">
        <v>86.375463379999985</v>
      </c>
      <c r="Q612" s="282">
        <v>84.69057489145834</v>
      </c>
      <c r="R612" s="283">
        <v>82.649849195833312</v>
      </c>
      <c r="S612" s="284">
        <v>940.40132451673617</v>
      </c>
      <c r="T612" s="284">
        <v>512.27250458416665</v>
      </c>
      <c r="U612" s="296">
        <f t="shared" si="18"/>
        <v>22.612324516735953</v>
      </c>
      <c r="V612" s="296">
        <f t="shared" si="19"/>
        <v>12.478504584166672</v>
      </c>
      <c r="W612" s="287">
        <v>87</v>
      </c>
      <c r="X612" s="280">
        <v>85</v>
      </c>
      <c r="Y612" s="280">
        <v>84</v>
      </c>
      <c r="Z612" s="280">
        <v>82</v>
      </c>
      <c r="AA612" s="280">
        <v>79</v>
      </c>
      <c r="AB612" s="280">
        <v>78</v>
      </c>
      <c r="AC612" s="280">
        <v>78</v>
      </c>
      <c r="AD612" s="280">
        <v>79</v>
      </c>
      <c r="AE612" s="280">
        <v>78</v>
      </c>
      <c r="AF612" s="280">
        <v>76</v>
      </c>
      <c r="AG612" s="280">
        <v>74</v>
      </c>
      <c r="AH612" s="280">
        <v>74</v>
      </c>
    </row>
    <row r="613" spans="1:34" s="1" customFormat="1" ht="13" x14ac:dyDescent="0.25">
      <c r="A613" s="280" t="s">
        <v>1155</v>
      </c>
      <c r="B613" s="286">
        <v>442</v>
      </c>
      <c r="C613" s="286">
        <v>727.875</v>
      </c>
      <c r="D613" s="286">
        <v>1013.7500000000001</v>
      </c>
      <c r="E613" s="286">
        <v>2</v>
      </c>
      <c r="F613" s="281">
        <v>2</v>
      </c>
      <c r="G613" s="282">
        <v>80.489678562500004</v>
      </c>
      <c r="H613" s="282">
        <v>83.738843393750003</v>
      </c>
      <c r="I613" s="282">
        <v>85.77506920416667</v>
      </c>
      <c r="J613" s="282">
        <v>88.312521806666666</v>
      </c>
      <c r="K613" s="282">
        <v>86.410373775277776</v>
      </c>
      <c r="L613" s="282">
        <v>86.657421171527773</v>
      </c>
      <c r="M613" s="282">
        <v>88.255400232777788</v>
      </c>
      <c r="N613" s="282">
        <v>89.81149753194444</v>
      </c>
      <c r="O613" s="282">
        <v>90.916841183333347</v>
      </c>
      <c r="P613" s="282">
        <v>90.389900879999985</v>
      </c>
      <c r="Q613" s="282">
        <v>89.276168641458327</v>
      </c>
      <c r="R613" s="283">
        <v>87.806599195833314</v>
      </c>
      <c r="S613" s="284">
        <v>967.35063701673607</v>
      </c>
      <c r="T613" s="284">
        <v>519.14962958416663</v>
      </c>
      <c r="U613" s="296">
        <f t="shared" si="18"/>
        <v>49.561637016735858</v>
      </c>
      <c r="V613" s="296">
        <f t="shared" si="19"/>
        <v>19.35562958416665</v>
      </c>
      <c r="W613" s="287">
        <v>87</v>
      </c>
      <c r="X613" s="280">
        <v>85</v>
      </c>
      <c r="Y613" s="280">
        <v>85</v>
      </c>
      <c r="Z613" s="280">
        <v>84</v>
      </c>
      <c r="AA613" s="280">
        <v>82</v>
      </c>
      <c r="AB613" s="280">
        <v>82</v>
      </c>
      <c r="AC613" s="280">
        <v>83</v>
      </c>
      <c r="AD613" s="280">
        <v>85</v>
      </c>
      <c r="AE613" s="280">
        <v>85</v>
      </c>
      <c r="AF613" s="280">
        <v>84</v>
      </c>
      <c r="AG613" s="280">
        <v>83</v>
      </c>
      <c r="AH613" s="280">
        <v>84</v>
      </c>
    </row>
    <row r="614" spans="1:34" s="1" customFormat="1" ht="13" x14ac:dyDescent="0.25">
      <c r="A614" s="280" t="s">
        <v>1156</v>
      </c>
      <c r="B614" s="286">
        <v>442</v>
      </c>
      <c r="C614" s="286">
        <v>727.875</v>
      </c>
      <c r="D614" s="286">
        <v>1013.7500000000001</v>
      </c>
      <c r="E614" s="286">
        <v>2</v>
      </c>
      <c r="F614" s="281">
        <v>3</v>
      </c>
      <c r="G614" s="282">
        <v>80.489678562500004</v>
      </c>
      <c r="H614" s="282">
        <v>83.738843393750003</v>
      </c>
      <c r="I614" s="282">
        <v>86.220069204166677</v>
      </c>
      <c r="J614" s="282">
        <v>89.202521806666653</v>
      </c>
      <c r="K614" s="282">
        <v>87.745373775277784</v>
      </c>
      <c r="L614" s="282">
        <v>88.504796171527772</v>
      </c>
      <c r="M614" s="282">
        <v>90.615150232777779</v>
      </c>
      <c r="N614" s="282">
        <v>92.683622531944437</v>
      </c>
      <c r="O614" s="282">
        <v>94.360122433333345</v>
      </c>
      <c r="P614" s="282">
        <v>94.404338379999984</v>
      </c>
      <c r="Q614" s="282">
        <v>93.861762391458328</v>
      </c>
      <c r="R614" s="283">
        <v>92.963349195833317</v>
      </c>
      <c r="S614" s="284">
        <v>994.29994951673621</v>
      </c>
      <c r="T614" s="284">
        <v>526.02675458416672</v>
      </c>
      <c r="U614" s="296">
        <f t="shared" si="18"/>
        <v>76.510949516735991</v>
      </c>
      <c r="V614" s="296">
        <f t="shared" si="19"/>
        <v>26.232754584166742</v>
      </c>
      <c r="W614" s="287">
        <v>87</v>
      </c>
      <c r="X614" s="280">
        <v>85</v>
      </c>
      <c r="Y614" s="280">
        <v>86</v>
      </c>
      <c r="Z614" s="280">
        <v>86</v>
      </c>
      <c r="AA614" s="280">
        <v>85</v>
      </c>
      <c r="AB614" s="280">
        <v>86</v>
      </c>
      <c r="AC614" s="280">
        <v>88</v>
      </c>
      <c r="AD614" s="280">
        <v>91</v>
      </c>
      <c r="AE614" s="280">
        <v>92</v>
      </c>
      <c r="AF614" s="280">
        <v>92</v>
      </c>
      <c r="AG614" s="280">
        <v>92</v>
      </c>
      <c r="AH614" s="280">
        <v>94</v>
      </c>
    </row>
    <row r="615" spans="1:34" s="1" customFormat="1" ht="13" x14ac:dyDescent="0.25">
      <c r="A615" s="280" t="s">
        <v>1157</v>
      </c>
      <c r="B615" s="286">
        <v>442</v>
      </c>
      <c r="C615" s="286">
        <v>727.875</v>
      </c>
      <c r="D615" s="286">
        <v>1013.7500000000001</v>
      </c>
      <c r="E615" s="286">
        <v>2</v>
      </c>
      <c r="F615" s="281">
        <v>4</v>
      </c>
      <c r="G615" s="282">
        <v>80.489678562500004</v>
      </c>
      <c r="H615" s="282">
        <v>83.738843393750003</v>
      </c>
      <c r="I615" s="282">
        <v>86.66506920416667</v>
      </c>
      <c r="J615" s="282">
        <v>90.092521806666653</v>
      </c>
      <c r="K615" s="282">
        <v>89.080373775277778</v>
      </c>
      <c r="L615" s="282">
        <v>90.352171171527772</v>
      </c>
      <c r="M615" s="282">
        <v>92.974900232777784</v>
      </c>
      <c r="N615" s="282">
        <v>95.555747531944448</v>
      </c>
      <c r="O615" s="282">
        <v>97.803403683333343</v>
      </c>
      <c r="P615" s="282">
        <v>98.418775879999984</v>
      </c>
      <c r="Q615" s="282">
        <v>98.447356141458314</v>
      </c>
      <c r="R615" s="283">
        <v>98.120099195833319</v>
      </c>
      <c r="S615" s="284">
        <v>1021.2492620167361</v>
      </c>
      <c r="T615" s="284">
        <v>532.9038795841667</v>
      </c>
      <c r="U615" s="296">
        <f t="shared" si="18"/>
        <v>103.4602620167359</v>
      </c>
      <c r="V615" s="296">
        <f t="shared" si="19"/>
        <v>33.10987958416672</v>
      </c>
      <c r="W615" s="287">
        <v>87</v>
      </c>
      <c r="X615" s="280">
        <v>85</v>
      </c>
      <c r="Y615" s="280">
        <v>87</v>
      </c>
      <c r="Z615" s="280">
        <v>88</v>
      </c>
      <c r="AA615" s="280">
        <v>88</v>
      </c>
      <c r="AB615" s="280">
        <v>90</v>
      </c>
      <c r="AC615" s="280">
        <v>93</v>
      </c>
      <c r="AD615" s="280">
        <v>97</v>
      </c>
      <c r="AE615" s="280">
        <v>99</v>
      </c>
      <c r="AF615" s="280">
        <v>100</v>
      </c>
      <c r="AG615" s="280">
        <v>101</v>
      </c>
      <c r="AH615" s="280">
        <v>104</v>
      </c>
    </row>
    <row r="616" spans="1:34" s="1" customFormat="1" ht="13" x14ac:dyDescent="0.25">
      <c r="A616" s="280" t="s">
        <v>1158</v>
      </c>
      <c r="B616" s="286">
        <v>442</v>
      </c>
      <c r="C616" s="286">
        <v>727.875</v>
      </c>
      <c r="D616" s="286">
        <v>1013.7500000000001</v>
      </c>
      <c r="E616" s="286">
        <v>2</v>
      </c>
      <c r="F616" s="281">
        <v>5</v>
      </c>
      <c r="G616" s="282">
        <v>80.489678562500004</v>
      </c>
      <c r="H616" s="282">
        <v>83.738843393750003</v>
      </c>
      <c r="I616" s="282">
        <v>87.110069204166678</v>
      </c>
      <c r="J616" s="282">
        <v>90.982521806666654</v>
      </c>
      <c r="K616" s="282">
        <v>90.415373775277786</v>
      </c>
      <c r="L616" s="282">
        <v>92.199546171527771</v>
      </c>
      <c r="M616" s="282">
        <v>95.33465023277779</v>
      </c>
      <c r="N616" s="282">
        <v>98.427872531944445</v>
      </c>
      <c r="O616" s="282">
        <v>101.24668493333334</v>
      </c>
      <c r="P616" s="282">
        <v>102.43321337999998</v>
      </c>
      <c r="Q616" s="282">
        <v>103.03294989145832</v>
      </c>
      <c r="R616" s="283">
        <v>103.27684919583332</v>
      </c>
      <c r="S616" s="284">
        <v>1048.198574516736</v>
      </c>
      <c r="T616" s="284">
        <v>539.78100458416668</v>
      </c>
      <c r="U616" s="296">
        <f t="shared" si="18"/>
        <v>130.4095745167358</v>
      </c>
      <c r="V616" s="296">
        <f t="shared" si="19"/>
        <v>39.987004584166698</v>
      </c>
      <c r="W616" s="287">
        <v>87</v>
      </c>
      <c r="X616" s="280">
        <v>85</v>
      </c>
      <c r="Y616" s="280">
        <v>88</v>
      </c>
      <c r="Z616" s="280">
        <v>90</v>
      </c>
      <c r="AA616" s="280">
        <v>91</v>
      </c>
      <c r="AB616" s="280">
        <v>94</v>
      </c>
      <c r="AC616" s="280">
        <v>98</v>
      </c>
      <c r="AD616" s="280">
        <v>103</v>
      </c>
      <c r="AE616" s="280">
        <v>106</v>
      </c>
      <c r="AF616" s="280">
        <v>108</v>
      </c>
      <c r="AG616" s="280">
        <v>110</v>
      </c>
      <c r="AH616" s="280">
        <v>114</v>
      </c>
    </row>
    <row r="617" spans="1:34" s="1" customFormat="1" ht="13" x14ac:dyDescent="0.25">
      <c r="A617" s="280" t="s">
        <v>1159</v>
      </c>
      <c r="B617" s="286">
        <v>442</v>
      </c>
      <c r="C617" s="286">
        <v>727.875</v>
      </c>
      <c r="D617" s="286">
        <v>1013.7500000000001</v>
      </c>
      <c r="E617" s="286">
        <v>3</v>
      </c>
      <c r="F617" s="281">
        <v>0</v>
      </c>
      <c r="G617" s="282">
        <v>80.489678562500004</v>
      </c>
      <c r="H617" s="282">
        <v>83.099156699305553</v>
      </c>
      <c r="I617" s="282">
        <v>83.869885190277799</v>
      </c>
      <c r="J617" s="282">
        <v>85.669979223333343</v>
      </c>
      <c r="K617" s="282">
        <v>82.928029303055538</v>
      </c>
      <c r="L617" s="282">
        <v>82.391282282638883</v>
      </c>
      <c r="M617" s="282">
        <v>83.071646760555552</v>
      </c>
      <c r="N617" s="282">
        <v>83.621900309722221</v>
      </c>
      <c r="O617" s="282">
        <v>83.488299516666657</v>
      </c>
      <c r="P617" s="282">
        <v>81.756025879999996</v>
      </c>
      <c r="Q617" s="282">
        <v>79.61341864145831</v>
      </c>
      <c r="R617" s="283">
        <v>76.942717251388885</v>
      </c>
      <c r="S617" s="284">
        <v>906.45234105840279</v>
      </c>
      <c r="T617" s="284">
        <v>501.02997945916667</v>
      </c>
      <c r="U617" s="296">
        <f t="shared" si="18"/>
        <v>-11.33665894159742</v>
      </c>
      <c r="V617" s="296">
        <f t="shared" si="19"/>
        <v>1.2359794591666855</v>
      </c>
      <c r="W617" s="287">
        <v>87</v>
      </c>
      <c r="X617" s="280">
        <v>85</v>
      </c>
      <c r="Y617" s="280">
        <v>83</v>
      </c>
      <c r="Z617" s="280">
        <v>80</v>
      </c>
      <c r="AA617" s="280">
        <v>76</v>
      </c>
      <c r="AB617" s="280">
        <v>74</v>
      </c>
      <c r="AC617" s="280">
        <v>73</v>
      </c>
      <c r="AD617" s="280">
        <v>73</v>
      </c>
      <c r="AE617" s="280">
        <v>71</v>
      </c>
      <c r="AF617" s="280">
        <v>68</v>
      </c>
      <c r="AG617" s="280">
        <v>65</v>
      </c>
      <c r="AH617" s="280">
        <v>64</v>
      </c>
    </row>
    <row r="618" spans="1:34" s="1" customFormat="1" ht="13" x14ac:dyDescent="0.25">
      <c r="A618" s="280" t="s">
        <v>1160</v>
      </c>
      <c r="B618" s="286">
        <v>442</v>
      </c>
      <c r="C618" s="286">
        <v>727.875</v>
      </c>
      <c r="D618" s="286">
        <v>1013.7500000000001</v>
      </c>
      <c r="E618" s="286">
        <v>3</v>
      </c>
      <c r="F618" s="281">
        <v>1</v>
      </c>
      <c r="G618" s="282">
        <v>80.489678562500004</v>
      </c>
      <c r="H618" s="282">
        <v>83.099156699305553</v>
      </c>
      <c r="I618" s="282">
        <v>84.314885190277792</v>
      </c>
      <c r="J618" s="282">
        <v>86.559979223333343</v>
      </c>
      <c r="K618" s="282">
        <v>84.263029303055546</v>
      </c>
      <c r="L618" s="282">
        <v>84.238657282638869</v>
      </c>
      <c r="M618" s="282">
        <v>85.431396760555543</v>
      </c>
      <c r="N618" s="282">
        <v>86.494025309722218</v>
      </c>
      <c r="O618" s="282">
        <v>86.93158076666667</v>
      </c>
      <c r="P618" s="282">
        <v>85.770463379999995</v>
      </c>
      <c r="Q618" s="282">
        <v>84.199012391458325</v>
      </c>
      <c r="R618" s="283">
        <v>82.099467251388873</v>
      </c>
      <c r="S618" s="284">
        <v>933.40165355840281</v>
      </c>
      <c r="T618" s="284">
        <v>507.9071044591667</v>
      </c>
      <c r="U618" s="296">
        <f t="shared" si="18"/>
        <v>15.612653558402599</v>
      </c>
      <c r="V618" s="296">
        <f t="shared" si="19"/>
        <v>8.1131044591667205</v>
      </c>
      <c r="W618" s="287">
        <v>87</v>
      </c>
      <c r="X618" s="280">
        <v>85</v>
      </c>
      <c r="Y618" s="280">
        <v>84</v>
      </c>
      <c r="Z618" s="280">
        <v>82</v>
      </c>
      <c r="AA618" s="280">
        <v>79</v>
      </c>
      <c r="AB618" s="280">
        <v>78</v>
      </c>
      <c r="AC618" s="280">
        <v>78</v>
      </c>
      <c r="AD618" s="280">
        <v>79</v>
      </c>
      <c r="AE618" s="280">
        <v>78</v>
      </c>
      <c r="AF618" s="280">
        <v>76</v>
      </c>
      <c r="AG618" s="280">
        <v>74</v>
      </c>
      <c r="AH618" s="280">
        <v>74</v>
      </c>
    </row>
    <row r="619" spans="1:34" s="1" customFormat="1" ht="13" x14ac:dyDescent="0.25">
      <c r="A619" s="280" t="s">
        <v>1161</v>
      </c>
      <c r="B619" s="286">
        <v>442</v>
      </c>
      <c r="C619" s="286">
        <v>727.875</v>
      </c>
      <c r="D619" s="286">
        <v>1013.7500000000001</v>
      </c>
      <c r="E619" s="286">
        <v>3</v>
      </c>
      <c r="F619" s="281">
        <v>2</v>
      </c>
      <c r="G619" s="282">
        <v>80.489678562500004</v>
      </c>
      <c r="H619" s="282">
        <v>83.099156699305553</v>
      </c>
      <c r="I619" s="282">
        <v>84.759885190277799</v>
      </c>
      <c r="J619" s="282">
        <v>87.449979223333344</v>
      </c>
      <c r="K619" s="282">
        <v>85.598029303055554</v>
      </c>
      <c r="L619" s="282">
        <v>86.086032282638868</v>
      </c>
      <c r="M619" s="282">
        <v>87.791146760555563</v>
      </c>
      <c r="N619" s="282">
        <v>89.366150309722229</v>
      </c>
      <c r="O619" s="282">
        <v>90.374862016666654</v>
      </c>
      <c r="P619" s="282">
        <v>89.784900879999995</v>
      </c>
      <c r="Q619" s="282">
        <v>88.784606141458326</v>
      </c>
      <c r="R619" s="283">
        <v>87.256217251388875</v>
      </c>
      <c r="S619" s="284">
        <v>960.35096605840272</v>
      </c>
      <c r="T619" s="284">
        <v>514.78422945916668</v>
      </c>
      <c r="U619" s="296">
        <f t="shared" si="18"/>
        <v>42.561966058402504</v>
      </c>
      <c r="V619" s="296">
        <f t="shared" si="19"/>
        <v>14.990229459166699</v>
      </c>
      <c r="W619" s="287">
        <v>87</v>
      </c>
      <c r="X619" s="280">
        <v>85</v>
      </c>
      <c r="Y619" s="280">
        <v>85</v>
      </c>
      <c r="Z619" s="280">
        <v>84</v>
      </c>
      <c r="AA619" s="280">
        <v>82</v>
      </c>
      <c r="AB619" s="280">
        <v>82</v>
      </c>
      <c r="AC619" s="280">
        <v>83</v>
      </c>
      <c r="AD619" s="280">
        <v>85</v>
      </c>
      <c r="AE619" s="280">
        <v>85</v>
      </c>
      <c r="AF619" s="280">
        <v>84</v>
      </c>
      <c r="AG619" s="280">
        <v>83</v>
      </c>
      <c r="AH619" s="280">
        <v>84</v>
      </c>
    </row>
    <row r="620" spans="1:34" s="1" customFormat="1" ht="13" x14ac:dyDescent="0.25">
      <c r="A620" s="280" t="s">
        <v>1162</v>
      </c>
      <c r="B620" s="286">
        <v>442</v>
      </c>
      <c r="C620" s="286">
        <v>727.875</v>
      </c>
      <c r="D620" s="286">
        <v>1013.7500000000001</v>
      </c>
      <c r="E620" s="286">
        <v>3</v>
      </c>
      <c r="F620" s="281">
        <v>3</v>
      </c>
      <c r="G620" s="282">
        <v>80.489678562500004</v>
      </c>
      <c r="H620" s="282">
        <v>83.099156699305553</v>
      </c>
      <c r="I620" s="282">
        <v>85.204885190277793</v>
      </c>
      <c r="J620" s="282">
        <v>88.339979223333344</v>
      </c>
      <c r="K620" s="282">
        <v>86.933029303055548</v>
      </c>
      <c r="L620" s="282">
        <v>87.933407282638882</v>
      </c>
      <c r="M620" s="282">
        <v>90.150896760555568</v>
      </c>
      <c r="N620" s="282">
        <v>92.238275309722226</v>
      </c>
      <c r="O620" s="282">
        <v>93.818143266666667</v>
      </c>
      <c r="P620" s="282">
        <v>93.799338379999995</v>
      </c>
      <c r="Q620" s="282">
        <v>93.370199891458327</v>
      </c>
      <c r="R620" s="283">
        <v>92.412967251388878</v>
      </c>
      <c r="S620" s="284">
        <v>987.30027855840274</v>
      </c>
      <c r="T620" s="284">
        <v>521.66135445916666</v>
      </c>
      <c r="U620" s="296">
        <f t="shared" si="18"/>
        <v>69.511278558402523</v>
      </c>
      <c r="V620" s="296">
        <f t="shared" si="19"/>
        <v>21.867354459166677</v>
      </c>
      <c r="W620" s="287">
        <v>87</v>
      </c>
      <c r="X620" s="280">
        <v>85</v>
      </c>
      <c r="Y620" s="280">
        <v>86</v>
      </c>
      <c r="Z620" s="280">
        <v>86</v>
      </c>
      <c r="AA620" s="280">
        <v>85</v>
      </c>
      <c r="AB620" s="280">
        <v>86</v>
      </c>
      <c r="AC620" s="280">
        <v>88</v>
      </c>
      <c r="AD620" s="280">
        <v>91</v>
      </c>
      <c r="AE620" s="280">
        <v>92</v>
      </c>
      <c r="AF620" s="280">
        <v>92</v>
      </c>
      <c r="AG620" s="280">
        <v>92</v>
      </c>
      <c r="AH620" s="280">
        <v>94</v>
      </c>
    </row>
    <row r="621" spans="1:34" s="1" customFormat="1" ht="13" x14ac:dyDescent="0.25">
      <c r="A621" s="280" t="s">
        <v>1163</v>
      </c>
      <c r="B621" s="286">
        <v>442</v>
      </c>
      <c r="C621" s="286">
        <v>727.875</v>
      </c>
      <c r="D621" s="286">
        <v>1013.7500000000001</v>
      </c>
      <c r="E621" s="286">
        <v>3</v>
      </c>
      <c r="F621" s="281">
        <v>4</v>
      </c>
      <c r="G621" s="282">
        <v>80.489678562500004</v>
      </c>
      <c r="H621" s="282">
        <v>83.099156699305553</v>
      </c>
      <c r="I621" s="282">
        <v>85.6498851902778</v>
      </c>
      <c r="J621" s="282">
        <v>89.229979223333345</v>
      </c>
      <c r="K621" s="282">
        <v>88.268029303055556</v>
      </c>
      <c r="L621" s="282">
        <v>89.780782282638881</v>
      </c>
      <c r="M621" s="282">
        <v>92.510646760555559</v>
      </c>
      <c r="N621" s="282">
        <v>95.110400309722223</v>
      </c>
      <c r="O621" s="282">
        <v>97.261424516666665</v>
      </c>
      <c r="P621" s="282">
        <v>97.813775879999994</v>
      </c>
      <c r="Q621" s="282">
        <v>97.955793641458328</v>
      </c>
      <c r="R621" s="283">
        <v>97.56971725138888</v>
      </c>
      <c r="S621" s="284">
        <v>1014.2495910584026</v>
      </c>
      <c r="T621" s="284">
        <v>528.53847945916664</v>
      </c>
      <c r="U621" s="296">
        <f t="shared" si="18"/>
        <v>96.460591058402429</v>
      </c>
      <c r="V621" s="296">
        <f t="shared" si="19"/>
        <v>28.744479459166655</v>
      </c>
      <c r="W621" s="287">
        <v>87</v>
      </c>
      <c r="X621" s="280">
        <v>85</v>
      </c>
      <c r="Y621" s="280">
        <v>87</v>
      </c>
      <c r="Z621" s="280">
        <v>88</v>
      </c>
      <c r="AA621" s="280">
        <v>88</v>
      </c>
      <c r="AB621" s="280">
        <v>90</v>
      </c>
      <c r="AC621" s="280">
        <v>93</v>
      </c>
      <c r="AD621" s="280">
        <v>97</v>
      </c>
      <c r="AE621" s="280">
        <v>99</v>
      </c>
      <c r="AF621" s="280">
        <v>100</v>
      </c>
      <c r="AG621" s="280">
        <v>101</v>
      </c>
      <c r="AH621" s="280">
        <v>104</v>
      </c>
    </row>
    <row r="622" spans="1:34" s="1" customFormat="1" ht="13" x14ac:dyDescent="0.25">
      <c r="A622" s="280" t="s">
        <v>1164</v>
      </c>
      <c r="B622" s="286">
        <v>442</v>
      </c>
      <c r="C622" s="286">
        <v>727.875</v>
      </c>
      <c r="D622" s="286">
        <v>1013.7500000000001</v>
      </c>
      <c r="E622" s="286">
        <v>3</v>
      </c>
      <c r="F622" s="281">
        <v>5</v>
      </c>
      <c r="G622" s="282">
        <v>80.489678562500004</v>
      </c>
      <c r="H622" s="282">
        <v>83.099156699305553</v>
      </c>
      <c r="I622" s="282">
        <v>86.094885190277793</v>
      </c>
      <c r="J622" s="282">
        <v>90.119979223333345</v>
      </c>
      <c r="K622" s="282">
        <v>89.603029303055564</v>
      </c>
      <c r="L622" s="282">
        <v>91.628157282638881</v>
      </c>
      <c r="M622" s="282">
        <v>94.870396760555565</v>
      </c>
      <c r="N622" s="282">
        <v>97.98252530972222</v>
      </c>
      <c r="O622" s="282">
        <v>100.70470576666668</v>
      </c>
      <c r="P622" s="282">
        <v>101.82821337999999</v>
      </c>
      <c r="Q622" s="282">
        <v>102.54138739145831</v>
      </c>
      <c r="R622" s="283">
        <v>102.72646725138888</v>
      </c>
      <c r="S622" s="284">
        <v>1041.1989035584029</v>
      </c>
      <c r="T622" s="284">
        <v>535.41560445916673</v>
      </c>
      <c r="U622" s="296">
        <f t="shared" si="18"/>
        <v>123.40990355840268</v>
      </c>
      <c r="V622" s="296">
        <f t="shared" si="19"/>
        <v>35.621604459166747</v>
      </c>
      <c r="W622" s="287">
        <v>87</v>
      </c>
      <c r="X622" s="280">
        <v>85</v>
      </c>
      <c r="Y622" s="280">
        <v>88</v>
      </c>
      <c r="Z622" s="280">
        <v>90</v>
      </c>
      <c r="AA622" s="280">
        <v>91</v>
      </c>
      <c r="AB622" s="280">
        <v>94</v>
      </c>
      <c r="AC622" s="280">
        <v>98</v>
      </c>
      <c r="AD622" s="280">
        <v>103</v>
      </c>
      <c r="AE622" s="280">
        <v>106</v>
      </c>
      <c r="AF622" s="280">
        <v>108</v>
      </c>
      <c r="AG622" s="280">
        <v>110</v>
      </c>
      <c r="AH622" s="280">
        <v>114</v>
      </c>
    </row>
    <row r="623" spans="1:34" s="1" customFormat="1" ht="13" x14ac:dyDescent="0.25">
      <c r="A623" s="280" t="s">
        <v>1165</v>
      </c>
      <c r="B623" s="286">
        <v>442</v>
      </c>
      <c r="C623" s="286">
        <v>727.875</v>
      </c>
      <c r="D623" s="286">
        <v>1013.7500000000001</v>
      </c>
      <c r="E623" s="286">
        <v>4</v>
      </c>
      <c r="F623" s="281">
        <v>0</v>
      </c>
      <c r="G623" s="282">
        <v>80.489678562500004</v>
      </c>
      <c r="H623" s="282">
        <v>82.744883527083331</v>
      </c>
      <c r="I623" s="282">
        <v>83.255258858333335</v>
      </c>
      <c r="J623" s="282">
        <v>84.858728639999981</v>
      </c>
      <c r="K623" s="282">
        <v>82.125682525277767</v>
      </c>
      <c r="L623" s="282">
        <v>81.744730171527777</v>
      </c>
      <c r="M623" s="282">
        <v>82.562228357777769</v>
      </c>
      <c r="N623" s="282">
        <v>83.210164198611096</v>
      </c>
      <c r="O623" s="282">
        <v>83.003039099999995</v>
      </c>
      <c r="P623" s="282">
        <v>81.214046713333332</v>
      </c>
      <c r="Q623" s="282">
        <v>79.033626974791645</v>
      </c>
      <c r="R623" s="283">
        <v>76.428047112499982</v>
      </c>
      <c r="S623" s="284">
        <v>900.18043617923604</v>
      </c>
      <c r="T623" s="284">
        <v>497.2915120799999</v>
      </c>
      <c r="U623" s="296">
        <f t="shared" si="18"/>
        <v>-17.608563820764175</v>
      </c>
      <c r="V623" s="296">
        <f t="shared" si="19"/>
        <v>-2.5024879200000782</v>
      </c>
      <c r="W623" s="287">
        <v>87</v>
      </c>
      <c r="X623" s="280">
        <v>85</v>
      </c>
      <c r="Y623" s="280">
        <v>83</v>
      </c>
      <c r="Z623" s="280">
        <v>80</v>
      </c>
      <c r="AA623" s="280">
        <v>76</v>
      </c>
      <c r="AB623" s="280">
        <v>74</v>
      </c>
      <c r="AC623" s="280">
        <v>73</v>
      </c>
      <c r="AD623" s="280">
        <v>73</v>
      </c>
      <c r="AE623" s="280">
        <v>71</v>
      </c>
      <c r="AF623" s="280">
        <v>68</v>
      </c>
      <c r="AG623" s="280">
        <v>65</v>
      </c>
      <c r="AH623" s="280">
        <v>64</v>
      </c>
    </row>
    <row r="624" spans="1:34" s="1" customFormat="1" ht="13" x14ac:dyDescent="0.25">
      <c r="A624" s="280" t="s">
        <v>1166</v>
      </c>
      <c r="B624" s="286">
        <v>442</v>
      </c>
      <c r="C624" s="286">
        <v>727.875</v>
      </c>
      <c r="D624" s="286">
        <v>1013.7500000000001</v>
      </c>
      <c r="E624" s="286">
        <v>4</v>
      </c>
      <c r="F624" s="281">
        <v>1</v>
      </c>
      <c r="G624" s="282">
        <v>80.489678562500004</v>
      </c>
      <c r="H624" s="282">
        <v>82.744883527083331</v>
      </c>
      <c r="I624" s="282">
        <v>83.700258858333342</v>
      </c>
      <c r="J624" s="282">
        <v>85.748728639999996</v>
      </c>
      <c r="K624" s="282">
        <v>83.460682525277775</v>
      </c>
      <c r="L624" s="282">
        <v>83.592105171527777</v>
      </c>
      <c r="M624" s="282">
        <v>84.921978357777775</v>
      </c>
      <c r="N624" s="282">
        <v>86.082289198611093</v>
      </c>
      <c r="O624" s="282">
        <v>86.446320350000008</v>
      </c>
      <c r="P624" s="282">
        <v>85.228484213333331</v>
      </c>
      <c r="Q624" s="282">
        <v>83.61922072479166</v>
      </c>
      <c r="R624" s="283">
        <v>81.584797112499984</v>
      </c>
      <c r="S624" s="284">
        <v>927.12974867923595</v>
      </c>
      <c r="T624" s="284">
        <v>504.16863708000005</v>
      </c>
      <c r="U624" s="296">
        <f t="shared" si="18"/>
        <v>9.3407486792357304</v>
      </c>
      <c r="V624" s="296">
        <f t="shared" si="19"/>
        <v>4.3746370800000705</v>
      </c>
      <c r="W624" s="287">
        <v>87</v>
      </c>
      <c r="X624" s="280">
        <v>85</v>
      </c>
      <c r="Y624" s="280">
        <v>84</v>
      </c>
      <c r="Z624" s="280">
        <v>82</v>
      </c>
      <c r="AA624" s="280">
        <v>79</v>
      </c>
      <c r="AB624" s="280">
        <v>78</v>
      </c>
      <c r="AC624" s="280">
        <v>78</v>
      </c>
      <c r="AD624" s="280">
        <v>79</v>
      </c>
      <c r="AE624" s="280">
        <v>78</v>
      </c>
      <c r="AF624" s="280">
        <v>76</v>
      </c>
      <c r="AG624" s="280">
        <v>74</v>
      </c>
      <c r="AH624" s="280">
        <v>74</v>
      </c>
    </row>
    <row r="625" spans="1:34" s="1" customFormat="1" ht="13" x14ac:dyDescent="0.25">
      <c r="A625" s="280" t="s">
        <v>1167</v>
      </c>
      <c r="B625" s="286">
        <v>442</v>
      </c>
      <c r="C625" s="286">
        <v>727.875</v>
      </c>
      <c r="D625" s="286">
        <v>1013.7500000000001</v>
      </c>
      <c r="E625" s="286">
        <v>4</v>
      </c>
      <c r="F625" s="281">
        <v>2</v>
      </c>
      <c r="G625" s="282">
        <v>80.489678562500004</v>
      </c>
      <c r="H625" s="282">
        <v>82.744883527083331</v>
      </c>
      <c r="I625" s="282">
        <v>84.145258858333335</v>
      </c>
      <c r="J625" s="282">
        <v>86.638728639999997</v>
      </c>
      <c r="K625" s="282">
        <v>84.795682525277783</v>
      </c>
      <c r="L625" s="282">
        <v>85.439480171527762</v>
      </c>
      <c r="M625" s="282">
        <v>87.281728357777766</v>
      </c>
      <c r="N625" s="282">
        <v>88.954414198611104</v>
      </c>
      <c r="O625" s="282">
        <v>89.889601600000006</v>
      </c>
      <c r="P625" s="282">
        <v>89.242921713333331</v>
      </c>
      <c r="Q625" s="282">
        <v>88.204814474791661</v>
      </c>
      <c r="R625" s="283">
        <v>86.741547112500001</v>
      </c>
      <c r="S625" s="284">
        <v>954.07906117923596</v>
      </c>
      <c r="T625" s="284">
        <v>511.04576207999992</v>
      </c>
      <c r="U625" s="296">
        <f t="shared" si="18"/>
        <v>36.290061179235749</v>
      </c>
      <c r="V625" s="296">
        <f t="shared" si="19"/>
        <v>11.251762079999935</v>
      </c>
      <c r="W625" s="287">
        <v>87</v>
      </c>
      <c r="X625" s="280">
        <v>85</v>
      </c>
      <c r="Y625" s="280">
        <v>85</v>
      </c>
      <c r="Z625" s="280">
        <v>84</v>
      </c>
      <c r="AA625" s="280">
        <v>82</v>
      </c>
      <c r="AB625" s="280">
        <v>82</v>
      </c>
      <c r="AC625" s="280">
        <v>83</v>
      </c>
      <c r="AD625" s="280">
        <v>85</v>
      </c>
      <c r="AE625" s="280">
        <v>85</v>
      </c>
      <c r="AF625" s="280">
        <v>84</v>
      </c>
      <c r="AG625" s="280">
        <v>83</v>
      </c>
      <c r="AH625" s="280">
        <v>84</v>
      </c>
    </row>
    <row r="626" spans="1:34" s="1" customFormat="1" ht="13" x14ac:dyDescent="0.25">
      <c r="A626" s="280" t="s">
        <v>1168</v>
      </c>
      <c r="B626" s="286">
        <v>442</v>
      </c>
      <c r="C626" s="286">
        <v>727.875</v>
      </c>
      <c r="D626" s="286">
        <v>1013.7500000000001</v>
      </c>
      <c r="E626" s="286">
        <v>4</v>
      </c>
      <c r="F626" s="281">
        <v>3</v>
      </c>
      <c r="G626" s="282">
        <v>80.489678562500004</v>
      </c>
      <c r="H626" s="282">
        <v>82.744883527083331</v>
      </c>
      <c r="I626" s="282">
        <v>84.590258858333343</v>
      </c>
      <c r="J626" s="282">
        <v>87.528728639999997</v>
      </c>
      <c r="K626" s="282">
        <v>86.130682525277777</v>
      </c>
      <c r="L626" s="282">
        <v>87.286855171527762</v>
      </c>
      <c r="M626" s="282">
        <v>89.641478357777785</v>
      </c>
      <c r="N626" s="282">
        <v>91.826539198611101</v>
      </c>
      <c r="O626" s="282">
        <v>93.332882850000018</v>
      </c>
      <c r="P626" s="282">
        <v>93.257359213333331</v>
      </c>
      <c r="Q626" s="282">
        <v>92.790408224791662</v>
      </c>
      <c r="R626" s="283">
        <v>91.898297112500003</v>
      </c>
      <c r="S626" s="284">
        <v>981.0283736792361</v>
      </c>
      <c r="T626" s="284">
        <v>517.92288708000001</v>
      </c>
      <c r="U626" s="296">
        <f t="shared" si="18"/>
        <v>63.239373679235882</v>
      </c>
      <c r="V626" s="296">
        <f t="shared" si="19"/>
        <v>18.128887080000027</v>
      </c>
      <c r="W626" s="287">
        <v>87</v>
      </c>
      <c r="X626" s="280">
        <v>85</v>
      </c>
      <c r="Y626" s="280">
        <v>86</v>
      </c>
      <c r="Z626" s="280">
        <v>86</v>
      </c>
      <c r="AA626" s="280">
        <v>85</v>
      </c>
      <c r="AB626" s="280">
        <v>86</v>
      </c>
      <c r="AC626" s="280">
        <v>88</v>
      </c>
      <c r="AD626" s="280">
        <v>91</v>
      </c>
      <c r="AE626" s="280">
        <v>92</v>
      </c>
      <c r="AF626" s="280">
        <v>92</v>
      </c>
      <c r="AG626" s="280">
        <v>92</v>
      </c>
      <c r="AH626" s="280">
        <v>94</v>
      </c>
    </row>
    <row r="627" spans="1:34" s="1" customFormat="1" ht="13" x14ac:dyDescent="0.25">
      <c r="A627" s="280" t="s">
        <v>1169</v>
      </c>
      <c r="B627" s="286">
        <v>442</v>
      </c>
      <c r="C627" s="286">
        <v>727.875</v>
      </c>
      <c r="D627" s="286">
        <v>1013.7500000000001</v>
      </c>
      <c r="E627" s="286">
        <v>4</v>
      </c>
      <c r="F627" s="281">
        <v>4</v>
      </c>
      <c r="G627" s="282">
        <v>80.489678562500004</v>
      </c>
      <c r="H627" s="282">
        <v>82.744883527083331</v>
      </c>
      <c r="I627" s="282">
        <v>85.035258858333336</v>
      </c>
      <c r="J627" s="282">
        <v>88.418728639999998</v>
      </c>
      <c r="K627" s="282">
        <v>87.465682525277785</v>
      </c>
      <c r="L627" s="282">
        <v>89.134230171527761</v>
      </c>
      <c r="M627" s="282">
        <v>92.001228357777777</v>
      </c>
      <c r="N627" s="282">
        <v>94.698664198611098</v>
      </c>
      <c r="O627" s="282">
        <v>96.776164100000017</v>
      </c>
      <c r="P627" s="282">
        <v>97.27179671333333</v>
      </c>
      <c r="Q627" s="282">
        <v>97.376001974791663</v>
      </c>
      <c r="R627" s="283">
        <v>97.055047112500006</v>
      </c>
      <c r="S627" s="284">
        <v>1007.977686179236</v>
      </c>
      <c r="T627" s="284">
        <v>524.80001207999999</v>
      </c>
      <c r="U627" s="296">
        <f t="shared" si="18"/>
        <v>90.188686179235788</v>
      </c>
      <c r="V627" s="296">
        <f t="shared" si="19"/>
        <v>25.006012080000005</v>
      </c>
      <c r="W627" s="287">
        <v>87</v>
      </c>
      <c r="X627" s="280">
        <v>85</v>
      </c>
      <c r="Y627" s="280">
        <v>87</v>
      </c>
      <c r="Z627" s="280">
        <v>88</v>
      </c>
      <c r="AA627" s="280">
        <v>88</v>
      </c>
      <c r="AB627" s="280">
        <v>90</v>
      </c>
      <c r="AC627" s="280">
        <v>93</v>
      </c>
      <c r="AD627" s="280">
        <v>97</v>
      </c>
      <c r="AE627" s="280">
        <v>99</v>
      </c>
      <c r="AF627" s="280">
        <v>100</v>
      </c>
      <c r="AG627" s="280">
        <v>101</v>
      </c>
      <c r="AH627" s="280">
        <v>104</v>
      </c>
    </row>
    <row r="628" spans="1:34" s="1" customFormat="1" ht="13" x14ac:dyDescent="0.25">
      <c r="A628" s="280" t="s">
        <v>1170</v>
      </c>
      <c r="B628" s="286">
        <v>442</v>
      </c>
      <c r="C628" s="286">
        <v>727.875</v>
      </c>
      <c r="D628" s="286">
        <v>1013.7500000000001</v>
      </c>
      <c r="E628" s="286">
        <v>4</v>
      </c>
      <c r="F628" s="281">
        <v>5</v>
      </c>
      <c r="G628" s="282">
        <v>80.489678562500004</v>
      </c>
      <c r="H628" s="282">
        <v>82.744883527083331</v>
      </c>
      <c r="I628" s="282">
        <v>85.480258858333343</v>
      </c>
      <c r="J628" s="282">
        <v>89.308728639999998</v>
      </c>
      <c r="K628" s="282">
        <v>88.800682525277779</v>
      </c>
      <c r="L628" s="282">
        <v>90.981605171527761</v>
      </c>
      <c r="M628" s="282">
        <v>94.360978357777782</v>
      </c>
      <c r="N628" s="282">
        <v>97.570789198611095</v>
      </c>
      <c r="O628" s="282">
        <v>100.21944535000002</v>
      </c>
      <c r="P628" s="282">
        <v>101.28623421333333</v>
      </c>
      <c r="Q628" s="282">
        <v>101.96159572479166</v>
      </c>
      <c r="R628" s="283">
        <v>102.21179711250001</v>
      </c>
      <c r="S628" s="284">
        <v>1034.9269986792362</v>
      </c>
      <c r="T628" s="284">
        <v>531.67713708000008</v>
      </c>
      <c r="U628" s="296">
        <f t="shared" si="18"/>
        <v>117.13799867923603</v>
      </c>
      <c r="V628" s="296">
        <f t="shared" si="19"/>
        <v>31.883137080000097</v>
      </c>
      <c r="W628" s="287">
        <v>87</v>
      </c>
      <c r="X628" s="280">
        <v>85</v>
      </c>
      <c r="Y628" s="280">
        <v>88</v>
      </c>
      <c r="Z628" s="280">
        <v>90</v>
      </c>
      <c r="AA628" s="280">
        <v>91</v>
      </c>
      <c r="AB628" s="280">
        <v>94</v>
      </c>
      <c r="AC628" s="280">
        <v>98</v>
      </c>
      <c r="AD628" s="280">
        <v>103</v>
      </c>
      <c r="AE628" s="280">
        <v>106</v>
      </c>
      <c r="AF628" s="280">
        <v>108</v>
      </c>
      <c r="AG628" s="280">
        <v>110</v>
      </c>
      <c r="AH628" s="280">
        <v>114</v>
      </c>
    </row>
    <row r="629" spans="1:34" s="1" customFormat="1" ht="13" x14ac:dyDescent="0.25">
      <c r="A629" s="280" t="s">
        <v>1171</v>
      </c>
      <c r="B629" s="286">
        <v>442</v>
      </c>
      <c r="C629" s="286">
        <v>727.875</v>
      </c>
      <c r="D629" s="286">
        <v>1013.7500000000001</v>
      </c>
      <c r="E629" s="286">
        <v>5</v>
      </c>
      <c r="F629" s="281">
        <v>0</v>
      </c>
      <c r="G629" s="282">
        <v>80.489678562500004</v>
      </c>
      <c r="H629" s="282">
        <v>82.515487693750003</v>
      </c>
      <c r="I629" s="282">
        <v>82.855576504166692</v>
      </c>
      <c r="J629" s="282">
        <v>84.311393889999991</v>
      </c>
      <c r="K629" s="282">
        <v>81.374395858611109</v>
      </c>
      <c r="L629" s="282">
        <v>81.063913921527757</v>
      </c>
      <c r="M629" s="282">
        <v>82.045980399444431</v>
      </c>
      <c r="N629" s="282">
        <v>82.741289198611099</v>
      </c>
      <c r="O629" s="282">
        <v>82.560632850000005</v>
      </c>
      <c r="P629" s="282">
        <v>80.717442546666646</v>
      </c>
      <c r="Q629" s="282">
        <v>78.494168641458316</v>
      </c>
      <c r="R629" s="283">
        <v>75.85203669583332</v>
      </c>
      <c r="S629" s="284">
        <v>894.53231820006943</v>
      </c>
      <c r="T629" s="284">
        <v>494.16674826749994</v>
      </c>
      <c r="U629" s="296">
        <f t="shared" si="18"/>
        <v>-23.256681799930789</v>
      </c>
      <c r="V629" s="296">
        <f t="shared" si="19"/>
        <v>-5.6272517325000422</v>
      </c>
      <c r="W629" s="287">
        <v>87</v>
      </c>
      <c r="X629" s="280">
        <v>85</v>
      </c>
      <c r="Y629" s="280">
        <v>83</v>
      </c>
      <c r="Z629" s="280">
        <v>80</v>
      </c>
      <c r="AA629" s="280">
        <v>76</v>
      </c>
      <c r="AB629" s="280">
        <v>74</v>
      </c>
      <c r="AC629" s="280">
        <v>73</v>
      </c>
      <c r="AD629" s="280">
        <v>73</v>
      </c>
      <c r="AE629" s="280">
        <v>71</v>
      </c>
      <c r="AF629" s="280">
        <v>68</v>
      </c>
      <c r="AG629" s="280">
        <v>65</v>
      </c>
      <c r="AH629" s="280">
        <v>64</v>
      </c>
    </row>
    <row r="630" spans="1:34" s="1" customFormat="1" ht="13" x14ac:dyDescent="0.25">
      <c r="A630" s="280" t="s">
        <v>1172</v>
      </c>
      <c r="B630" s="286">
        <v>442</v>
      </c>
      <c r="C630" s="286">
        <v>727.875</v>
      </c>
      <c r="D630" s="286">
        <v>1013.7500000000001</v>
      </c>
      <c r="E630" s="286">
        <v>5</v>
      </c>
      <c r="F630" s="281">
        <v>1</v>
      </c>
      <c r="G630" s="282">
        <v>80.489678562500004</v>
      </c>
      <c r="H630" s="282">
        <v>82.515487693750003</v>
      </c>
      <c r="I630" s="282">
        <v>83.300576504166685</v>
      </c>
      <c r="J630" s="282">
        <v>85.201393890000006</v>
      </c>
      <c r="K630" s="282">
        <v>82.709395858611117</v>
      </c>
      <c r="L630" s="282">
        <v>82.911288921527756</v>
      </c>
      <c r="M630" s="282">
        <v>84.405730399444437</v>
      </c>
      <c r="N630" s="282">
        <v>85.61341419861111</v>
      </c>
      <c r="O630" s="282">
        <v>86.003914100000017</v>
      </c>
      <c r="P630" s="282">
        <v>84.731880046666674</v>
      </c>
      <c r="Q630" s="282">
        <v>83.079762391458331</v>
      </c>
      <c r="R630" s="283">
        <v>81.008786695833322</v>
      </c>
      <c r="S630" s="284">
        <v>921.48163070006933</v>
      </c>
      <c r="T630" s="284">
        <v>501.04387326749998</v>
      </c>
      <c r="U630" s="296">
        <f t="shared" si="18"/>
        <v>3.6926307000691168</v>
      </c>
      <c r="V630" s="296">
        <f t="shared" si="19"/>
        <v>1.2498732674999928</v>
      </c>
      <c r="W630" s="287">
        <v>87</v>
      </c>
      <c r="X630" s="280">
        <v>85</v>
      </c>
      <c r="Y630" s="280">
        <v>84</v>
      </c>
      <c r="Z630" s="280">
        <v>82</v>
      </c>
      <c r="AA630" s="280">
        <v>79</v>
      </c>
      <c r="AB630" s="280">
        <v>78</v>
      </c>
      <c r="AC630" s="280">
        <v>78</v>
      </c>
      <c r="AD630" s="280">
        <v>79</v>
      </c>
      <c r="AE630" s="280">
        <v>78</v>
      </c>
      <c r="AF630" s="280">
        <v>76</v>
      </c>
      <c r="AG630" s="280">
        <v>74</v>
      </c>
      <c r="AH630" s="280">
        <v>74</v>
      </c>
    </row>
    <row r="631" spans="1:34" s="1" customFormat="1" ht="13" x14ac:dyDescent="0.25">
      <c r="A631" s="280" t="s">
        <v>1173</v>
      </c>
      <c r="B631" s="286">
        <v>442</v>
      </c>
      <c r="C631" s="286">
        <v>727.875</v>
      </c>
      <c r="D631" s="286">
        <v>1013.7500000000001</v>
      </c>
      <c r="E631" s="286">
        <v>5</v>
      </c>
      <c r="F631" s="281">
        <v>2</v>
      </c>
      <c r="G631" s="282">
        <v>80.489678562500004</v>
      </c>
      <c r="H631" s="282">
        <v>82.515487693750003</v>
      </c>
      <c r="I631" s="282">
        <v>83.745576504166692</v>
      </c>
      <c r="J631" s="282">
        <v>86.091393890000006</v>
      </c>
      <c r="K631" s="282">
        <v>84.044395858611125</v>
      </c>
      <c r="L631" s="282">
        <v>84.758663921527742</v>
      </c>
      <c r="M631" s="282">
        <v>86.765480399444428</v>
      </c>
      <c r="N631" s="282">
        <v>88.485539198611093</v>
      </c>
      <c r="O631" s="282">
        <v>89.447195350000001</v>
      </c>
      <c r="P631" s="282">
        <v>88.746317546666646</v>
      </c>
      <c r="Q631" s="282">
        <v>87.665356141458318</v>
      </c>
      <c r="R631" s="283">
        <v>86.16553669583331</v>
      </c>
      <c r="S631" s="284">
        <v>948.43094320006946</v>
      </c>
      <c r="T631" s="284">
        <v>507.92099826749995</v>
      </c>
      <c r="U631" s="296">
        <f t="shared" si="18"/>
        <v>30.64194320006925</v>
      </c>
      <c r="V631" s="296">
        <f t="shared" si="19"/>
        <v>8.126998267499971</v>
      </c>
      <c r="W631" s="287">
        <v>87</v>
      </c>
      <c r="X631" s="280">
        <v>85</v>
      </c>
      <c r="Y631" s="280">
        <v>85</v>
      </c>
      <c r="Z631" s="280">
        <v>84</v>
      </c>
      <c r="AA631" s="280">
        <v>82</v>
      </c>
      <c r="AB631" s="280">
        <v>82</v>
      </c>
      <c r="AC631" s="280">
        <v>83</v>
      </c>
      <c r="AD631" s="280">
        <v>85</v>
      </c>
      <c r="AE631" s="280">
        <v>85</v>
      </c>
      <c r="AF631" s="280">
        <v>84</v>
      </c>
      <c r="AG631" s="280">
        <v>83</v>
      </c>
      <c r="AH631" s="280">
        <v>84</v>
      </c>
    </row>
    <row r="632" spans="1:34" s="1" customFormat="1" ht="13" x14ac:dyDescent="0.25">
      <c r="A632" s="280" t="s">
        <v>1174</v>
      </c>
      <c r="B632" s="286">
        <v>442</v>
      </c>
      <c r="C632" s="286">
        <v>727.875</v>
      </c>
      <c r="D632" s="286">
        <v>1013.7500000000001</v>
      </c>
      <c r="E632" s="286">
        <v>5</v>
      </c>
      <c r="F632" s="281">
        <v>3</v>
      </c>
      <c r="G632" s="282">
        <v>80.489678562500004</v>
      </c>
      <c r="H632" s="282">
        <v>82.515487693750003</v>
      </c>
      <c r="I632" s="282">
        <v>84.190576504166685</v>
      </c>
      <c r="J632" s="282">
        <v>86.981393890000007</v>
      </c>
      <c r="K632" s="282">
        <v>85.379395858611133</v>
      </c>
      <c r="L632" s="282">
        <v>86.606038921527741</v>
      </c>
      <c r="M632" s="282">
        <v>89.125230399444433</v>
      </c>
      <c r="N632" s="282">
        <v>91.357664198611104</v>
      </c>
      <c r="O632" s="282">
        <v>92.890476600000014</v>
      </c>
      <c r="P632" s="282">
        <v>92.760755046666645</v>
      </c>
      <c r="Q632" s="282">
        <v>92.250949891458319</v>
      </c>
      <c r="R632" s="283">
        <v>91.322286695833313</v>
      </c>
      <c r="S632" s="284">
        <v>975.38025570006937</v>
      </c>
      <c r="T632" s="284">
        <v>514.79812326749993</v>
      </c>
      <c r="U632" s="296">
        <f t="shared" si="18"/>
        <v>57.591255700069155</v>
      </c>
      <c r="V632" s="296">
        <f t="shared" si="19"/>
        <v>15.004123267499949</v>
      </c>
      <c r="W632" s="287">
        <v>87</v>
      </c>
      <c r="X632" s="280">
        <v>85</v>
      </c>
      <c r="Y632" s="280">
        <v>86</v>
      </c>
      <c r="Z632" s="280">
        <v>86</v>
      </c>
      <c r="AA632" s="280">
        <v>85</v>
      </c>
      <c r="AB632" s="280">
        <v>86</v>
      </c>
      <c r="AC632" s="280">
        <v>88</v>
      </c>
      <c r="AD632" s="280">
        <v>91</v>
      </c>
      <c r="AE632" s="280">
        <v>92</v>
      </c>
      <c r="AF632" s="280">
        <v>92</v>
      </c>
      <c r="AG632" s="280">
        <v>92</v>
      </c>
      <c r="AH632" s="280">
        <v>94</v>
      </c>
    </row>
    <row r="633" spans="1:34" s="1" customFormat="1" ht="13" x14ac:dyDescent="0.25">
      <c r="A633" s="280" t="s">
        <v>1175</v>
      </c>
      <c r="B633" s="286">
        <v>442</v>
      </c>
      <c r="C633" s="286">
        <v>727.875</v>
      </c>
      <c r="D633" s="286">
        <v>1013.7500000000001</v>
      </c>
      <c r="E633" s="286">
        <v>5</v>
      </c>
      <c r="F633" s="281">
        <v>4</v>
      </c>
      <c r="G633" s="282">
        <v>80.489678562500004</v>
      </c>
      <c r="H633" s="282">
        <v>82.515487693750003</v>
      </c>
      <c r="I633" s="282">
        <v>84.635576504166693</v>
      </c>
      <c r="J633" s="282">
        <v>87.871393890000007</v>
      </c>
      <c r="K633" s="282">
        <v>86.714395858611127</v>
      </c>
      <c r="L633" s="282">
        <v>88.453413921527755</v>
      </c>
      <c r="M633" s="282">
        <v>91.484980399444439</v>
      </c>
      <c r="N633" s="282">
        <v>94.229789198611101</v>
      </c>
      <c r="O633" s="282">
        <v>96.333757850000012</v>
      </c>
      <c r="P633" s="282">
        <v>96.775192546666645</v>
      </c>
      <c r="Q633" s="282">
        <v>96.83654364145832</v>
      </c>
      <c r="R633" s="283">
        <v>96.479036695833315</v>
      </c>
      <c r="S633" s="284">
        <v>1002.3295682000694</v>
      </c>
      <c r="T633" s="284">
        <v>521.67524826750002</v>
      </c>
      <c r="U633" s="296">
        <f t="shared" si="18"/>
        <v>84.540568200069174</v>
      </c>
      <c r="V633" s="296">
        <f t="shared" si="19"/>
        <v>21.881248267500041</v>
      </c>
      <c r="W633" s="287">
        <v>87</v>
      </c>
      <c r="X633" s="280">
        <v>85</v>
      </c>
      <c r="Y633" s="280">
        <v>87</v>
      </c>
      <c r="Z633" s="280">
        <v>88</v>
      </c>
      <c r="AA633" s="280">
        <v>88</v>
      </c>
      <c r="AB633" s="280">
        <v>90</v>
      </c>
      <c r="AC633" s="280">
        <v>93</v>
      </c>
      <c r="AD633" s="280">
        <v>97</v>
      </c>
      <c r="AE633" s="280">
        <v>99</v>
      </c>
      <c r="AF633" s="280">
        <v>100</v>
      </c>
      <c r="AG633" s="280">
        <v>101</v>
      </c>
      <c r="AH633" s="280">
        <v>104</v>
      </c>
    </row>
    <row r="634" spans="1:34" s="1" customFormat="1" ht="13" x14ac:dyDescent="0.25">
      <c r="A634" s="280" t="s">
        <v>1176</v>
      </c>
      <c r="B634" s="286">
        <v>442</v>
      </c>
      <c r="C634" s="286">
        <v>727.875</v>
      </c>
      <c r="D634" s="286">
        <v>1013.7500000000001</v>
      </c>
      <c r="E634" s="286">
        <v>5</v>
      </c>
      <c r="F634" s="281">
        <v>5</v>
      </c>
      <c r="G634" s="282">
        <v>80.489678562500004</v>
      </c>
      <c r="H634" s="282">
        <v>82.515487693750003</v>
      </c>
      <c r="I634" s="282">
        <v>85.080576504166686</v>
      </c>
      <c r="J634" s="282">
        <v>88.761393890000008</v>
      </c>
      <c r="K634" s="282">
        <v>88.049395858611121</v>
      </c>
      <c r="L634" s="282">
        <v>90.300788921527754</v>
      </c>
      <c r="M634" s="282">
        <v>93.84473039944443</v>
      </c>
      <c r="N634" s="282">
        <v>97.101914198611098</v>
      </c>
      <c r="O634" s="282">
        <v>99.77703910000001</v>
      </c>
      <c r="P634" s="282">
        <v>100.78963004666664</v>
      </c>
      <c r="Q634" s="282">
        <v>101.42213739145832</v>
      </c>
      <c r="R634" s="283">
        <v>101.63578669583332</v>
      </c>
      <c r="S634" s="284">
        <v>1029.2788807000695</v>
      </c>
      <c r="T634" s="284">
        <v>528.5523732675</v>
      </c>
      <c r="U634" s="296">
        <f t="shared" si="18"/>
        <v>111.48988070006931</v>
      </c>
      <c r="V634" s="296">
        <f t="shared" si="19"/>
        <v>28.758373267500019</v>
      </c>
      <c r="W634" s="287">
        <v>87</v>
      </c>
      <c r="X634" s="280">
        <v>85</v>
      </c>
      <c r="Y634" s="280">
        <v>88</v>
      </c>
      <c r="Z634" s="280">
        <v>90</v>
      </c>
      <c r="AA634" s="280">
        <v>91</v>
      </c>
      <c r="AB634" s="280">
        <v>94</v>
      </c>
      <c r="AC634" s="280">
        <v>98</v>
      </c>
      <c r="AD634" s="280">
        <v>103</v>
      </c>
      <c r="AE634" s="280">
        <v>106</v>
      </c>
      <c r="AF634" s="280">
        <v>108</v>
      </c>
      <c r="AG634" s="280">
        <v>110</v>
      </c>
      <c r="AH634" s="280">
        <v>114</v>
      </c>
    </row>
    <row r="635" spans="1:34" s="1" customFormat="1" ht="13" x14ac:dyDescent="0.25">
      <c r="A635" s="280" t="s">
        <v>1177</v>
      </c>
      <c r="B635" s="286">
        <v>442</v>
      </c>
      <c r="C635" s="286">
        <v>727.875</v>
      </c>
      <c r="D635" s="286">
        <v>1013.7500000000001</v>
      </c>
      <c r="E635" s="286">
        <v>1</v>
      </c>
      <c r="F635" s="281">
        <v>0</v>
      </c>
      <c r="G635" s="282">
        <v>80.489678562500004</v>
      </c>
      <c r="H635" s="282">
        <v>85.499291885416653</v>
      </c>
      <c r="I635" s="282">
        <v>86.494174995833333</v>
      </c>
      <c r="J635" s="282">
        <v>88.089998223333339</v>
      </c>
      <c r="K635" s="282">
        <v>84.948314775277794</v>
      </c>
      <c r="L635" s="282">
        <v>83.619546171527773</v>
      </c>
      <c r="M635" s="282">
        <v>84.251056482777784</v>
      </c>
      <c r="N635" s="282">
        <v>84.82349753194444</v>
      </c>
      <c r="O635" s="282">
        <v>84.991424516666669</v>
      </c>
      <c r="P635" s="282">
        <v>83.132484213333328</v>
      </c>
      <c r="Q635" s="282">
        <v>80.910501974791643</v>
      </c>
      <c r="R635" s="283">
        <v>78.39591169583332</v>
      </c>
      <c r="S635" s="284">
        <v>925.15620246673609</v>
      </c>
      <c r="T635" s="284">
        <v>512.90238253416669</v>
      </c>
      <c r="U635" s="296">
        <f t="shared" si="18"/>
        <v>7.3672024667358755</v>
      </c>
      <c r="V635" s="296">
        <f t="shared" si="19"/>
        <v>13.108382534166708</v>
      </c>
      <c r="W635" s="287">
        <v>87</v>
      </c>
      <c r="X635" s="280">
        <v>85</v>
      </c>
      <c r="Y635" s="280">
        <v>83</v>
      </c>
      <c r="Z635" s="280">
        <v>80</v>
      </c>
      <c r="AA635" s="280">
        <v>76</v>
      </c>
      <c r="AB635" s="280">
        <v>74</v>
      </c>
      <c r="AC635" s="280">
        <v>73</v>
      </c>
      <c r="AD635" s="280">
        <v>73</v>
      </c>
      <c r="AE635" s="280">
        <v>71</v>
      </c>
      <c r="AF635" s="280">
        <v>68</v>
      </c>
      <c r="AG635" s="280">
        <v>65</v>
      </c>
      <c r="AH635" s="280">
        <v>64</v>
      </c>
    </row>
    <row r="636" spans="1:34" s="1" customFormat="1" ht="13" x14ac:dyDescent="0.25">
      <c r="A636" s="280" t="s">
        <v>1178</v>
      </c>
      <c r="B636" s="286">
        <v>442</v>
      </c>
      <c r="C636" s="286">
        <v>727.875</v>
      </c>
      <c r="D636" s="286">
        <v>1013.7500000000001</v>
      </c>
      <c r="E636" s="286">
        <v>1</v>
      </c>
      <c r="F636" s="281">
        <v>1</v>
      </c>
      <c r="G636" s="282">
        <v>80.489678562500004</v>
      </c>
      <c r="H636" s="282">
        <v>85.499291885416653</v>
      </c>
      <c r="I636" s="282">
        <v>86.939174995833341</v>
      </c>
      <c r="J636" s="282">
        <v>88.979998223333325</v>
      </c>
      <c r="K636" s="282">
        <v>86.283314775277788</v>
      </c>
      <c r="L636" s="282">
        <v>85.466921171527773</v>
      </c>
      <c r="M636" s="282">
        <v>86.610806482777789</v>
      </c>
      <c r="N636" s="282">
        <v>87.695622531944437</v>
      </c>
      <c r="O636" s="282">
        <v>88.435330766666667</v>
      </c>
      <c r="P636" s="282">
        <v>87.148171713333326</v>
      </c>
      <c r="Q636" s="282">
        <v>85.497970724791671</v>
      </c>
      <c r="R636" s="283">
        <v>83.55516169583332</v>
      </c>
      <c r="S636" s="284">
        <v>952.11176496673613</v>
      </c>
      <c r="T636" s="284">
        <v>519.77950753416667</v>
      </c>
      <c r="U636" s="296">
        <f t="shared" si="18"/>
        <v>34.322764966735917</v>
      </c>
      <c r="V636" s="296">
        <f t="shared" si="19"/>
        <v>19.985507534166686</v>
      </c>
      <c r="W636" s="287">
        <v>87</v>
      </c>
      <c r="X636" s="280">
        <v>85</v>
      </c>
      <c r="Y636" s="280">
        <v>84</v>
      </c>
      <c r="Z636" s="280">
        <v>82</v>
      </c>
      <c r="AA636" s="280">
        <v>79</v>
      </c>
      <c r="AB636" s="280">
        <v>78</v>
      </c>
      <c r="AC636" s="280">
        <v>78</v>
      </c>
      <c r="AD636" s="280">
        <v>79</v>
      </c>
      <c r="AE636" s="280">
        <v>78</v>
      </c>
      <c r="AF636" s="280">
        <v>76</v>
      </c>
      <c r="AG636" s="280">
        <v>74</v>
      </c>
      <c r="AH636" s="280">
        <v>74</v>
      </c>
    </row>
    <row r="637" spans="1:34" s="1" customFormat="1" ht="13" x14ac:dyDescent="0.25">
      <c r="A637" s="280" t="s">
        <v>1179</v>
      </c>
      <c r="B637" s="286">
        <v>442</v>
      </c>
      <c r="C637" s="286">
        <v>727.875</v>
      </c>
      <c r="D637" s="286">
        <v>1013.7500000000001</v>
      </c>
      <c r="E637" s="286">
        <v>1</v>
      </c>
      <c r="F637" s="281">
        <v>2</v>
      </c>
      <c r="G637" s="282">
        <v>80.489678562500004</v>
      </c>
      <c r="H637" s="282">
        <v>85.499291885416653</v>
      </c>
      <c r="I637" s="282">
        <v>87.384174995833334</v>
      </c>
      <c r="J637" s="282">
        <v>89.869998223333326</v>
      </c>
      <c r="K637" s="282">
        <v>87.618314775277796</v>
      </c>
      <c r="L637" s="282">
        <v>87.314296171527772</v>
      </c>
      <c r="M637" s="282">
        <v>88.970556482777795</v>
      </c>
      <c r="N637" s="282">
        <v>90.567747531944448</v>
      </c>
      <c r="O637" s="282">
        <v>91.879237016666679</v>
      </c>
      <c r="P637" s="282">
        <v>91.163859213333339</v>
      </c>
      <c r="Q637" s="282">
        <v>90.08543947479167</v>
      </c>
      <c r="R637" s="283">
        <v>88.71441169583332</v>
      </c>
      <c r="S637" s="284">
        <v>979.06732746673606</v>
      </c>
      <c r="T637" s="284">
        <v>526.65663253416665</v>
      </c>
      <c r="U637" s="296">
        <f t="shared" si="18"/>
        <v>61.278327466735846</v>
      </c>
      <c r="V637" s="296">
        <f t="shared" si="19"/>
        <v>26.862632534166664</v>
      </c>
      <c r="W637" s="287">
        <v>87</v>
      </c>
      <c r="X637" s="280">
        <v>85</v>
      </c>
      <c r="Y637" s="280">
        <v>85</v>
      </c>
      <c r="Z637" s="280">
        <v>84</v>
      </c>
      <c r="AA637" s="280">
        <v>82</v>
      </c>
      <c r="AB637" s="280">
        <v>82</v>
      </c>
      <c r="AC637" s="280">
        <v>83</v>
      </c>
      <c r="AD637" s="280">
        <v>85</v>
      </c>
      <c r="AE637" s="280">
        <v>85</v>
      </c>
      <c r="AF637" s="280">
        <v>84</v>
      </c>
      <c r="AG637" s="280">
        <v>83</v>
      </c>
      <c r="AH637" s="280">
        <v>84</v>
      </c>
    </row>
    <row r="638" spans="1:34" s="1" customFormat="1" ht="13" x14ac:dyDescent="0.25">
      <c r="A638" s="280" t="s">
        <v>1180</v>
      </c>
      <c r="B638" s="286">
        <v>442</v>
      </c>
      <c r="C638" s="286">
        <v>727.875</v>
      </c>
      <c r="D638" s="286">
        <v>1013.7500000000001</v>
      </c>
      <c r="E638" s="286">
        <v>1</v>
      </c>
      <c r="F638" s="281">
        <v>3</v>
      </c>
      <c r="G638" s="282">
        <v>80.489678562500004</v>
      </c>
      <c r="H638" s="282">
        <v>85.499291885416653</v>
      </c>
      <c r="I638" s="282">
        <v>87.829174995833341</v>
      </c>
      <c r="J638" s="282">
        <v>90.759998223333326</v>
      </c>
      <c r="K638" s="282">
        <v>88.953314775277789</v>
      </c>
      <c r="L638" s="282">
        <v>89.161671171527772</v>
      </c>
      <c r="M638" s="282">
        <v>91.3303064827778</v>
      </c>
      <c r="N638" s="282">
        <v>93.439872531944445</v>
      </c>
      <c r="O638" s="282">
        <v>95.323143266666676</v>
      </c>
      <c r="P638" s="282">
        <v>95.179546713333337</v>
      </c>
      <c r="Q638" s="282">
        <v>94.672908224791669</v>
      </c>
      <c r="R638" s="283">
        <v>93.87366169583332</v>
      </c>
      <c r="S638" s="284">
        <v>1006.0228899667361</v>
      </c>
      <c r="T638" s="284">
        <v>533.53375753416663</v>
      </c>
      <c r="U638" s="296">
        <f t="shared" si="18"/>
        <v>88.233889966735887</v>
      </c>
      <c r="V638" s="296">
        <f t="shared" si="19"/>
        <v>33.739757534166642</v>
      </c>
      <c r="W638" s="287">
        <v>87</v>
      </c>
      <c r="X638" s="280">
        <v>85</v>
      </c>
      <c r="Y638" s="280">
        <v>86</v>
      </c>
      <c r="Z638" s="280">
        <v>86</v>
      </c>
      <c r="AA638" s="280">
        <v>85</v>
      </c>
      <c r="AB638" s="280">
        <v>86</v>
      </c>
      <c r="AC638" s="280">
        <v>88</v>
      </c>
      <c r="AD638" s="280">
        <v>91</v>
      </c>
      <c r="AE638" s="280">
        <v>92</v>
      </c>
      <c r="AF638" s="280">
        <v>92</v>
      </c>
      <c r="AG638" s="280">
        <v>92</v>
      </c>
      <c r="AH638" s="280">
        <v>94</v>
      </c>
    </row>
    <row r="639" spans="1:34" s="1" customFormat="1" ht="13" x14ac:dyDescent="0.25">
      <c r="A639" s="280" t="s">
        <v>1181</v>
      </c>
      <c r="B639" s="286">
        <v>442</v>
      </c>
      <c r="C639" s="286">
        <v>727.875</v>
      </c>
      <c r="D639" s="286">
        <v>1013.7500000000001</v>
      </c>
      <c r="E639" s="286">
        <v>1</v>
      </c>
      <c r="F639" s="281">
        <v>4</v>
      </c>
      <c r="G639" s="282">
        <v>80.489678562500004</v>
      </c>
      <c r="H639" s="282">
        <v>85.499291885416653</v>
      </c>
      <c r="I639" s="282">
        <v>88.274174995833334</v>
      </c>
      <c r="J639" s="282">
        <v>91.649998223333327</v>
      </c>
      <c r="K639" s="282">
        <v>90.288314775277783</v>
      </c>
      <c r="L639" s="282">
        <v>91.009046171527771</v>
      </c>
      <c r="M639" s="282">
        <v>93.690056482777791</v>
      </c>
      <c r="N639" s="282">
        <v>96.311997531944442</v>
      </c>
      <c r="O639" s="282">
        <v>98.767049516666674</v>
      </c>
      <c r="P639" s="282">
        <v>99.195234213333336</v>
      </c>
      <c r="Q639" s="282">
        <v>99.260376974791669</v>
      </c>
      <c r="R639" s="283">
        <v>99.03291169583332</v>
      </c>
      <c r="S639" s="284">
        <v>1032.9784524667364</v>
      </c>
      <c r="T639" s="284">
        <v>540.41088253416672</v>
      </c>
      <c r="U639" s="296">
        <f t="shared" si="18"/>
        <v>115.18945246673616</v>
      </c>
      <c r="V639" s="296">
        <f t="shared" si="19"/>
        <v>40.616882534166734</v>
      </c>
      <c r="W639" s="287">
        <v>87</v>
      </c>
      <c r="X639" s="280">
        <v>85</v>
      </c>
      <c r="Y639" s="280">
        <v>87</v>
      </c>
      <c r="Z639" s="280">
        <v>88</v>
      </c>
      <c r="AA639" s="280">
        <v>88</v>
      </c>
      <c r="AB639" s="280">
        <v>90</v>
      </c>
      <c r="AC639" s="280">
        <v>93</v>
      </c>
      <c r="AD639" s="280">
        <v>97</v>
      </c>
      <c r="AE639" s="280">
        <v>99</v>
      </c>
      <c r="AF639" s="280">
        <v>100</v>
      </c>
      <c r="AG639" s="280">
        <v>101</v>
      </c>
      <c r="AH639" s="280">
        <v>104</v>
      </c>
    </row>
    <row r="640" spans="1:34" s="1" customFormat="1" ht="13" x14ac:dyDescent="0.25">
      <c r="A640" s="280" t="s">
        <v>1182</v>
      </c>
      <c r="B640" s="286">
        <v>442</v>
      </c>
      <c r="C640" s="286">
        <v>727.875</v>
      </c>
      <c r="D640" s="286">
        <v>1013.7500000000001</v>
      </c>
      <c r="E640" s="286">
        <v>1</v>
      </c>
      <c r="F640" s="281">
        <v>5</v>
      </c>
      <c r="G640" s="282">
        <v>80.489678562500004</v>
      </c>
      <c r="H640" s="282">
        <v>85.499291885416653</v>
      </c>
      <c r="I640" s="282">
        <v>88.719174995833342</v>
      </c>
      <c r="J640" s="282">
        <v>92.539998223333328</v>
      </c>
      <c r="K640" s="282">
        <v>91.623314775277791</v>
      </c>
      <c r="L640" s="282">
        <v>92.856421171527771</v>
      </c>
      <c r="M640" s="282">
        <v>96.049806482777797</v>
      </c>
      <c r="N640" s="282">
        <v>99.184122531944439</v>
      </c>
      <c r="O640" s="282">
        <v>102.21095576666667</v>
      </c>
      <c r="P640" s="282">
        <v>103.21092171333333</v>
      </c>
      <c r="Q640" s="282">
        <v>103.84784572479167</v>
      </c>
      <c r="R640" s="283">
        <v>104.19216169583332</v>
      </c>
      <c r="S640" s="284">
        <v>1059.934014966736</v>
      </c>
      <c r="T640" s="284">
        <v>547.28800753416658</v>
      </c>
      <c r="U640" s="296">
        <f t="shared" si="18"/>
        <v>142.14501496673574</v>
      </c>
      <c r="V640" s="296">
        <f t="shared" si="19"/>
        <v>47.494007534166599</v>
      </c>
      <c r="W640" s="287">
        <v>87</v>
      </c>
      <c r="X640" s="280">
        <v>85</v>
      </c>
      <c r="Y640" s="280">
        <v>88</v>
      </c>
      <c r="Z640" s="280">
        <v>90</v>
      </c>
      <c r="AA640" s="280">
        <v>91</v>
      </c>
      <c r="AB640" s="280">
        <v>94</v>
      </c>
      <c r="AC640" s="280">
        <v>98</v>
      </c>
      <c r="AD640" s="280">
        <v>103</v>
      </c>
      <c r="AE640" s="280">
        <v>106</v>
      </c>
      <c r="AF640" s="280">
        <v>108</v>
      </c>
      <c r="AG640" s="280">
        <v>110</v>
      </c>
      <c r="AH640" s="280">
        <v>114</v>
      </c>
    </row>
    <row r="641" spans="1:34" s="1" customFormat="1" ht="13" x14ac:dyDescent="0.25">
      <c r="A641" s="280" t="s">
        <v>1183</v>
      </c>
      <c r="B641" s="286">
        <v>442</v>
      </c>
      <c r="C641" s="286">
        <v>727.875</v>
      </c>
      <c r="D641" s="286">
        <v>1013.7500000000001</v>
      </c>
      <c r="E641" s="286">
        <v>2</v>
      </c>
      <c r="F641" s="281">
        <v>0</v>
      </c>
      <c r="G641" s="282">
        <v>80.489678562500004</v>
      </c>
      <c r="H641" s="282">
        <v>83.928218393750001</v>
      </c>
      <c r="I641" s="282">
        <v>85.104470245833326</v>
      </c>
      <c r="J641" s="282">
        <v>86.78960514000002</v>
      </c>
      <c r="K641" s="282">
        <v>83.992144608611127</v>
      </c>
      <c r="L641" s="282">
        <v>83.21704617152777</v>
      </c>
      <c r="M641" s="282">
        <v>83.799493982777761</v>
      </c>
      <c r="N641" s="282">
        <v>84.340580865277772</v>
      </c>
      <c r="O641" s="282">
        <v>84.317882850000004</v>
      </c>
      <c r="P641" s="282">
        <v>82.649567546666674</v>
      </c>
      <c r="Q641" s="282">
        <v>80.389460308124995</v>
      </c>
      <c r="R641" s="283">
        <v>77.773203362499984</v>
      </c>
      <c r="S641" s="284">
        <v>916.30167347506938</v>
      </c>
      <c r="T641" s="284">
        <v>506.83097854250002</v>
      </c>
      <c r="U641" s="296">
        <f t="shared" si="18"/>
        <v>-1.4873265249308361</v>
      </c>
      <c r="V641" s="296">
        <f t="shared" si="19"/>
        <v>7.0369785425000373</v>
      </c>
      <c r="W641" s="287">
        <v>87</v>
      </c>
      <c r="X641" s="280">
        <v>85</v>
      </c>
      <c r="Y641" s="280">
        <v>83</v>
      </c>
      <c r="Z641" s="280">
        <v>80</v>
      </c>
      <c r="AA641" s="280">
        <v>76</v>
      </c>
      <c r="AB641" s="280">
        <v>74</v>
      </c>
      <c r="AC641" s="280">
        <v>73</v>
      </c>
      <c r="AD641" s="280">
        <v>73</v>
      </c>
      <c r="AE641" s="280">
        <v>71</v>
      </c>
      <c r="AF641" s="280">
        <v>68</v>
      </c>
      <c r="AG641" s="280">
        <v>65</v>
      </c>
      <c r="AH641" s="280">
        <v>64</v>
      </c>
    </row>
    <row r="642" spans="1:34" s="1" customFormat="1" ht="13" x14ac:dyDescent="0.25">
      <c r="A642" s="280" t="s">
        <v>1184</v>
      </c>
      <c r="B642" s="286">
        <v>442</v>
      </c>
      <c r="C642" s="286">
        <v>727.875</v>
      </c>
      <c r="D642" s="286">
        <v>1013.7500000000001</v>
      </c>
      <c r="E642" s="286">
        <v>2</v>
      </c>
      <c r="F642" s="281">
        <v>1</v>
      </c>
      <c r="G642" s="282">
        <v>80.489678562500004</v>
      </c>
      <c r="H642" s="282">
        <v>83.928218393750001</v>
      </c>
      <c r="I642" s="282">
        <v>85.549470245833334</v>
      </c>
      <c r="J642" s="282">
        <v>87.679605140000021</v>
      </c>
      <c r="K642" s="282">
        <v>85.327144608611121</v>
      </c>
      <c r="L642" s="282">
        <v>85.064421171527769</v>
      </c>
      <c r="M642" s="282">
        <v>86.159243982777767</v>
      </c>
      <c r="N642" s="282">
        <v>87.212705865277769</v>
      </c>
      <c r="O642" s="282">
        <v>87.761789100000001</v>
      </c>
      <c r="P642" s="282">
        <v>86.665255046666672</v>
      </c>
      <c r="Q642" s="282">
        <v>84.976929058125009</v>
      </c>
      <c r="R642" s="283">
        <v>82.932453362499984</v>
      </c>
      <c r="S642" s="284">
        <v>943.25723597506953</v>
      </c>
      <c r="T642" s="284">
        <v>513.7081035425</v>
      </c>
      <c r="U642" s="296">
        <f t="shared" si="18"/>
        <v>25.468235975069319</v>
      </c>
      <c r="V642" s="296">
        <f t="shared" si="19"/>
        <v>13.914103542500015</v>
      </c>
      <c r="W642" s="287">
        <v>87</v>
      </c>
      <c r="X642" s="280">
        <v>85</v>
      </c>
      <c r="Y642" s="280">
        <v>84</v>
      </c>
      <c r="Z642" s="280">
        <v>82</v>
      </c>
      <c r="AA642" s="280">
        <v>79</v>
      </c>
      <c r="AB642" s="280">
        <v>78</v>
      </c>
      <c r="AC642" s="280">
        <v>78</v>
      </c>
      <c r="AD642" s="280">
        <v>79</v>
      </c>
      <c r="AE642" s="280">
        <v>78</v>
      </c>
      <c r="AF642" s="280">
        <v>76</v>
      </c>
      <c r="AG642" s="280">
        <v>74</v>
      </c>
      <c r="AH642" s="280">
        <v>74</v>
      </c>
    </row>
    <row r="643" spans="1:34" s="1" customFormat="1" ht="13" x14ac:dyDescent="0.25">
      <c r="A643" s="280" t="s">
        <v>1185</v>
      </c>
      <c r="B643" s="286">
        <v>442</v>
      </c>
      <c r="C643" s="286">
        <v>727.875</v>
      </c>
      <c r="D643" s="286">
        <v>1013.7500000000001</v>
      </c>
      <c r="E643" s="286">
        <v>2</v>
      </c>
      <c r="F643" s="281">
        <v>2</v>
      </c>
      <c r="G643" s="282">
        <v>80.489678562500004</v>
      </c>
      <c r="H643" s="282">
        <v>83.928218393750001</v>
      </c>
      <c r="I643" s="282">
        <v>85.994470245833327</v>
      </c>
      <c r="J643" s="282">
        <v>88.569605140000007</v>
      </c>
      <c r="K643" s="282">
        <v>86.662144608611129</v>
      </c>
      <c r="L643" s="282">
        <v>86.911796171527769</v>
      </c>
      <c r="M643" s="282">
        <v>88.518993982777786</v>
      </c>
      <c r="N643" s="282">
        <v>90.084830865277766</v>
      </c>
      <c r="O643" s="282">
        <v>91.205695349999999</v>
      </c>
      <c r="P643" s="282">
        <v>90.680942546666643</v>
      </c>
      <c r="Q643" s="282">
        <v>89.564397808125008</v>
      </c>
      <c r="R643" s="283">
        <v>88.091703362499999</v>
      </c>
      <c r="S643" s="284">
        <v>970.21279847506958</v>
      </c>
      <c r="T643" s="284">
        <v>520.58522854250009</v>
      </c>
      <c r="U643" s="296">
        <f t="shared" si="18"/>
        <v>52.423798475069361</v>
      </c>
      <c r="V643" s="296">
        <f t="shared" si="19"/>
        <v>20.791228542500107</v>
      </c>
      <c r="W643" s="287">
        <v>87</v>
      </c>
      <c r="X643" s="280">
        <v>85</v>
      </c>
      <c r="Y643" s="280">
        <v>85</v>
      </c>
      <c r="Z643" s="280">
        <v>84</v>
      </c>
      <c r="AA643" s="280">
        <v>82</v>
      </c>
      <c r="AB643" s="280">
        <v>82</v>
      </c>
      <c r="AC643" s="280">
        <v>83</v>
      </c>
      <c r="AD643" s="280">
        <v>85</v>
      </c>
      <c r="AE643" s="280">
        <v>85</v>
      </c>
      <c r="AF643" s="280">
        <v>84</v>
      </c>
      <c r="AG643" s="280">
        <v>83</v>
      </c>
      <c r="AH643" s="280">
        <v>84</v>
      </c>
    </row>
    <row r="644" spans="1:34" s="1" customFormat="1" ht="13" x14ac:dyDescent="0.25">
      <c r="A644" s="280" t="s">
        <v>1186</v>
      </c>
      <c r="B644" s="286">
        <v>442</v>
      </c>
      <c r="C644" s="286">
        <v>727.875</v>
      </c>
      <c r="D644" s="286">
        <v>1013.7500000000001</v>
      </c>
      <c r="E644" s="286">
        <v>2</v>
      </c>
      <c r="F644" s="281">
        <v>3</v>
      </c>
      <c r="G644" s="282">
        <v>80.489678562500004</v>
      </c>
      <c r="H644" s="282">
        <v>83.928218393750001</v>
      </c>
      <c r="I644" s="282">
        <v>86.439470245833334</v>
      </c>
      <c r="J644" s="282">
        <v>89.459605139999994</v>
      </c>
      <c r="K644" s="282">
        <v>87.997144608611123</v>
      </c>
      <c r="L644" s="282">
        <v>88.759171171527768</v>
      </c>
      <c r="M644" s="282">
        <v>90.878743982777777</v>
      </c>
      <c r="N644" s="282">
        <v>92.956955865277777</v>
      </c>
      <c r="O644" s="282">
        <v>94.649601599999997</v>
      </c>
      <c r="P644" s="282">
        <v>94.69663004666667</v>
      </c>
      <c r="Q644" s="282">
        <v>94.151866558125008</v>
      </c>
      <c r="R644" s="283">
        <v>93.250953362499999</v>
      </c>
      <c r="S644" s="284">
        <v>997.16836097506939</v>
      </c>
      <c r="T644" s="284">
        <v>527.46235354249995</v>
      </c>
      <c r="U644" s="296">
        <f t="shared" si="18"/>
        <v>79.379360975069176</v>
      </c>
      <c r="V644" s="296">
        <f t="shared" si="19"/>
        <v>27.668353542499972</v>
      </c>
      <c r="W644" s="287">
        <v>87</v>
      </c>
      <c r="X644" s="280">
        <v>85</v>
      </c>
      <c r="Y644" s="280">
        <v>86</v>
      </c>
      <c r="Z644" s="280">
        <v>86</v>
      </c>
      <c r="AA644" s="280">
        <v>85</v>
      </c>
      <c r="AB644" s="280">
        <v>86</v>
      </c>
      <c r="AC644" s="280">
        <v>88</v>
      </c>
      <c r="AD644" s="280">
        <v>91</v>
      </c>
      <c r="AE644" s="280">
        <v>92</v>
      </c>
      <c r="AF644" s="280">
        <v>92</v>
      </c>
      <c r="AG644" s="280">
        <v>92</v>
      </c>
      <c r="AH644" s="280">
        <v>94</v>
      </c>
    </row>
    <row r="645" spans="1:34" s="1" customFormat="1" ht="13" x14ac:dyDescent="0.25">
      <c r="A645" s="280" t="s">
        <v>1187</v>
      </c>
      <c r="B645" s="286">
        <v>442</v>
      </c>
      <c r="C645" s="286">
        <v>727.875</v>
      </c>
      <c r="D645" s="286">
        <v>1013.7500000000001</v>
      </c>
      <c r="E645" s="286">
        <v>2</v>
      </c>
      <c r="F645" s="281">
        <v>4</v>
      </c>
      <c r="G645" s="282">
        <v>80.489678562500004</v>
      </c>
      <c r="H645" s="282">
        <v>83.928218393750001</v>
      </c>
      <c r="I645" s="282">
        <v>86.884470245833327</v>
      </c>
      <c r="J645" s="282">
        <v>90.349605139999994</v>
      </c>
      <c r="K645" s="282">
        <v>89.332144608611131</v>
      </c>
      <c r="L645" s="282">
        <v>90.606546171527768</v>
      </c>
      <c r="M645" s="282">
        <v>93.238493982777783</v>
      </c>
      <c r="N645" s="282">
        <v>95.829080865277774</v>
      </c>
      <c r="O645" s="282">
        <v>98.093507849999995</v>
      </c>
      <c r="P645" s="282">
        <v>98.712317546666682</v>
      </c>
      <c r="Q645" s="282">
        <v>98.739335308125007</v>
      </c>
      <c r="R645" s="283">
        <v>98.410203362499999</v>
      </c>
      <c r="S645" s="284">
        <v>1024.1239234750694</v>
      </c>
      <c r="T645" s="284">
        <v>534.33947854250005</v>
      </c>
      <c r="U645" s="296">
        <f t="shared" ref="U645:U708" si="20">S645-S$3</f>
        <v>106.33492347506922</v>
      </c>
      <c r="V645" s="296">
        <f t="shared" ref="V645:V708" si="21">T645-T$3</f>
        <v>34.545478542500064</v>
      </c>
      <c r="W645" s="287">
        <v>87</v>
      </c>
      <c r="X645" s="280">
        <v>85</v>
      </c>
      <c r="Y645" s="280">
        <v>87</v>
      </c>
      <c r="Z645" s="280">
        <v>88</v>
      </c>
      <c r="AA645" s="280">
        <v>88</v>
      </c>
      <c r="AB645" s="280">
        <v>90</v>
      </c>
      <c r="AC645" s="280">
        <v>93</v>
      </c>
      <c r="AD645" s="280">
        <v>97</v>
      </c>
      <c r="AE645" s="280">
        <v>99</v>
      </c>
      <c r="AF645" s="280">
        <v>100</v>
      </c>
      <c r="AG645" s="280">
        <v>101</v>
      </c>
      <c r="AH645" s="280">
        <v>104</v>
      </c>
    </row>
    <row r="646" spans="1:34" s="1" customFormat="1" ht="13" x14ac:dyDescent="0.25">
      <c r="A646" s="280" t="s">
        <v>1188</v>
      </c>
      <c r="B646" s="286">
        <v>442</v>
      </c>
      <c r="C646" s="286">
        <v>727.875</v>
      </c>
      <c r="D646" s="286">
        <v>1013.7500000000001</v>
      </c>
      <c r="E646" s="286">
        <v>2</v>
      </c>
      <c r="F646" s="281">
        <v>5</v>
      </c>
      <c r="G646" s="282">
        <v>80.489678562500004</v>
      </c>
      <c r="H646" s="282">
        <v>83.928218393750001</v>
      </c>
      <c r="I646" s="282">
        <v>87.329470245833335</v>
      </c>
      <c r="J646" s="282">
        <v>91.239605139999995</v>
      </c>
      <c r="K646" s="282">
        <v>90.667144608611125</v>
      </c>
      <c r="L646" s="282">
        <v>92.453921171527767</v>
      </c>
      <c r="M646" s="282">
        <v>95.598243982777788</v>
      </c>
      <c r="N646" s="282">
        <v>98.701205865277771</v>
      </c>
      <c r="O646" s="282">
        <v>101.53741410000001</v>
      </c>
      <c r="P646" s="282">
        <v>102.72800504666668</v>
      </c>
      <c r="Q646" s="282">
        <v>103.32680405812501</v>
      </c>
      <c r="R646" s="283">
        <v>103.5694533625</v>
      </c>
      <c r="S646" s="284">
        <v>1051.0794859750695</v>
      </c>
      <c r="T646" s="284">
        <v>541.21660354250002</v>
      </c>
      <c r="U646" s="296">
        <f t="shared" si="20"/>
        <v>133.29048597506926</v>
      </c>
      <c r="V646" s="296">
        <f t="shared" si="21"/>
        <v>41.422603542500042</v>
      </c>
      <c r="W646" s="287">
        <v>87</v>
      </c>
      <c r="X646" s="280">
        <v>85</v>
      </c>
      <c r="Y646" s="280">
        <v>88</v>
      </c>
      <c r="Z646" s="280">
        <v>90</v>
      </c>
      <c r="AA646" s="280">
        <v>91</v>
      </c>
      <c r="AB646" s="280">
        <v>94</v>
      </c>
      <c r="AC646" s="280">
        <v>98</v>
      </c>
      <c r="AD646" s="280">
        <v>103</v>
      </c>
      <c r="AE646" s="280">
        <v>106</v>
      </c>
      <c r="AF646" s="280">
        <v>108</v>
      </c>
      <c r="AG646" s="280">
        <v>110</v>
      </c>
      <c r="AH646" s="280">
        <v>114</v>
      </c>
    </row>
    <row r="647" spans="1:34" s="1" customFormat="1" ht="13" x14ac:dyDescent="0.25">
      <c r="A647" s="280" t="s">
        <v>1189</v>
      </c>
      <c r="B647" s="286">
        <v>442</v>
      </c>
      <c r="C647" s="286">
        <v>727.875</v>
      </c>
      <c r="D647" s="286">
        <v>1013.7500000000001</v>
      </c>
      <c r="E647" s="286">
        <v>3</v>
      </c>
      <c r="F647" s="281">
        <v>0</v>
      </c>
      <c r="G647" s="282">
        <v>80.489678562500004</v>
      </c>
      <c r="H647" s="282">
        <v>83.279295588194444</v>
      </c>
      <c r="I647" s="282">
        <v>84.076360884722234</v>
      </c>
      <c r="J647" s="282">
        <v>85.90310422333333</v>
      </c>
      <c r="K647" s="282">
        <v>83.171432080833341</v>
      </c>
      <c r="L647" s="282">
        <v>82.640935060416652</v>
      </c>
      <c r="M647" s="282">
        <v>83.331403705</v>
      </c>
      <c r="N647" s="282">
        <v>83.891553087499986</v>
      </c>
      <c r="O647" s="282">
        <v>83.77142451666667</v>
      </c>
      <c r="P647" s="282">
        <v>82.039567546666675</v>
      </c>
      <c r="Q647" s="282">
        <v>79.893835308124991</v>
      </c>
      <c r="R647" s="283">
        <v>77.218272806944427</v>
      </c>
      <c r="S647" s="284">
        <v>909.21718480840286</v>
      </c>
      <c r="T647" s="284">
        <v>502.40253154250001</v>
      </c>
      <c r="U647" s="296">
        <f t="shared" si="20"/>
        <v>-8.5718151915973522</v>
      </c>
      <c r="V647" s="296">
        <f t="shared" si="21"/>
        <v>2.6085315425000317</v>
      </c>
      <c r="W647" s="287">
        <v>87</v>
      </c>
      <c r="X647" s="280">
        <v>85</v>
      </c>
      <c r="Y647" s="280">
        <v>83</v>
      </c>
      <c r="Z647" s="280">
        <v>80</v>
      </c>
      <c r="AA647" s="280">
        <v>76</v>
      </c>
      <c r="AB647" s="280">
        <v>74</v>
      </c>
      <c r="AC647" s="280">
        <v>73</v>
      </c>
      <c r="AD647" s="280">
        <v>73</v>
      </c>
      <c r="AE647" s="280">
        <v>71</v>
      </c>
      <c r="AF647" s="280">
        <v>68</v>
      </c>
      <c r="AG647" s="280">
        <v>65</v>
      </c>
      <c r="AH647" s="280">
        <v>64</v>
      </c>
    </row>
    <row r="648" spans="1:34" s="1" customFormat="1" ht="13" x14ac:dyDescent="0.25">
      <c r="A648" s="280" t="s">
        <v>1190</v>
      </c>
      <c r="B648" s="286">
        <v>442</v>
      </c>
      <c r="C648" s="286">
        <v>727.875</v>
      </c>
      <c r="D648" s="286">
        <v>1013.7500000000001</v>
      </c>
      <c r="E648" s="286">
        <v>3</v>
      </c>
      <c r="F648" s="281">
        <v>1</v>
      </c>
      <c r="G648" s="282">
        <v>80.489678562500004</v>
      </c>
      <c r="H648" s="282">
        <v>83.279295588194444</v>
      </c>
      <c r="I648" s="282">
        <v>84.521360884722228</v>
      </c>
      <c r="J648" s="282">
        <v>86.79310422333333</v>
      </c>
      <c r="K648" s="282">
        <v>84.506432080833349</v>
      </c>
      <c r="L648" s="282">
        <v>84.488310060416651</v>
      </c>
      <c r="M648" s="282">
        <v>85.691153705000005</v>
      </c>
      <c r="N648" s="282">
        <v>86.763678087499997</v>
      </c>
      <c r="O648" s="282">
        <v>87.215330766666668</v>
      </c>
      <c r="P648" s="282">
        <v>86.055255046666673</v>
      </c>
      <c r="Q648" s="282">
        <v>84.481304058125005</v>
      </c>
      <c r="R648" s="283">
        <v>82.377522806944427</v>
      </c>
      <c r="S648" s="284">
        <v>936.17274730840268</v>
      </c>
      <c r="T648" s="284">
        <v>509.27965654249999</v>
      </c>
      <c r="U648" s="296">
        <f t="shared" si="20"/>
        <v>18.383747308402462</v>
      </c>
      <c r="V648" s="296">
        <f t="shared" si="21"/>
        <v>9.4856565425000099</v>
      </c>
      <c r="W648" s="287">
        <v>87</v>
      </c>
      <c r="X648" s="280">
        <v>85</v>
      </c>
      <c r="Y648" s="280">
        <v>84</v>
      </c>
      <c r="Z648" s="280">
        <v>82</v>
      </c>
      <c r="AA648" s="280">
        <v>79</v>
      </c>
      <c r="AB648" s="280">
        <v>78</v>
      </c>
      <c r="AC648" s="280">
        <v>78</v>
      </c>
      <c r="AD648" s="280">
        <v>79</v>
      </c>
      <c r="AE648" s="280">
        <v>78</v>
      </c>
      <c r="AF648" s="280">
        <v>76</v>
      </c>
      <c r="AG648" s="280">
        <v>74</v>
      </c>
      <c r="AH648" s="280">
        <v>74</v>
      </c>
    </row>
    <row r="649" spans="1:34" s="1" customFormat="1" ht="13" x14ac:dyDescent="0.25">
      <c r="A649" s="280" t="s">
        <v>1191</v>
      </c>
      <c r="B649" s="286">
        <v>442</v>
      </c>
      <c r="C649" s="286">
        <v>727.875</v>
      </c>
      <c r="D649" s="286">
        <v>1013.7500000000001</v>
      </c>
      <c r="E649" s="286">
        <v>3</v>
      </c>
      <c r="F649" s="281">
        <v>2</v>
      </c>
      <c r="G649" s="282">
        <v>80.489678562500004</v>
      </c>
      <c r="H649" s="282">
        <v>83.279295588194444</v>
      </c>
      <c r="I649" s="282">
        <v>84.966360884722235</v>
      </c>
      <c r="J649" s="282">
        <v>87.683104223333331</v>
      </c>
      <c r="K649" s="282">
        <v>85.841432080833343</v>
      </c>
      <c r="L649" s="282">
        <v>86.335685060416651</v>
      </c>
      <c r="M649" s="282">
        <v>88.050903704999996</v>
      </c>
      <c r="N649" s="282">
        <v>89.635803087500008</v>
      </c>
      <c r="O649" s="282">
        <v>90.659237016666665</v>
      </c>
      <c r="P649" s="282">
        <v>90.070942546666643</v>
      </c>
      <c r="Q649" s="282">
        <v>89.068772808125004</v>
      </c>
      <c r="R649" s="283">
        <v>87.536772806944441</v>
      </c>
      <c r="S649" s="284">
        <v>963.12830980840272</v>
      </c>
      <c r="T649" s="284">
        <v>516.15678154249997</v>
      </c>
      <c r="U649" s="296">
        <f t="shared" si="20"/>
        <v>45.339309808402504</v>
      </c>
      <c r="V649" s="296">
        <f t="shared" si="21"/>
        <v>16.362781542499988</v>
      </c>
      <c r="W649" s="287">
        <v>87</v>
      </c>
      <c r="X649" s="280">
        <v>85</v>
      </c>
      <c r="Y649" s="280">
        <v>85</v>
      </c>
      <c r="Z649" s="280">
        <v>84</v>
      </c>
      <c r="AA649" s="280">
        <v>82</v>
      </c>
      <c r="AB649" s="280">
        <v>82</v>
      </c>
      <c r="AC649" s="280">
        <v>83</v>
      </c>
      <c r="AD649" s="280">
        <v>85</v>
      </c>
      <c r="AE649" s="280">
        <v>85</v>
      </c>
      <c r="AF649" s="280">
        <v>84</v>
      </c>
      <c r="AG649" s="280">
        <v>83</v>
      </c>
      <c r="AH649" s="280">
        <v>84</v>
      </c>
    </row>
    <row r="650" spans="1:34" s="1" customFormat="1" ht="13" x14ac:dyDescent="0.25">
      <c r="A650" s="280" t="s">
        <v>1192</v>
      </c>
      <c r="B650" s="286">
        <v>442</v>
      </c>
      <c r="C650" s="286">
        <v>727.875</v>
      </c>
      <c r="D650" s="286">
        <v>1013.7500000000001</v>
      </c>
      <c r="E650" s="286">
        <v>3</v>
      </c>
      <c r="F650" s="281">
        <v>3</v>
      </c>
      <c r="G650" s="282">
        <v>80.489678562500004</v>
      </c>
      <c r="H650" s="282">
        <v>83.279295588194444</v>
      </c>
      <c r="I650" s="282">
        <v>85.411360884722228</v>
      </c>
      <c r="J650" s="282">
        <v>88.573104223333331</v>
      </c>
      <c r="K650" s="282">
        <v>87.176432080833351</v>
      </c>
      <c r="L650" s="282">
        <v>88.183060060416665</v>
      </c>
      <c r="M650" s="282">
        <v>90.410653705000001</v>
      </c>
      <c r="N650" s="282">
        <v>92.507928087500005</v>
      </c>
      <c r="O650" s="282">
        <v>94.103143266666677</v>
      </c>
      <c r="P650" s="282">
        <v>94.08663004666667</v>
      </c>
      <c r="Q650" s="282">
        <v>93.656241558125004</v>
      </c>
      <c r="R650" s="283">
        <v>92.696022806944441</v>
      </c>
      <c r="S650" s="284">
        <v>990.08387230840276</v>
      </c>
      <c r="T650" s="284">
        <v>523.03390654249995</v>
      </c>
      <c r="U650" s="296">
        <f t="shared" si="20"/>
        <v>72.294872308402546</v>
      </c>
      <c r="V650" s="296">
        <f t="shared" si="21"/>
        <v>23.239906542499966</v>
      </c>
      <c r="W650" s="287">
        <v>87</v>
      </c>
      <c r="X650" s="280">
        <v>85</v>
      </c>
      <c r="Y650" s="280">
        <v>86</v>
      </c>
      <c r="Z650" s="280">
        <v>86</v>
      </c>
      <c r="AA650" s="280">
        <v>85</v>
      </c>
      <c r="AB650" s="280">
        <v>86</v>
      </c>
      <c r="AC650" s="280">
        <v>88</v>
      </c>
      <c r="AD650" s="280">
        <v>91</v>
      </c>
      <c r="AE650" s="280">
        <v>92</v>
      </c>
      <c r="AF650" s="280">
        <v>92</v>
      </c>
      <c r="AG650" s="280">
        <v>92</v>
      </c>
      <c r="AH650" s="280">
        <v>94</v>
      </c>
    </row>
    <row r="651" spans="1:34" s="1" customFormat="1" ht="13" x14ac:dyDescent="0.25">
      <c r="A651" s="280" t="s">
        <v>1193</v>
      </c>
      <c r="B651" s="286">
        <v>442</v>
      </c>
      <c r="C651" s="286">
        <v>727.875</v>
      </c>
      <c r="D651" s="286">
        <v>1013.7500000000001</v>
      </c>
      <c r="E651" s="286">
        <v>3</v>
      </c>
      <c r="F651" s="281">
        <v>4</v>
      </c>
      <c r="G651" s="282">
        <v>80.489678562500004</v>
      </c>
      <c r="H651" s="282">
        <v>83.279295588194444</v>
      </c>
      <c r="I651" s="282">
        <v>85.856360884722235</v>
      </c>
      <c r="J651" s="282">
        <v>89.463104223333332</v>
      </c>
      <c r="K651" s="282">
        <v>88.511432080833345</v>
      </c>
      <c r="L651" s="282">
        <v>90.030435060416664</v>
      </c>
      <c r="M651" s="282">
        <v>92.770403705000007</v>
      </c>
      <c r="N651" s="282">
        <v>95.380053087500002</v>
      </c>
      <c r="O651" s="282">
        <v>97.547049516666675</v>
      </c>
      <c r="P651" s="282">
        <v>98.102317546666669</v>
      </c>
      <c r="Q651" s="282">
        <v>98.243710308125003</v>
      </c>
      <c r="R651" s="283">
        <v>97.855272806944441</v>
      </c>
      <c r="S651" s="284">
        <v>1017.0394348084028</v>
      </c>
      <c r="T651" s="284">
        <v>529.91103154250004</v>
      </c>
      <c r="U651" s="296">
        <f t="shared" si="20"/>
        <v>99.250434808402588</v>
      </c>
      <c r="V651" s="296">
        <f t="shared" si="21"/>
        <v>30.117031542500058</v>
      </c>
      <c r="W651" s="287">
        <v>87</v>
      </c>
      <c r="X651" s="280">
        <v>85</v>
      </c>
      <c r="Y651" s="280">
        <v>87</v>
      </c>
      <c r="Z651" s="280">
        <v>88</v>
      </c>
      <c r="AA651" s="280">
        <v>88</v>
      </c>
      <c r="AB651" s="280">
        <v>90</v>
      </c>
      <c r="AC651" s="280">
        <v>93</v>
      </c>
      <c r="AD651" s="280">
        <v>97</v>
      </c>
      <c r="AE651" s="280">
        <v>99</v>
      </c>
      <c r="AF651" s="280">
        <v>100</v>
      </c>
      <c r="AG651" s="280">
        <v>101</v>
      </c>
      <c r="AH651" s="280">
        <v>104</v>
      </c>
    </row>
    <row r="652" spans="1:34" s="1" customFormat="1" ht="13" x14ac:dyDescent="0.25">
      <c r="A652" s="280" t="s">
        <v>1194</v>
      </c>
      <c r="B652" s="286">
        <v>442</v>
      </c>
      <c r="C652" s="286">
        <v>727.875</v>
      </c>
      <c r="D652" s="286">
        <v>1013.7500000000001</v>
      </c>
      <c r="E652" s="286">
        <v>3</v>
      </c>
      <c r="F652" s="281">
        <v>5</v>
      </c>
      <c r="G652" s="282">
        <v>80.489678562500004</v>
      </c>
      <c r="H652" s="282">
        <v>83.279295588194444</v>
      </c>
      <c r="I652" s="282">
        <v>86.301360884722229</v>
      </c>
      <c r="J652" s="282">
        <v>90.353104223333332</v>
      </c>
      <c r="K652" s="282">
        <v>89.846432080833338</v>
      </c>
      <c r="L652" s="282">
        <v>91.877810060416664</v>
      </c>
      <c r="M652" s="282">
        <v>95.130153704999998</v>
      </c>
      <c r="N652" s="282">
        <v>98.252178087499999</v>
      </c>
      <c r="O652" s="282">
        <v>100.99095576666667</v>
      </c>
      <c r="P652" s="282">
        <v>102.11800504666668</v>
      </c>
      <c r="Q652" s="282">
        <v>102.831179058125</v>
      </c>
      <c r="R652" s="283">
        <v>103.01452280694444</v>
      </c>
      <c r="S652" s="284">
        <v>1043.9949973084028</v>
      </c>
      <c r="T652" s="284">
        <v>536.78815654250002</v>
      </c>
      <c r="U652" s="296">
        <f t="shared" si="20"/>
        <v>126.20599730840263</v>
      </c>
      <c r="V652" s="296">
        <f t="shared" si="21"/>
        <v>36.994156542500036</v>
      </c>
      <c r="W652" s="287">
        <v>87</v>
      </c>
      <c r="X652" s="280">
        <v>85</v>
      </c>
      <c r="Y652" s="280">
        <v>88</v>
      </c>
      <c r="Z652" s="280">
        <v>90</v>
      </c>
      <c r="AA652" s="280">
        <v>91</v>
      </c>
      <c r="AB652" s="280">
        <v>94</v>
      </c>
      <c r="AC652" s="280">
        <v>98</v>
      </c>
      <c r="AD652" s="280">
        <v>103</v>
      </c>
      <c r="AE652" s="280">
        <v>106</v>
      </c>
      <c r="AF652" s="280">
        <v>108</v>
      </c>
      <c r="AG652" s="280">
        <v>110</v>
      </c>
      <c r="AH652" s="280">
        <v>114</v>
      </c>
    </row>
    <row r="653" spans="1:34" s="1" customFormat="1" ht="13" x14ac:dyDescent="0.25">
      <c r="A653" s="280" t="s">
        <v>1195</v>
      </c>
      <c r="B653" s="286">
        <v>442</v>
      </c>
      <c r="C653" s="286">
        <v>727.875</v>
      </c>
      <c r="D653" s="286">
        <v>1013.7500000000001</v>
      </c>
      <c r="E653" s="286">
        <v>4</v>
      </c>
      <c r="F653" s="281">
        <v>0</v>
      </c>
      <c r="G653" s="282">
        <v>80.489678562500004</v>
      </c>
      <c r="H653" s="282">
        <v>82.913529360416675</v>
      </c>
      <c r="I653" s="282">
        <v>83.449646879166679</v>
      </c>
      <c r="J653" s="282">
        <v>85.079457806666653</v>
      </c>
      <c r="K653" s="282">
        <v>82.346354775277774</v>
      </c>
      <c r="L653" s="282">
        <v>81.987126004861111</v>
      </c>
      <c r="M653" s="282">
        <v>82.817775232777763</v>
      </c>
      <c r="N653" s="282">
        <v>83.47641419861111</v>
      </c>
      <c r="O653" s="282">
        <v>83.282153683333334</v>
      </c>
      <c r="P653" s="282">
        <v>81.493109213333327</v>
      </c>
      <c r="Q653" s="282">
        <v>79.30925197479165</v>
      </c>
      <c r="R653" s="283">
        <v>76.699349195833321</v>
      </c>
      <c r="S653" s="284">
        <v>902.85416832506951</v>
      </c>
      <c r="T653" s="284">
        <v>498.59389005916671</v>
      </c>
      <c r="U653" s="296">
        <f t="shared" si="20"/>
        <v>-14.934831674930706</v>
      </c>
      <c r="V653" s="296">
        <f t="shared" si="21"/>
        <v>-1.200109940833272</v>
      </c>
      <c r="W653" s="287">
        <v>87</v>
      </c>
      <c r="X653" s="280">
        <v>85</v>
      </c>
      <c r="Y653" s="280">
        <v>83</v>
      </c>
      <c r="Z653" s="280">
        <v>80</v>
      </c>
      <c r="AA653" s="280">
        <v>76</v>
      </c>
      <c r="AB653" s="280">
        <v>74</v>
      </c>
      <c r="AC653" s="280">
        <v>73</v>
      </c>
      <c r="AD653" s="280">
        <v>73</v>
      </c>
      <c r="AE653" s="280">
        <v>71</v>
      </c>
      <c r="AF653" s="280">
        <v>68</v>
      </c>
      <c r="AG653" s="280">
        <v>65</v>
      </c>
      <c r="AH653" s="280">
        <v>64</v>
      </c>
    </row>
    <row r="654" spans="1:34" s="1" customFormat="1" ht="13" x14ac:dyDescent="0.25">
      <c r="A654" s="280" t="s">
        <v>1196</v>
      </c>
      <c r="B654" s="286">
        <v>442</v>
      </c>
      <c r="C654" s="286">
        <v>727.875</v>
      </c>
      <c r="D654" s="286">
        <v>1013.7500000000001</v>
      </c>
      <c r="E654" s="286">
        <v>4</v>
      </c>
      <c r="F654" s="281">
        <v>1</v>
      </c>
      <c r="G654" s="282">
        <v>80.489678562500004</v>
      </c>
      <c r="H654" s="282">
        <v>82.913529360416675</v>
      </c>
      <c r="I654" s="282">
        <v>83.894646879166686</v>
      </c>
      <c r="J654" s="282">
        <v>85.969457806666668</v>
      </c>
      <c r="K654" s="282">
        <v>83.681354775277782</v>
      </c>
      <c r="L654" s="282">
        <v>83.83450100486111</v>
      </c>
      <c r="M654" s="282">
        <v>85.177525232777768</v>
      </c>
      <c r="N654" s="282">
        <v>86.348539198611107</v>
      </c>
      <c r="O654" s="282">
        <v>86.726059933333332</v>
      </c>
      <c r="P654" s="282">
        <v>85.508796713333339</v>
      </c>
      <c r="Q654" s="282">
        <v>83.896720724791663</v>
      </c>
      <c r="R654" s="283">
        <v>81.858599195833321</v>
      </c>
      <c r="S654" s="284">
        <v>929.80973082506944</v>
      </c>
      <c r="T654" s="284">
        <v>505.47101505916669</v>
      </c>
      <c r="U654" s="296">
        <f t="shared" si="20"/>
        <v>12.020730825069222</v>
      </c>
      <c r="V654" s="296">
        <f t="shared" si="21"/>
        <v>5.6770150591667061</v>
      </c>
      <c r="W654" s="287">
        <v>87</v>
      </c>
      <c r="X654" s="280">
        <v>85</v>
      </c>
      <c r="Y654" s="280">
        <v>84</v>
      </c>
      <c r="Z654" s="280">
        <v>82</v>
      </c>
      <c r="AA654" s="280">
        <v>79</v>
      </c>
      <c r="AB654" s="280">
        <v>78</v>
      </c>
      <c r="AC654" s="280">
        <v>78</v>
      </c>
      <c r="AD654" s="280">
        <v>79</v>
      </c>
      <c r="AE654" s="280">
        <v>78</v>
      </c>
      <c r="AF654" s="280">
        <v>76</v>
      </c>
      <c r="AG654" s="280">
        <v>74</v>
      </c>
      <c r="AH654" s="280">
        <v>74</v>
      </c>
    </row>
    <row r="655" spans="1:34" s="1" customFormat="1" ht="13" x14ac:dyDescent="0.25">
      <c r="A655" s="280" t="s">
        <v>1197</v>
      </c>
      <c r="B655" s="286">
        <v>442</v>
      </c>
      <c r="C655" s="286">
        <v>727.875</v>
      </c>
      <c r="D655" s="286">
        <v>1013.7500000000001</v>
      </c>
      <c r="E655" s="286">
        <v>4</v>
      </c>
      <c r="F655" s="281">
        <v>2</v>
      </c>
      <c r="G655" s="282">
        <v>80.489678562500004</v>
      </c>
      <c r="H655" s="282">
        <v>82.913529360416675</v>
      </c>
      <c r="I655" s="282">
        <v>84.339646879166679</v>
      </c>
      <c r="J655" s="282">
        <v>86.859457806666668</v>
      </c>
      <c r="K655" s="282">
        <v>85.016354775277776</v>
      </c>
      <c r="L655" s="282">
        <v>85.68187600486111</v>
      </c>
      <c r="M655" s="282">
        <v>87.537275232777787</v>
      </c>
      <c r="N655" s="282">
        <v>89.220664198611118</v>
      </c>
      <c r="O655" s="282">
        <v>90.169966183333329</v>
      </c>
      <c r="P655" s="282">
        <v>89.524484213333338</v>
      </c>
      <c r="Q655" s="282">
        <v>88.484189474791663</v>
      </c>
      <c r="R655" s="283">
        <v>87.017849195833321</v>
      </c>
      <c r="S655" s="284">
        <v>956.76529332506948</v>
      </c>
      <c r="T655" s="284">
        <v>512.34814005916667</v>
      </c>
      <c r="U655" s="296">
        <f t="shared" si="20"/>
        <v>38.976293325069264</v>
      </c>
      <c r="V655" s="296">
        <f t="shared" si="21"/>
        <v>12.554140059166684</v>
      </c>
      <c r="W655" s="287">
        <v>87</v>
      </c>
      <c r="X655" s="280">
        <v>85</v>
      </c>
      <c r="Y655" s="280">
        <v>85</v>
      </c>
      <c r="Z655" s="280">
        <v>84</v>
      </c>
      <c r="AA655" s="280">
        <v>82</v>
      </c>
      <c r="AB655" s="280">
        <v>82</v>
      </c>
      <c r="AC655" s="280">
        <v>83</v>
      </c>
      <c r="AD655" s="280">
        <v>85</v>
      </c>
      <c r="AE655" s="280">
        <v>85</v>
      </c>
      <c r="AF655" s="280">
        <v>84</v>
      </c>
      <c r="AG655" s="280">
        <v>83</v>
      </c>
      <c r="AH655" s="280">
        <v>84</v>
      </c>
    </row>
    <row r="656" spans="1:34" s="1" customFormat="1" ht="13" x14ac:dyDescent="0.25">
      <c r="A656" s="280" t="s">
        <v>1198</v>
      </c>
      <c r="B656" s="286">
        <v>442</v>
      </c>
      <c r="C656" s="286">
        <v>727.875</v>
      </c>
      <c r="D656" s="286">
        <v>1013.7500000000001</v>
      </c>
      <c r="E656" s="286">
        <v>4</v>
      </c>
      <c r="F656" s="281">
        <v>3</v>
      </c>
      <c r="G656" s="282">
        <v>80.489678562500004</v>
      </c>
      <c r="H656" s="282">
        <v>82.913529360416675</v>
      </c>
      <c r="I656" s="282">
        <v>84.784646879166687</v>
      </c>
      <c r="J656" s="282">
        <v>87.749457806666669</v>
      </c>
      <c r="K656" s="282">
        <v>86.351354775277784</v>
      </c>
      <c r="L656" s="282">
        <v>87.529251004861109</v>
      </c>
      <c r="M656" s="282">
        <v>89.897025232777779</v>
      </c>
      <c r="N656" s="282">
        <v>92.092789198611115</v>
      </c>
      <c r="O656" s="282">
        <v>93.613872433333327</v>
      </c>
      <c r="P656" s="282">
        <v>93.540171713333336</v>
      </c>
      <c r="Q656" s="282">
        <v>93.071658224791662</v>
      </c>
      <c r="R656" s="283">
        <v>92.177099195833321</v>
      </c>
      <c r="S656" s="284">
        <v>983.72085582506952</v>
      </c>
      <c r="T656" s="284">
        <v>519.22526505916676</v>
      </c>
      <c r="U656" s="296">
        <f t="shared" si="20"/>
        <v>65.931855825069306</v>
      </c>
      <c r="V656" s="296">
        <f t="shared" si="21"/>
        <v>19.431265059166776</v>
      </c>
      <c r="W656" s="287">
        <v>87</v>
      </c>
      <c r="X656" s="280">
        <v>85</v>
      </c>
      <c r="Y656" s="280">
        <v>86</v>
      </c>
      <c r="Z656" s="280">
        <v>86</v>
      </c>
      <c r="AA656" s="280">
        <v>85</v>
      </c>
      <c r="AB656" s="280">
        <v>86</v>
      </c>
      <c r="AC656" s="280">
        <v>88</v>
      </c>
      <c r="AD656" s="280">
        <v>91</v>
      </c>
      <c r="AE656" s="280">
        <v>92</v>
      </c>
      <c r="AF656" s="280">
        <v>92</v>
      </c>
      <c r="AG656" s="280">
        <v>92</v>
      </c>
      <c r="AH656" s="280">
        <v>94</v>
      </c>
    </row>
    <row r="657" spans="1:34" s="1" customFormat="1" ht="13" x14ac:dyDescent="0.25">
      <c r="A657" s="280" t="s">
        <v>1199</v>
      </c>
      <c r="B657" s="286">
        <v>442</v>
      </c>
      <c r="C657" s="286">
        <v>727.875</v>
      </c>
      <c r="D657" s="286">
        <v>1013.7500000000001</v>
      </c>
      <c r="E657" s="286">
        <v>4</v>
      </c>
      <c r="F657" s="281">
        <v>4</v>
      </c>
      <c r="G657" s="282">
        <v>80.489678562500004</v>
      </c>
      <c r="H657" s="282">
        <v>82.913529360416675</v>
      </c>
      <c r="I657" s="282">
        <v>85.22964687916668</v>
      </c>
      <c r="J657" s="282">
        <v>88.63945780666667</v>
      </c>
      <c r="K657" s="282">
        <v>87.686354775277778</v>
      </c>
      <c r="L657" s="282">
        <v>89.376626004861109</v>
      </c>
      <c r="M657" s="282">
        <v>92.256775232777784</v>
      </c>
      <c r="N657" s="282">
        <v>94.964914198611112</v>
      </c>
      <c r="O657" s="282">
        <v>97.057778683333325</v>
      </c>
      <c r="P657" s="282">
        <v>97.555859213333335</v>
      </c>
      <c r="Q657" s="282">
        <v>97.659126974791661</v>
      </c>
      <c r="R657" s="283">
        <v>97.336349195833321</v>
      </c>
      <c r="S657" s="284">
        <v>1010.6764183250696</v>
      </c>
      <c r="T657" s="284">
        <v>526.10239005916674</v>
      </c>
      <c r="U657" s="296">
        <f t="shared" si="20"/>
        <v>92.887418325069348</v>
      </c>
      <c r="V657" s="296">
        <f t="shared" si="21"/>
        <v>26.308390059166754</v>
      </c>
      <c r="W657" s="287">
        <v>87</v>
      </c>
      <c r="X657" s="280">
        <v>85</v>
      </c>
      <c r="Y657" s="280">
        <v>87</v>
      </c>
      <c r="Z657" s="280">
        <v>88</v>
      </c>
      <c r="AA657" s="280">
        <v>88</v>
      </c>
      <c r="AB657" s="280">
        <v>90</v>
      </c>
      <c r="AC657" s="280">
        <v>93</v>
      </c>
      <c r="AD657" s="280">
        <v>97</v>
      </c>
      <c r="AE657" s="280">
        <v>99</v>
      </c>
      <c r="AF657" s="280">
        <v>100</v>
      </c>
      <c r="AG657" s="280">
        <v>101</v>
      </c>
      <c r="AH657" s="280">
        <v>104</v>
      </c>
    </row>
    <row r="658" spans="1:34" s="1" customFormat="1" ht="13" x14ac:dyDescent="0.25">
      <c r="A658" s="280" t="s">
        <v>1200</v>
      </c>
      <c r="B658" s="286">
        <v>442</v>
      </c>
      <c r="C658" s="286">
        <v>727.875</v>
      </c>
      <c r="D658" s="286">
        <v>1013.7500000000001</v>
      </c>
      <c r="E658" s="286">
        <v>4</v>
      </c>
      <c r="F658" s="281">
        <v>5</v>
      </c>
      <c r="G658" s="282">
        <v>80.489678562500004</v>
      </c>
      <c r="H658" s="282">
        <v>82.913529360416675</v>
      </c>
      <c r="I658" s="282">
        <v>85.674646879166687</v>
      </c>
      <c r="J658" s="282">
        <v>89.52945780666667</v>
      </c>
      <c r="K658" s="282">
        <v>89.0213547752778</v>
      </c>
      <c r="L658" s="282">
        <v>91.224001004861108</v>
      </c>
      <c r="M658" s="282">
        <v>94.616525232777789</v>
      </c>
      <c r="N658" s="282">
        <v>97.837039198611109</v>
      </c>
      <c r="O658" s="282">
        <v>100.50168493333332</v>
      </c>
      <c r="P658" s="282">
        <v>101.57154671333333</v>
      </c>
      <c r="Q658" s="282">
        <v>102.24659572479166</v>
      </c>
      <c r="R658" s="283">
        <v>102.49559919583332</v>
      </c>
      <c r="S658" s="284">
        <v>1037.6319808250694</v>
      </c>
      <c r="T658" s="284">
        <v>532.97951505916672</v>
      </c>
      <c r="U658" s="296">
        <f t="shared" si="20"/>
        <v>119.84298082506916</v>
      </c>
      <c r="V658" s="296">
        <f t="shared" si="21"/>
        <v>33.185515059166732</v>
      </c>
      <c r="W658" s="287">
        <v>87</v>
      </c>
      <c r="X658" s="280">
        <v>85</v>
      </c>
      <c r="Y658" s="280">
        <v>88</v>
      </c>
      <c r="Z658" s="280">
        <v>90</v>
      </c>
      <c r="AA658" s="280">
        <v>91</v>
      </c>
      <c r="AB658" s="280">
        <v>94</v>
      </c>
      <c r="AC658" s="280">
        <v>98</v>
      </c>
      <c r="AD658" s="280">
        <v>103</v>
      </c>
      <c r="AE658" s="280">
        <v>106</v>
      </c>
      <c r="AF658" s="280">
        <v>108</v>
      </c>
      <c r="AG658" s="280">
        <v>110</v>
      </c>
      <c r="AH658" s="280">
        <v>114</v>
      </c>
    </row>
    <row r="659" spans="1:34" s="1" customFormat="1" ht="13" x14ac:dyDescent="0.25">
      <c r="A659" s="280" t="s">
        <v>1201</v>
      </c>
      <c r="B659" s="286">
        <v>442</v>
      </c>
      <c r="C659" s="286">
        <v>727.875</v>
      </c>
      <c r="D659" s="286">
        <v>1013.7500000000001</v>
      </c>
      <c r="E659" s="286">
        <v>5</v>
      </c>
      <c r="F659" s="281">
        <v>0</v>
      </c>
      <c r="G659" s="282">
        <v>80.489678562500004</v>
      </c>
      <c r="H659" s="282">
        <v>82.682237693749997</v>
      </c>
      <c r="I659" s="282">
        <v>83.042711920833341</v>
      </c>
      <c r="J659" s="282">
        <v>84.522560556666662</v>
      </c>
      <c r="K659" s="282">
        <v>81.582437525277768</v>
      </c>
      <c r="L659" s="282">
        <v>81.284122254861103</v>
      </c>
      <c r="M659" s="282">
        <v>82.293105566111095</v>
      </c>
      <c r="N659" s="282">
        <v>83.003664198611105</v>
      </c>
      <c r="O659" s="282">
        <v>82.836091183333323</v>
      </c>
      <c r="P659" s="282">
        <v>80.992400879999991</v>
      </c>
      <c r="Q659" s="282">
        <v>78.765335308124989</v>
      </c>
      <c r="R659" s="283">
        <v>76.118578362499989</v>
      </c>
      <c r="S659" s="284">
        <v>897.12324545006936</v>
      </c>
      <c r="T659" s="284">
        <v>495.40717551749992</v>
      </c>
      <c r="U659" s="296">
        <f t="shared" si="20"/>
        <v>-20.665754549930853</v>
      </c>
      <c r="V659" s="296">
        <f t="shared" si="21"/>
        <v>-4.3868244825000602</v>
      </c>
      <c r="W659" s="287">
        <v>87</v>
      </c>
      <c r="X659" s="280">
        <v>85</v>
      </c>
      <c r="Y659" s="280">
        <v>83</v>
      </c>
      <c r="Z659" s="280">
        <v>80</v>
      </c>
      <c r="AA659" s="280">
        <v>76</v>
      </c>
      <c r="AB659" s="280">
        <v>74</v>
      </c>
      <c r="AC659" s="280">
        <v>73</v>
      </c>
      <c r="AD659" s="280">
        <v>73</v>
      </c>
      <c r="AE659" s="280">
        <v>71</v>
      </c>
      <c r="AF659" s="280">
        <v>68</v>
      </c>
      <c r="AG659" s="280">
        <v>65</v>
      </c>
      <c r="AH659" s="280">
        <v>64</v>
      </c>
    </row>
    <row r="660" spans="1:34" s="1" customFormat="1" ht="13" x14ac:dyDescent="0.25">
      <c r="A660" s="280" t="s">
        <v>1202</v>
      </c>
      <c r="B660" s="286">
        <v>442</v>
      </c>
      <c r="C660" s="286">
        <v>727.875</v>
      </c>
      <c r="D660" s="286">
        <v>1013.7500000000001</v>
      </c>
      <c r="E660" s="286">
        <v>5</v>
      </c>
      <c r="F660" s="281">
        <v>1</v>
      </c>
      <c r="G660" s="282">
        <v>80.489678562500004</v>
      </c>
      <c r="H660" s="282">
        <v>82.682237693749997</v>
      </c>
      <c r="I660" s="282">
        <v>83.487711920833348</v>
      </c>
      <c r="J660" s="282">
        <v>85.412560556666676</v>
      </c>
      <c r="K660" s="282">
        <v>82.917437525277776</v>
      </c>
      <c r="L660" s="282">
        <v>83.131497254861102</v>
      </c>
      <c r="M660" s="282">
        <v>84.6528555661111</v>
      </c>
      <c r="N660" s="282">
        <v>85.875789198611102</v>
      </c>
      <c r="O660" s="282">
        <v>86.279997433333335</v>
      </c>
      <c r="P660" s="282">
        <v>85.00808837999999</v>
      </c>
      <c r="Q660" s="282">
        <v>83.352804058124988</v>
      </c>
      <c r="R660" s="283">
        <v>81.277828362499989</v>
      </c>
      <c r="S660" s="284">
        <v>924.07880795006952</v>
      </c>
      <c r="T660" s="284">
        <v>502.28430051749996</v>
      </c>
      <c r="U660" s="296">
        <f t="shared" si="20"/>
        <v>6.2898079500693029</v>
      </c>
      <c r="V660" s="296">
        <f t="shared" si="21"/>
        <v>2.4903005174999748</v>
      </c>
      <c r="W660" s="287">
        <v>87</v>
      </c>
      <c r="X660" s="280">
        <v>85</v>
      </c>
      <c r="Y660" s="280">
        <v>84</v>
      </c>
      <c r="Z660" s="280">
        <v>82</v>
      </c>
      <c r="AA660" s="280">
        <v>79</v>
      </c>
      <c r="AB660" s="280">
        <v>78</v>
      </c>
      <c r="AC660" s="280">
        <v>78</v>
      </c>
      <c r="AD660" s="280">
        <v>79</v>
      </c>
      <c r="AE660" s="280">
        <v>78</v>
      </c>
      <c r="AF660" s="280">
        <v>76</v>
      </c>
      <c r="AG660" s="280">
        <v>74</v>
      </c>
      <c r="AH660" s="280">
        <v>74</v>
      </c>
    </row>
    <row r="661" spans="1:34" s="1" customFormat="1" ht="13" x14ac:dyDescent="0.25">
      <c r="A661" s="280" t="s">
        <v>1203</v>
      </c>
      <c r="B661" s="286">
        <v>442</v>
      </c>
      <c r="C661" s="286">
        <v>727.875</v>
      </c>
      <c r="D661" s="286">
        <v>1013.7500000000001</v>
      </c>
      <c r="E661" s="286">
        <v>5</v>
      </c>
      <c r="F661" s="281">
        <v>2</v>
      </c>
      <c r="G661" s="282">
        <v>80.489678562500004</v>
      </c>
      <c r="H661" s="282">
        <v>82.682237693749997</v>
      </c>
      <c r="I661" s="282">
        <v>83.932711920833341</v>
      </c>
      <c r="J661" s="282">
        <v>86.302560556666677</v>
      </c>
      <c r="K661" s="282">
        <v>84.252437525277784</v>
      </c>
      <c r="L661" s="282">
        <v>84.978872254861102</v>
      </c>
      <c r="M661" s="282">
        <v>87.012605566111105</v>
      </c>
      <c r="N661" s="282">
        <v>88.747914198611099</v>
      </c>
      <c r="O661" s="282">
        <v>89.723903683333333</v>
      </c>
      <c r="P661" s="282">
        <v>89.023775879999988</v>
      </c>
      <c r="Q661" s="282">
        <v>87.940272808125002</v>
      </c>
      <c r="R661" s="283">
        <v>86.437078362500003</v>
      </c>
      <c r="S661" s="284">
        <v>951.03437045006933</v>
      </c>
      <c r="T661" s="284">
        <v>509.16142551749999</v>
      </c>
      <c r="U661" s="296">
        <f t="shared" si="20"/>
        <v>33.245370450069117</v>
      </c>
      <c r="V661" s="296">
        <f t="shared" si="21"/>
        <v>9.3674255175000098</v>
      </c>
      <c r="W661" s="287">
        <v>87</v>
      </c>
      <c r="X661" s="280">
        <v>85</v>
      </c>
      <c r="Y661" s="280">
        <v>85</v>
      </c>
      <c r="Z661" s="280">
        <v>84</v>
      </c>
      <c r="AA661" s="280">
        <v>82</v>
      </c>
      <c r="AB661" s="280">
        <v>82</v>
      </c>
      <c r="AC661" s="280">
        <v>83</v>
      </c>
      <c r="AD661" s="280">
        <v>85</v>
      </c>
      <c r="AE661" s="280">
        <v>85</v>
      </c>
      <c r="AF661" s="280">
        <v>84</v>
      </c>
      <c r="AG661" s="280">
        <v>83</v>
      </c>
      <c r="AH661" s="280">
        <v>84</v>
      </c>
    </row>
    <row r="662" spans="1:34" s="1" customFormat="1" ht="13" x14ac:dyDescent="0.25">
      <c r="A662" s="280" t="s">
        <v>1204</v>
      </c>
      <c r="B662" s="286">
        <v>442</v>
      </c>
      <c r="C662" s="286">
        <v>727.875</v>
      </c>
      <c r="D662" s="286">
        <v>1013.7500000000001</v>
      </c>
      <c r="E662" s="286">
        <v>5</v>
      </c>
      <c r="F662" s="281">
        <v>3</v>
      </c>
      <c r="G662" s="282">
        <v>80.489678562500004</v>
      </c>
      <c r="H662" s="282">
        <v>82.682237693749997</v>
      </c>
      <c r="I662" s="282">
        <v>84.377711920833349</v>
      </c>
      <c r="J662" s="282">
        <v>87.192560556666677</v>
      </c>
      <c r="K662" s="282">
        <v>85.587437525277778</v>
      </c>
      <c r="L662" s="282">
        <v>86.826247254861102</v>
      </c>
      <c r="M662" s="282">
        <v>89.372355566111096</v>
      </c>
      <c r="N662" s="282">
        <v>91.620039198611096</v>
      </c>
      <c r="O662" s="282">
        <v>93.167809933333331</v>
      </c>
      <c r="P662" s="282">
        <v>93.039463379999987</v>
      </c>
      <c r="Q662" s="282">
        <v>92.527741558125001</v>
      </c>
      <c r="R662" s="283">
        <v>91.596328362500003</v>
      </c>
      <c r="S662" s="284">
        <v>977.98993295006937</v>
      </c>
      <c r="T662" s="284">
        <v>516.03855051749997</v>
      </c>
      <c r="U662" s="296">
        <f t="shared" si="20"/>
        <v>60.200932950069159</v>
      </c>
      <c r="V662" s="296">
        <f t="shared" si="21"/>
        <v>16.244550517499988</v>
      </c>
      <c r="W662" s="287">
        <v>87</v>
      </c>
      <c r="X662" s="280">
        <v>85</v>
      </c>
      <c r="Y662" s="280">
        <v>86</v>
      </c>
      <c r="Z662" s="280">
        <v>86</v>
      </c>
      <c r="AA662" s="280">
        <v>85</v>
      </c>
      <c r="AB662" s="280">
        <v>86</v>
      </c>
      <c r="AC662" s="280">
        <v>88</v>
      </c>
      <c r="AD662" s="280">
        <v>91</v>
      </c>
      <c r="AE662" s="280">
        <v>92</v>
      </c>
      <c r="AF662" s="280">
        <v>92</v>
      </c>
      <c r="AG662" s="280">
        <v>92</v>
      </c>
      <c r="AH662" s="280">
        <v>94</v>
      </c>
    </row>
    <row r="663" spans="1:34" s="1" customFormat="1" ht="13" x14ac:dyDescent="0.25">
      <c r="A663" s="280" t="s">
        <v>1205</v>
      </c>
      <c r="B663" s="286">
        <v>442</v>
      </c>
      <c r="C663" s="286">
        <v>727.875</v>
      </c>
      <c r="D663" s="286">
        <v>1013.7500000000001</v>
      </c>
      <c r="E663" s="286">
        <v>5</v>
      </c>
      <c r="F663" s="281">
        <v>4</v>
      </c>
      <c r="G663" s="282">
        <v>80.489678562500004</v>
      </c>
      <c r="H663" s="282">
        <v>82.682237693749997</v>
      </c>
      <c r="I663" s="282">
        <v>84.822711920833342</v>
      </c>
      <c r="J663" s="282">
        <v>88.082560556666678</v>
      </c>
      <c r="K663" s="282">
        <v>86.922437525277786</v>
      </c>
      <c r="L663" s="282">
        <v>88.673622254861115</v>
      </c>
      <c r="M663" s="282">
        <v>91.732105566111102</v>
      </c>
      <c r="N663" s="282">
        <v>94.492164198611093</v>
      </c>
      <c r="O663" s="282">
        <v>96.611716183333328</v>
      </c>
      <c r="P663" s="282">
        <v>97.055150879999985</v>
      </c>
      <c r="Q663" s="282">
        <v>97.115210308125</v>
      </c>
      <c r="R663" s="283">
        <v>96.755578362500003</v>
      </c>
      <c r="S663" s="284">
        <v>1004.9454954500694</v>
      </c>
      <c r="T663" s="284">
        <v>522.91567551749995</v>
      </c>
      <c r="U663" s="296">
        <f t="shared" si="20"/>
        <v>87.156495450069201</v>
      </c>
      <c r="V663" s="296">
        <f t="shared" si="21"/>
        <v>23.121675517499966</v>
      </c>
      <c r="W663" s="287">
        <v>87</v>
      </c>
      <c r="X663" s="280">
        <v>85</v>
      </c>
      <c r="Y663" s="280">
        <v>87</v>
      </c>
      <c r="Z663" s="280">
        <v>88</v>
      </c>
      <c r="AA663" s="280">
        <v>88</v>
      </c>
      <c r="AB663" s="280">
        <v>90</v>
      </c>
      <c r="AC663" s="280">
        <v>93</v>
      </c>
      <c r="AD663" s="280">
        <v>97</v>
      </c>
      <c r="AE663" s="280">
        <v>99</v>
      </c>
      <c r="AF663" s="280">
        <v>100</v>
      </c>
      <c r="AG663" s="280">
        <v>101</v>
      </c>
      <c r="AH663" s="280">
        <v>104</v>
      </c>
    </row>
    <row r="664" spans="1:34" s="1" customFormat="1" ht="13" x14ac:dyDescent="0.25">
      <c r="A664" s="280" t="s">
        <v>1206</v>
      </c>
      <c r="B664" s="286">
        <v>442</v>
      </c>
      <c r="C664" s="286">
        <v>727.875</v>
      </c>
      <c r="D664" s="286">
        <v>1013.7500000000001</v>
      </c>
      <c r="E664" s="286">
        <v>5</v>
      </c>
      <c r="F664" s="281">
        <v>5</v>
      </c>
      <c r="G664" s="282">
        <v>80.489678562500004</v>
      </c>
      <c r="H664" s="282">
        <v>82.682237693749997</v>
      </c>
      <c r="I664" s="282">
        <v>85.267711920833349</v>
      </c>
      <c r="J664" s="282">
        <v>88.972560556666664</v>
      </c>
      <c r="K664" s="282">
        <v>88.25743752527778</v>
      </c>
      <c r="L664" s="282">
        <v>90.520997254861115</v>
      </c>
      <c r="M664" s="282">
        <v>94.091855566111093</v>
      </c>
      <c r="N664" s="282">
        <v>97.364289198611104</v>
      </c>
      <c r="O664" s="282">
        <v>100.05562243333333</v>
      </c>
      <c r="P664" s="282">
        <v>101.07083837999998</v>
      </c>
      <c r="Q664" s="282">
        <v>101.70267905812501</v>
      </c>
      <c r="R664" s="283">
        <v>101.9148283625</v>
      </c>
      <c r="S664" s="284">
        <v>1031.9010579500696</v>
      </c>
      <c r="T664" s="284">
        <v>529.79280051750004</v>
      </c>
      <c r="U664" s="296">
        <f t="shared" si="20"/>
        <v>114.11205795006936</v>
      </c>
      <c r="V664" s="296">
        <f t="shared" si="21"/>
        <v>29.998800517500058</v>
      </c>
      <c r="W664" s="287">
        <v>87</v>
      </c>
      <c r="X664" s="280">
        <v>85</v>
      </c>
      <c r="Y664" s="280">
        <v>88</v>
      </c>
      <c r="Z664" s="280">
        <v>90</v>
      </c>
      <c r="AA664" s="280">
        <v>91</v>
      </c>
      <c r="AB664" s="280">
        <v>94</v>
      </c>
      <c r="AC664" s="280">
        <v>98</v>
      </c>
      <c r="AD664" s="280">
        <v>103</v>
      </c>
      <c r="AE664" s="280">
        <v>106</v>
      </c>
      <c r="AF664" s="280">
        <v>108</v>
      </c>
      <c r="AG664" s="280">
        <v>110</v>
      </c>
      <c r="AH664" s="280">
        <v>114</v>
      </c>
    </row>
    <row r="665" spans="1:34" s="1" customFormat="1" ht="13" x14ac:dyDescent="0.25">
      <c r="A665" s="280" t="s">
        <v>1207</v>
      </c>
      <c r="B665" s="286">
        <v>442</v>
      </c>
      <c r="C665" s="286">
        <v>727.875</v>
      </c>
      <c r="D665" s="286">
        <v>1013.7500000000001</v>
      </c>
      <c r="E665" s="286">
        <v>1</v>
      </c>
      <c r="F665" s="281">
        <v>0</v>
      </c>
      <c r="G665" s="282">
        <v>80.489678562500004</v>
      </c>
      <c r="H665" s="282">
        <v>85.710125218749994</v>
      </c>
      <c r="I665" s="282">
        <v>86.744435412499996</v>
      </c>
      <c r="J665" s="282">
        <v>88.356873223333324</v>
      </c>
      <c r="K665" s="282">
        <v>85.204356441944441</v>
      </c>
      <c r="L665" s="282">
        <v>83.875171171527768</v>
      </c>
      <c r="M665" s="282">
        <v>84.516473149444437</v>
      </c>
      <c r="N665" s="282">
        <v>85.10078919861111</v>
      </c>
      <c r="O665" s="282">
        <v>85.284549516666658</v>
      </c>
      <c r="P665" s="282">
        <v>83.424984213333332</v>
      </c>
      <c r="Q665" s="282">
        <v>81.19925197479165</v>
      </c>
      <c r="R665" s="283">
        <v>78.681120029166664</v>
      </c>
      <c r="S665" s="284">
        <v>928.0981295500693</v>
      </c>
      <c r="T665" s="284">
        <v>514.40743461749992</v>
      </c>
      <c r="U665" s="296">
        <f t="shared" si="20"/>
        <v>10.309129550069088</v>
      </c>
      <c r="V665" s="296">
        <f t="shared" si="21"/>
        <v>14.613434617499934</v>
      </c>
      <c r="W665" s="287">
        <v>87</v>
      </c>
      <c r="X665" s="280">
        <v>85</v>
      </c>
      <c r="Y665" s="280">
        <v>83</v>
      </c>
      <c r="Z665" s="280">
        <v>80</v>
      </c>
      <c r="AA665" s="280">
        <v>76</v>
      </c>
      <c r="AB665" s="280">
        <v>74</v>
      </c>
      <c r="AC665" s="280">
        <v>73</v>
      </c>
      <c r="AD665" s="280">
        <v>73</v>
      </c>
      <c r="AE665" s="280">
        <v>71</v>
      </c>
      <c r="AF665" s="280">
        <v>68</v>
      </c>
      <c r="AG665" s="280">
        <v>65</v>
      </c>
      <c r="AH665" s="280">
        <v>64</v>
      </c>
    </row>
    <row r="666" spans="1:34" s="1" customFormat="1" ht="13" x14ac:dyDescent="0.25">
      <c r="A666" s="280" t="s">
        <v>1208</v>
      </c>
      <c r="B666" s="286">
        <v>442</v>
      </c>
      <c r="C666" s="286">
        <v>727.875</v>
      </c>
      <c r="D666" s="286">
        <v>1013.7500000000001</v>
      </c>
      <c r="E666" s="286">
        <v>1</v>
      </c>
      <c r="F666" s="281">
        <v>1</v>
      </c>
      <c r="G666" s="282">
        <v>80.489678562500004</v>
      </c>
      <c r="H666" s="282">
        <v>85.710125218749994</v>
      </c>
      <c r="I666" s="282">
        <v>87.189435412499989</v>
      </c>
      <c r="J666" s="282">
        <v>89.246873223333324</v>
      </c>
      <c r="K666" s="282">
        <v>86.539356441944449</v>
      </c>
      <c r="L666" s="282">
        <v>85.722546171527767</v>
      </c>
      <c r="M666" s="282">
        <v>86.876223149444442</v>
      </c>
      <c r="N666" s="282">
        <v>87.972914198611093</v>
      </c>
      <c r="O666" s="282">
        <v>88.729080766666655</v>
      </c>
      <c r="P666" s="282">
        <v>87.441921713333329</v>
      </c>
      <c r="Q666" s="282">
        <v>85.788595724791662</v>
      </c>
      <c r="R666" s="283">
        <v>83.842870029166662</v>
      </c>
      <c r="S666" s="284">
        <v>955.05994205006937</v>
      </c>
      <c r="T666" s="284">
        <v>521.28455961749989</v>
      </c>
      <c r="U666" s="296">
        <f t="shared" si="20"/>
        <v>37.270942050069152</v>
      </c>
      <c r="V666" s="296">
        <f t="shared" si="21"/>
        <v>21.490559617499912</v>
      </c>
      <c r="W666" s="287">
        <v>87</v>
      </c>
      <c r="X666" s="280">
        <v>85</v>
      </c>
      <c r="Y666" s="280">
        <v>84</v>
      </c>
      <c r="Z666" s="280">
        <v>82</v>
      </c>
      <c r="AA666" s="280">
        <v>79</v>
      </c>
      <c r="AB666" s="280">
        <v>78</v>
      </c>
      <c r="AC666" s="280">
        <v>78</v>
      </c>
      <c r="AD666" s="280">
        <v>79</v>
      </c>
      <c r="AE666" s="280">
        <v>78</v>
      </c>
      <c r="AF666" s="280">
        <v>76</v>
      </c>
      <c r="AG666" s="280">
        <v>74</v>
      </c>
      <c r="AH666" s="280">
        <v>74</v>
      </c>
    </row>
    <row r="667" spans="1:34" s="1" customFormat="1" ht="13" x14ac:dyDescent="0.25">
      <c r="A667" s="280" t="s">
        <v>1209</v>
      </c>
      <c r="B667" s="286">
        <v>442</v>
      </c>
      <c r="C667" s="286">
        <v>727.875</v>
      </c>
      <c r="D667" s="286">
        <v>1013.7500000000001</v>
      </c>
      <c r="E667" s="286">
        <v>1</v>
      </c>
      <c r="F667" s="281">
        <v>2</v>
      </c>
      <c r="G667" s="282">
        <v>80.489678562500004</v>
      </c>
      <c r="H667" s="282">
        <v>85.710125218749994</v>
      </c>
      <c r="I667" s="282">
        <v>87.634435412499997</v>
      </c>
      <c r="J667" s="282">
        <v>90.136873223333325</v>
      </c>
      <c r="K667" s="282">
        <v>87.874356441944443</v>
      </c>
      <c r="L667" s="282">
        <v>87.569921171527767</v>
      </c>
      <c r="M667" s="282">
        <v>89.235973149444433</v>
      </c>
      <c r="N667" s="282">
        <v>90.845039198611104</v>
      </c>
      <c r="O667" s="282">
        <v>92.173612016666652</v>
      </c>
      <c r="P667" s="282">
        <v>91.458859213333326</v>
      </c>
      <c r="Q667" s="282">
        <v>90.37793947479166</v>
      </c>
      <c r="R667" s="283">
        <v>89.004620029166659</v>
      </c>
      <c r="S667" s="284">
        <v>982.02175455006932</v>
      </c>
      <c r="T667" s="284">
        <v>528.16168461749999</v>
      </c>
      <c r="U667" s="296">
        <f t="shared" si="20"/>
        <v>64.232754550069103</v>
      </c>
      <c r="V667" s="296">
        <f t="shared" si="21"/>
        <v>28.367684617500004</v>
      </c>
      <c r="W667" s="287">
        <v>87</v>
      </c>
      <c r="X667" s="280">
        <v>85</v>
      </c>
      <c r="Y667" s="280">
        <v>85</v>
      </c>
      <c r="Z667" s="280">
        <v>84</v>
      </c>
      <c r="AA667" s="280">
        <v>82</v>
      </c>
      <c r="AB667" s="280">
        <v>82</v>
      </c>
      <c r="AC667" s="280">
        <v>83</v>
      </c>
      <c r="AD667" s="280">
        <v>85</v>
      </c>
      <c r="AE667" s="280">
        <v>85</v>
      </c>
      <c r="AF667" s="280">
        <v>84</v>
      </c>
      <c r="AG667" s="280">
        <v>83</v>
      </c>
      <c r="AH667" s="280">
        <v>84</v>
      </c>
    </row>
    <row r="668" spans="1:34" s="1" customFormat="1" ht="13" x14ac:dyDescent="0.25">
      <c r="A668" s="280" t="s">
        <v>1210</v>
      </c>
      <c r="B668" s="286">
        <v>442</v>
      </c>
      <c r="C668" s="286">
        <v>727.875</v>
      </c>
      <c r="D668" s="286">
        <v>1013.7500000000001</v>
      </c>
      <c r="E668" s="286">
        <v>1</v>
      </c>
      <c r="F668" s="281">
        <v>3</v>
      </c>
      <c r="G668" s="282">
        <v>80.489678562500004</v>
      </c>
      <c r="H668" s="282">
        <v>85.710125218749994</v>
      </c>
      <c r="I668" s="282">
        <v>88.07943541249999</v>
      </c>
      <c r="J668" s="282">
        <v>91.026873223333325</v>
      </c>
      <c r="K668" s="282">
        <v>89.209356441944465</v>
      </c>
      <c r="L668" s="282">
        <v>89.417296171527767</v>
      </c>
      <c r="M668" s="282">
        <v>91.595723149444439</v>
      </c>
      <c r="N668" s="282">
        <v>93.717164198611101</v>
      </c>
      <c r="O668" s="282">
        <v>95.618143266666664</v>
      </c>
      <c r="P668" s="282">
        <v>95.475796713333338</v>
      </c>
      <c r="Q668" s="282">
        <v>94.967283224791657</v>
      </c>
      <c r="R668" s="283">
        <v>94.166370029166657</v>
      </c>
      <c r="S668" s="284">
        <v>1008.9835670500694</v>
      </c>
      <c r="T668" s="284">
        <v>535.03880961749996</v>
      </c>
      <c r="U668" s="296">
        <f t="shared" si="20"/>
        <v>91.194567050069168</v>
      </c>
      <c r="V668" s="296">
        <f t="shared" si="21"/>
        <v>35.244809617499982</v>
      </c>
      <c r="W668" s="287">
        <v>87</v>
      </c>
      <c r="X668" s="280">
        <v>85</v>
      </c>
      <c r="Y668" s="280">
        <v>86</v>
      </c>
      <c r="Z668" s="280">
        <v>86</v>
      </c>
      <c r="AA668" s="280">
        <v>85</v>
      </c>
      <c r="AB668" s="280">
        <v>86</v>
      </c>
      <c r="AC668" s="280">
        <v>88</v>
      </c>
      <c r="AD668" s="280">
        <v>91</v>
      </c>
      <c r="AE668" s="280">
        <v>92</v>
      </c>
      <c r="AF668" s="280">
        <v>92</v>
      </c>
      <c r="AG668" s="280">
        <v>92</v>
      </c>
      <c r="AH668" s="280">
        <v>94</v>
      </c>
    </row>
    <row r="669" spans="1:34" s="1" customFormat="1" ht="13" x14ac:dyDescent="0.25">
      <c r="A669" s="280" t="s">
        <v>1211</v>
      </c>
      <c r="B669" s="286">
        <v>442</v>
      </c>
      <c r="C669" s="286">
        <v>727.875</v>
      </c>
      <c r="D669" s="286">
        <v>1013.7500000000001</v>
      </c>
      <c r="E669" s="286">
        <v>1</v>
      </c>
      <c r="F669" s="281">
        <v>4</v>
      </c>
      <c r="G669" s="282">
        <v>80.489678562500004</v>
      </c>
      <c r="H669" s="282">
        <v>85.710125218749994</v>
      </c>
      <c r="I669" s="282">
        <v>88.524435412499997</v>
      </c>
      <c r="J669" s="282">
        <v>91.916873223333326</v>
      </c>
      <c r="K669" s="282">
        <v>90.544356441944458</v>
      </c>
      <c r="L669" s="282">
        <v>91.264671171527766</v>
      </c>
      <c r="M669" s="282">
        <v>93.955473149444444</v>
      </c>
      <c r="N669" s="282">
        <v>96.589289198611098</v>
      </c>
      <c r="O669" s="282">
        <v>99.062674516666661</v>
      </c>
      <c r="P669" s="282">
        <v>99.492734213333335</v>
      </c>
      <c r="Q669" s="282">
        <v>99.556626974791669</v>
      </c>
      <c r="R669" s="283">
        <v>99.328120029166655</v>
      </c>
      <c r="S669" s="284">
        <v>1035.9453795500694</v>
      </c>
      <c r="T669" s="284">
        <v>541.91593461749994</v>
      </c>
      <c r="U669" s="296">
        <f t="shared" si="20"/>
        <v>118.15637955006923</v>
      </c>
      <c r="V669" s="296">
        <f t="shared" si="21"/>
        <v>42.12193461749996</v>
      </c>
      <c r="W669" s="287">
        <v>87</v>
      </c>
      <c r="X669" s="280">
        <v>85</v>
      </c>
      <c r="Y669" s="280">
        <v>87</v>
      </c>
      <c r="Z669" s="280">
        <v>88</v>
      </c>
      <c r="AA669" s="280">
        <v>88</v>
      </c>
      <c r="AB669" s="280">
        <v>90</v>
      </c>
      <c r="AC669" s="280">
        <v>93</v>
      </c>
      <c r="AD669" s="280">
        <v>97</v>
      </c>
      <c r="AE669" s="280">
        <v>99</v>
      </c>
      <c r="AF669" s="280">
        <v>100</v>
      </c>
      <c r="AG669" s="280">
        <v>101</v>
      </c>
      <c r="AH669" s="280">
        <v>104</v>
      </c>
    </row>
    <row r="670" spans="1:34" s="1" customFormat="1" ht="13" x14ac:dyDescent="0.25">
      <c r="A670" s="280" t="s">
        <v>1212</v>
      </c>
      <c r="B670" s="286">
        <v>442</v>
      </c>
      <c r="C670" s="286">
        <v>727.875</v>
      </c>
      <c r="D670" s="286">
        <v>1013.7500000000001</v>
      </c>
      <c r="E670" s="286">
        <v>1</v>
      </c>
      <c r="F670" s="281">
        <v>5</v>
      </c>
      <c r="G670" s="282">
        <v>80.489678562500004</v>
      </c>
      <c r="H670" s="282">
        <v>85.710125218749994</v>
      </c>
      <c r="I670" s="282">
        <v>88.96943541249999</v>
      </c>
      <c r="J670" s="282">
        <v>92.806873223333326</v>
      </c>
      <c r="K670" s="282">
        <v>91.879356441944466</v>
      </c>
      <c r="L670" s="282">
        <v>93.112046171527766</v>
      </c>
      <c r="M670" s="282">
        <v>96.315223149444435</v>
      </c>
      <c r="N670" s="282">
        <v>99.461414198611095</v>
      </c>
      <c r="O670" s="282">
        <v>102.50720576666666</v>
      </c>
      <c r="P670" s="282">
        <v>103.50967171333333</v>
      </c>
      <c r="Q670" s="282">
        <v>104.14597072479167</v>
      </c>
      <c r="R670" s="283">
        <v>104.48987002916665</v>
      </c>
      <c r="S670" s="284">
        <v>1062.9071920500694</v>
      </c>
      <c r="T670" s="284">
        <v>548.79305961750003</v>
      </c>
      <c r="U670" s="296">
        <f t="shared" si="20"/>
        <v>145.11819205006918</v>
      </c>
      <c r="V670" s="296">
        <f t="shared" si="21"/>
        <v>48.999059617500052</v>
      </c>
      <c r="W670" s="287">
        <v>87</v>
      </c>
      <c r="X670" s="280">
        <v>85</v>
      </c>
      <c r="Y670" s="280">
        <v>88</v>
      </c>
      <c r="Z670" s="280">
        <v>90</v>
      </c>
      <c r="AA670" s="280">
        <v>91</v>
      </c>
      <c r="AB670" s="280">
        <v>94</v>
      </c>
      <c r="AC670" s="280">
        <v>98</v>
      </c>
      <c r="AD670" s="280">
        <v>103</v>
      </c>
      <c r="AE670" s="280">
        <v>106</v>
      </c>
      <c r="AF670" s="280">
        <v>108</v>
      </c>
      <c r="AG670" s="280">
        <v>110</v>
      </c>
      <c r="AH670" s="280">
        <v>114</v>
      </c>
    </row>
    <row r="671" spans="1:34" s="1" customFormat="1" ht="13" x14ac:dyDescent="0.25">
      <c r="A671" s="280" t="s">
        <v>1213</v>
      </c>
      <c r="B671" s="286">
        <v>442</v>
      </c>
      <c r="C671" s="286">
        <v>727.875</v>
      </c>
      <c r="D671" s="286">
        <v>1013.7500000000001</v>
      </c>
      <c r="E671" s="286">
        <v>2</v>
      </c>
      <c r="F671" s="281">
        <v>0</v>
      </c>
      <c r="G671" s="282">
        <v>80.489678562500004</v>
      </c>
      <c r="H671" s="282">
        <v>84.117593393749999</v>
      </c>
      <c r="I671" s="282">
        <v>85.323871287499998</v>
      </c>
      <c r="J671" s="282">
        <v>87.046688473333333</v>
      </c>
      <c r="K671" s="282">
        <v>84.243915441944452</v>
      </c>
      <c r="L671" s="282">
        <v>83.471421171527766</v>
      </c>
      <c r="M671" s="282">
        <v>84.063087732777788</v>
      </c>
      <c r="N671" s="282">
        <v>84.613914198611113</v>
      </c>
      <c r="O671" s="282">
        <v>84.605487016666657</v>
      </c>
      <c r="P671" s="282">
        <v>82.938109213333334</v>
      </c>
      <c r="Q671" s="282">
        <v>80.673939474791652</v>
      </c>
      <c r="R671" s="283">
        <v>78.053307529166659</v>
      </c>
      <c r="S671" s="284">
        <v>919.15133493340272</v>
      </c>
      <c r="T671" s="284">
        <v>508.26657750083336</v>
      </c>
      <c r="U671" s="296">
        <f t="shared" si="20"/>
        <v>1.3623349334025079</v>
      </c>
      <c r="V671" s="296">
        <f t="shared" si="21"/>
        <v>8.4725775008333812</v>
      </c>
      <c r="W671" s="287">
        <v>87</v>
      </c>
      <c r="X671" s="280">
        <v>85</v>
      </c>
      <c r="Y671" s="280">
        <v>83</v>
      </c>
      <c r="Z671" s="280">
        <v>80</v>
      </c>
      <c r="AA671" s="280">
        <v>76</v>
      </c>
      <c r="AB671" s="280">
        <v>74</v>
      </c>
      <c r="AC671" s="280">
        <v>73</v>
      </c>
      <c r="AD671" s="280">
        <v>73</v>
      </c>
      <c r="AE671" s="280">
        <v>71</v>
      </c>
      <c r="AF671" s="280">
        <v>68</v>
      </c>
      <c r="AG671" s="280">
        <v>65</v>
      </c>
      <c r="AH671" s="280">
        <v>64</v>
      </c>
    </row>
    <row r="672" spans="1:34" s="1" customFormat="1" ht="13" x14ac:dyDescent="0.25">
      <c r="A672" s="280" t="s">
        <v>1214</v>
      </c>
      <c r="B672" s="286">
        <v>442</v>
      </c>
      <c r="C672" s="286">
        <v>727.875</v>
      </c>
      <c r="D672" s="286">
        <v>1013.7500000000001</v>
      </c>
      <c r="E672" s="286">
        <v>2</v>
      </c>
      <c r="F672" s="281">
        <v>1</v>
      </c>
      <c r="G672" s="282">
        <v>80.489678562500004</v>
      </c>
      <c r="H672" s="282">
        <v>84.117593393749999</v>
      </c>
      <c r="I672" s="282">
        <v>85.768871287500005</v>
      </c>
      <c r="J672" s="282">
        <v>87.936688473333334</v>
      </c>
      <c r="K672" s="282">
        <v>85.57891544194446</v>
      </c>
      <c r="L672" s="282">
        <v>85.318796171527765</v>
      </c>
      <c r="M672" s="282">
        <v>86.422837732777779</v>
      </c>
      <c r="N672" s="282">
        <v>87.48603919861111</v>
      </c>
      <c r="O672" s="282">
        <v>88.050018266666655</v>
      </c>
      <c r="P672" s="282">
        <v>86.955046713333331</v>
      </c>
      <c r="Q672" s="282">
        <v>85.263283224791664</v>
      </c>
      <c r="R672" s="283">
        <v>83.215057529166657</v>
      </c>
      <c r="S672" s="284">
        <v>946.11314743340267</v>
      </c>
      <c r="T672" s="284">
        <v>515.14370250083334</v>
      </c>
      <c r="U672" s="296">
        <f t="shared" si="20"/>
        <v>28.324147433402459</v>
      </c>
      <c r="V672" s="296">
        <f t="shared" si="21"/>
        <v>15.349702500833359</v>
      </c>
      <c r="W672" s="287">
        <v>87</v>
      </c>
      <c r="X672" s="280">
        <v>85</v>
      </c>
      <c r="Y672" s="280">
        <v>84</v>
      </c>
      <c r="Z672" s="280">
        <v>82</v>
      </c>
      <c r="AA672" s="280">
        <v>79</v>
      </c>
      <c r="AB672" s="280">
        <v>78</v>
      </c>
      <c r="AC672" s="280">
        <v>78</v>
      </c>
      <c r="AD672" s="280">
        <v>79</v>
      </c>
      <c r="AE672" s="280">
        <v>78</v>
      </c>
      <c r="AF672" s="280">
        <v>76</v>
      </c>
      <c r="AG672" s="280">
        <v>74</v>
      </c>
      <c r="AH672" s="280">
        <v>74</v>
      </c>
    </row>
    <row r="673" spans="1:34" s="1" customFormat="1" ht="13" x14ac:dyDescent="0.25">
      <c r="A673" s="280" t="s">
        <v>1215</v>
      </c>
      <c r="B673" s="286">
        <v>442</v>
      </c>
      <c r="C673" s="286">
        <v>727.875</v>
      </c>
      <c r="D673" s="286">
        <v>1013.7500000000001</v>
      </c>
      <c r="E673" s="286">
        <v>2</v>
      </c>
      <c r="F673" s="281">
        <v>2</v>
      </c>
      <c r="G673" s="282">
        <v>80.489678562500004</v>
      </c>
      <c r="H673" s="282">
        <v>84.117593393749999</v>
      </c>
      <c r="I673" s="282">
        <v>86.213871287499998</v>
      </c>
      <c r="J673" s="282">
        <v>88.826688473333334</v>
      </c>
      <c r="K673" s="282">
        <v>86.913915441944454</v>
      </c>
      <c r="L673" s="282">
        <v>87.166171171527765</v>
      </c>
      <c r="M673" s="282">
        <v>88.782587732777785</v>
      </c>
      <c r="N673" s="282">
        <v>90.358164198611092</v>
      </c>
      <c r="O673" s="282">
        <v>91.494549516666652</v>
      </c>
      <c r="P673" s="282">
        <v>90.971984213333329</v>
      </c>
      <c r="Q673" s="282">
        <v>89.852626974791661</v>
      </c>
      <c r="R673" s="283">
        <v>88.376807529166655</v>
      </c>
      <c r="S673" s="284">
        <v>973.07495993340274</v>
      </c>
      <c r="T673" s="284">
        <v>522.02082750083332</v>
      </c>
      <c r="U673" s="296">
        <f t="shared" si="20"/>
        <v>55.285959933402523</v>
      </c>
      <c r="V673" s="296">
        <f t="shared" si="21"/>
        <v>22.226827500833338</v>
      </c>
      <c r="W673" s="287">
        <v>87</v>
      </c>
      <c r="X673" s="280">
        <v>85</v>
      </c>
      <c r="Y673" s="280">
        <v>85</v>
      </c>
      <c r="Z673" s="280">
        <v>84</v>
      </c>
      <c r="AA673" s="280">
        <v>82</v>
      </c>
      <c r="AB673" s="280">
        <v>82</v>
      </c>
      <c r="AC673" s="280">
        <v>83</v>
      </c>
      <c r="AD673" s="280">
        <v>85</v>
      </c>
      <c r="AE673" s="280">
        <v>85</v>
      </c>
      <c r="AF673" s="280">
        <v>84</v>
      </c>
      <c r="AG673" s="280">
        <v>83</v>
      </c>
      <c r="AH673" s="280">
        <v>84</v>
      </c>
    </row>
    <row r="674" spans="1:34" s="1" customFormat="1" ht="13" x14ac:dyDescent="0.25">
      <c r="A674" s="280" t="s">
        <v>1216</v>
      </c>
      <c r="B674" s="286">
        <v>442</v>
      </c>
      <c r="C674" s="286">
        <v>727.875</v>
      </c>
      <c r="D674" s="286">
        <v>1013.7500000000001</v>
      </c>
      <c r="E674" s="286">
        <v>2</v>
      </c>
      <c r="F674" s="281">
        <v>3</v>
      </c>
      <c r="G674" s="282">
        <v>80.489678562500004</v>
      </c>
      <c r="H674" s="282">
        <v>84.117593393749999</v>
      </c>
      <c r="I674" s="282">
        <v>86.658871287500006</v>
      </c>
      <c r="J674" s="282">
        <v>89.716688473333335</v>
      </c>
      <c r="K674" s="282">
        <v>88.248915441944447</v>
      </c>
      <c r="L674" s="282">
        <v>89.013546171527764</v>
      </c>
      <c r="M674" s="282">
        <v>91.142337732777776</v>
      </c>
      <c r="N674" s="282">
        <v>93.230289198611104</v>
      </c>
      <c r="O674" s="282">
        <v>94.939080766666663</v>
      </c>
      <c r="P674" s="282">
        <v>94.988921713333326</v>
      </c>
      <c r="Q674" s="282">
        <v>94.441970724791659</v>
      </c>
      <c r="R674" s="283">
        <v>93.538557529166653</v>
      </c>
      <c r="S674" s="284">
        <v>1000.0367724334026</v>
      </c>
      <c r="T674" s="284">
        <v>528.8979525008333</v>
      </c>
      <c r="U674" s="296">
        <f t="shared" si="20"/>
        <v>82.247772433402361</v>
      </c>
      <c r="V674" s="296">
        <f t="shared" si="21"/>
        <v>29.103952500833316</v>
      </c>
      <c r="W674" s="287">
        <v>87</v>
      </c>
      <c r="X674" s="280">
        <v>85</v>
      </c>
      <c r="Y674" s="280">
        <v>86</v>
      </c>
      <c r="Z674" s="280">
        <v>86</v>
      </c>
      <c r="AA674" s="280">
        <v>85</v>
      </c>
      <c r="AB674" s="280">
        <v>86</v>
      </c>
      <c r="AC674" s="280">
        <v>88</v>
      </c>
      <c r="AD674" s="280">
        <v>91</v>
      </c>
      <c r="AE674" s="280">
        <v>92</v>
      </c>
      <c r="AF674" s="280">
        <v>92</v>
      </c>
      <c r="AG674" s="280">
        <v>92</v>
      </c>
      <c r="AH674" s="280">
        <v>94</v>
      </c>
    </row>
    <row r="675" spans="1:34" s="1" customFormat="1" ht="13" x14ac:dyDescent="0.25">
      <c r="A675" s="280" t="s">
        <v>1217</v>
      </c>
      <c r="B675" s="286">
        <v>442</v>
      </c>
      <c r="C675" s="286">
        <v>727.875</v>
      </c>
      <c r="D675" s="286">
        <v>1013.7500000000001</v>
      </c>
      <c r="E675" s="286">
        <v>2</v>
      </c>
      <c r="F675" s="281">
        <v>4</v>
      </c>
      <c r="G675" s="282">
        <v>80.489678562500004</v>
      </c>
      <c r="H675" s="282">
        <v>84.117593393749999</v>
      </c>
      <c r="I675" s="282">
        <v>87.103871287499999</v>
      </c>
      <c r="J675" s="282">
        <v>90.606688473333321</v>
      </c>
      <c r="K675" s="282">
        <v>89.583915441944455</v>
      </c>
      <c r="L675" s="282">
        <v>90.860921171527764</v>
      </c>
      <c r="M675" s="282">
        <v>93.502087732777781</v>
      </c>
      <c r="N675" s="282">
        <v>96.1024141986111</v>
      </c>
      <c r="O675" s="282">
        <v>98.38361201666666</v>
      </c>
      <c r="P675" s="282">
        <v>99.005859213333338</v>
      </c>
      <c r="Q675" s="282">
        <v>99.031314474791671</v>
      </c>
      <c r="R675" s="283">
        <v>98.700307529166665</v>
      </c>
      <c r="S675" s="284">
        <v>1026.9985849334028</v>
      </c>
      <c r="T675" s="284">
        <v>535.77507750083328</v>
      </c>
      <c r="U675" s="296">
        <f t="shared" si="20"/>
        <v>109.20958493340254</v>
      </c>
      <c r="V675" s="296">
        <f t="shared" si="21"/>
        <v>35.981077500833294</v>
      </c>
      <c r="W675" s="287">
        <v>87</v>
      </c>
      <c r="X675" s="280">
        <v>85</v>
      </c>
      <c r="Y675" s="280">
        <v>87</v>
      </c>
      <c r="Z675" s="280">
        <v>88</v>
      </c>
      <c r="AA675" s="280">
        <v>88</v>
      </c>
      <c r="AB675" s="280">
        <v>90</v>
      </c>
      <c r="AC675" s="280">
        <v>93</v>
      </c>
      <c r="AD675" s="280">
        <v>97</v>
      </c>
      <c r="AE675" s="280">
        <v>99</v>
      </c>
      <c r="AF675" s="280">
        <v>100</v>
      </c>
      <c r="AG675" s="280">
        <v>101</v>
      </c>
      <c r="AH675" s="280">
        <v>104</v>
      </c>
    </row>
    <row r="676" spans="1:34" s="1" customFormat="1" ht="13" x14ac:dyDescent="0.25">
      <c r="A676" s="280" t="s">
        <v>1218</v>
      </c>
      <c r="B676" s="286">
        <v>442</v>
      </c>
      <c r="C676" s="286">
        <v>727.875</v>
      </c>
      <c r="D676" s="286">
        <v>1013.7500000000001</v>
      </c>
      <c r="E676" s="286">
        <v>2</v>
      </c>
      <c r="F676" s="281">
        <v>5</v>
      </c>
      <c r="G676" s="282">
        <v>80.489678562500004</v>
      </c>
      <c r="H676" s="282">
        <v>84.117593393749999</v>
      </c>
      <c r="I676" s="282">
        <v>87.548871287500006</v>
      </c>
      <c r="J676" s="282">
        <v>91.496688473333322</v>
      </c>
      <c r="K676" s="282">
        <v>90.918915441944449</v>
      </c>
      <c r="L676" s="282">
        <v>92.708296171527763</v>
      </c>
      <c r="M676" s="282">
        <v>95.861837732777786</v>
      </c>
      <c r="N676" s="282">
        <v>98.974539198611097</v>
      </c>
      <c r="O676" s="282">
        <v>101.82814326666666</v>
      </c>
      <c r="P676" s="282">
        <v>103.02279671333334</v>
      </c>
      <c r="Q676" s="282">
        <v>103.62065822479167</v>
      </c>
      <c r="R676" s="283">
        <v>103.86205752916666</v>
      </c>
      <c r="S676" s="284">
        <v>1053.9603974334027</v>
      </c>
      <c r="T676" s="284">
        <v>542.65220250083325</v>
      </c>
      <c r="U676" s="296">
        <f t="shared" si="20"/>
        <v>136.17139743340249</v>
      </c>
      <c r="V676" s="296">
        <f t="shared" si="21"/>
        <v>42.858202500833272</v>
      </c>
      <c r="W676" s="287">
        <v>87</v>
      </c>
      <c r="X676" s="280">
        <v>85</v>
      </c>
      <c r="Y676" s="280">
        <v>88</v>
      </c>
      <c r="Z676" s="280">
        <v>90</v>
      </c>
      <c r="AA676" s="280">
        <v>91</v>
      </c>
      <c r="AB676" s="280">
        <v>94</v>
      </c>
      <c r="AC676" s="280">
        <v>98</v>
      </c>
      <c r="AD676" s="280">
        <v>103</v>
      </c>
      <c r="AE676" s="280">
        <v>106</v>
      </c>
      <c r="AF676" s="280">
        <v>108</v>
      </c>
      <c r="AG676" s="280">
        <v>110</v>
      </c>
      <c r="AH676" s="280">
        <v>114</v>
      </c>
    </row>
    <row r="677" spans="1:34" s="1" customFormat="1" ht="13" x14ac:dyDescent="0.25">
      <c r="A677" s="280" t="s">
        <v>1219</v>
      </c>
      <c r="B677" s="286">
        <v>442</v>
      </c>
      <c r="C677" s="286">
        <v>727.875</v>
      </c>
      <c r="D677" s="286">
        <v>1013.7500000000001</v>
      </c>
      <c r="E677" s="286">
        <v>3</v>
      </c>
      <c r="F677" s="281">
        <v>0</v>
      </c>
      <c r="G677" s="282">
        <v>80.489678562500004</v>
      </c>
      <c r="H677" s="282">
        <v>83.459434477083335</v>
      </c>
      <c r="I677" s="282">
        <v>84.28283657916667</v>
      </c>
      <c r="J677" s="282">
        <v>86.136229223333331</v>
      </c>
      <c r="K677" s="282">
        <v>83.414834858611115</v>
      </c>
      <c r="L677" s="282">
        <v>82.890587838194421</v>
      </c>
      <c r="M677" s="282">
        <v>83.591160649444461</v>
      </c>
      <c r="N677" s="282">
        <v>84.161205865277779</v>
      </c>
      <c r="O677" s="282">
        <v>84.054549516666654</v>
      </c>
      <c r="P677" s="282">
        <v>82.323109213333339</v>
      </c>
      <c r="Q677" s="282">
        <v>80.174251974791645</v>
      </c>
      <c r="R677" s="283">
        <v>77.493828362499983</v>
      </c>
      <c r="S677" s="284">
        <v>911.98202855840282</v>
      </c>
      <c r="T677" s="284">
        <v>503.77508362583336</v>
      </c>
      <c r="U677" s="296">
        <f t="shared" si="20"/>
        <v>-5.8069714415973976</v>
      </c>
      <c r="V677" s="296">
        <f t="shared" si="21"/>
        <v>3.9810836258333779</v>
      </c>
      <c r="W677" s="287">
        <v>87</v>
      </c>
      <c r="X677" s="280">
        <v>85</v>
      </c>
      <c r="Y677" s="280">
        <v>83</v>
      </c>
      <c r="Z677" s="280">
        <v>80</v>
      </c>
      <c r="AA677" s="280">
        <v>76</v>
      </c>
      <c r="AB677" s="280">
        <v>74</v>
      </c>
      <c r="AC677" s="280">
        <v>73</v>
      </c>
      <c r="AD677" s="280">
        <v>73</v>
      </c>
      <c r="AE677" s="280">
        <v>71</v>
      </c>
      <c r="AF677" s="280">
        <v>68</v>
      </c>
      <c r="AG677" s="280">
        <v>65</v>
      </c>
      <c r="AH677" s="280">
        <v>64</v>
      </c>
    </row>
    <row r="678" spans="1:34" s="1" customFormat="1" ht="13" x14ac:dyDescent="0.25">
      <c r="A678" s="280" t="s">
        <v>1220</v>
      </c>
      <c r="B678" s="286">
        <v>442</v>
      </c>
      <c r="C678" s="286">
        <v>727.875</v>
      </c>
      <c r="D678" s="286">
        <v>1013.7500000000001</v>
      </c>
      <c r="E678" s="286">
        <v>3</v>
      </c>
      <c r="F678" s="281">
        <v>1</v>
      </c>
      <c r="G678" s="282">
        <v>80.489678562500004</v>
      </c>
      <c r="H678" s="282">
        <v>83.459434477083335</v>
      </c>
      <c r="I678" s="282">
        <v>84.727836579166677</v>
      </c>
      <c r="J678" s="282">
        <v>87.026229223333331</v>
      </c>
      <c r="K678" s="282">
        <v>84.749834858611109</v>
      </c>
      <c r="L678" s="282">
        <v>84.73796283819442</v>
      </c>
      <c r="M678" s="282">
        <v>85.950910649444452</v>
      </c>
      <c r="N678" s="282">
        <v>87.03333086527779</v>
      </c>
      <c r="O678" s="282">
        <v>87.499080766666651</v>
      </c>
      <c r="P678" s="282">
        <v>86.340046713333336</v>
      </c>
      <c r="Q678" s="282">
        <v>84.763595724791671</v>
      </c>
      <c r="R678" s="283">
        <v>82.655578362499995</v>
      </c>
      <c r="S678" s="284">
        <v>938.94384105840288</v>
      </c>
      <c r="T678" s="284">
        <v>510.65220862583334</v>
      </c>
      <c r="U678" s="296">
        <f t="shared" si="20"/>
        <v>21.154841058402667</v>
      </c>
      <c r="V678" s="296">
        <f t="shared" si="21"/>
        <v>10.858208625833356</v>
      </c>
      <c r="W678" s="287">
        <v>87</v>
      </c>
      <c r="X678" s="280">
        <v>85</v>
      </c>
      <c r="Y678" s="280">
        <v>84</v>
      </c>
      <c r="Z678" s="280">
        <v>82</v>
      </c>
      <c r="AA678" s="280">
        <v>79</v>
      </c>
      <c r="AB678" s="280">
        <v>78</v>
      </c>
      <c r="AC678" s="280">
        <v>78</v>
      </c>
      <c r="AD678" s="280">
        <v>79</v>
      </c>
      <c r="AE678" s="280">
        <v>78</v>
      </c>
      <c r="AF678" s="280">
        <v>76</v>
      </c>
      <c r="AG678" s="280">
        <v>74</v>
      </c>
      <c r="AH678" s="280">
        <v>74</v>
      </c>
    </row>
    <row r="679" spans="1:34" s="1" customFormat="1" ht="13" x14ac:dyDescent="0.25">
      <c r="A679" s="280" t="s">
        <v>1221</v>
      </c>
      <c r="B679" s="286">
        <v>442</v>
      </c>
      <c r="C679" s="286">
        <v>727.875</v>
      </c>
      <c r="D679" s="286">
        <v>1013.7500000000001</v>
      </c>
      <c r="E679" s="286">
        <v>3</v>
      </c>
      <c r="F679" s="281">
        <v>2</v>
      </c>
      <c r="G679" s="282">
        <v>80.489678562500004</v>
      </c>
      <c r="H679" s="282">
        <v>83.459434477083335</v>
      </c>
      <c r="I679" s="282">
        <v>85.17283657916667</v>
      </c>
      <c r="J679" s="282">
        <v>87.916229223333332</v>
      </c>
      <c r="K679" s="282">
        <v>86.084834858611117</v>
      </c>
      <c r="L679" s="282">
        <v>86.58533783819442</v>
      </c>
      <c r="M679" s="282">
        <v>88.310660649444458</v>
      </c>
      <c r="N679" s="282">
        <v>89.905455865277787</v>
      </c>
      <c r="O679" s="282">
        <v>90.943612016666663</v>
      </c>
      <c r="P679" s="282">
        <v>90.356984213333334</v>
      </c>
      <c r="Q679" s="282">
        <v>89.352939474791668</v>
      </c>
      <c r="R679" s="283">
        <v>87.817328362500007</v>
      </c>
      <c r="S679" s="284">
        <v>965.90565355840272</v>
      </c>
      <c r="T679" s="284">
        <v>517.52933362583326</v>
      </c>
      <c r="U679" s="296">
        <f t="shared" si="20"/>
        <v>48.116653558402504</v>
      </c>
      <c r="V679" s="296">
        <f t="shared" si="21"/>
        <v>17.735333625833277</v>
      </c>
      <c r="W679" s="287">
        <v>87</v>
      </c>
      <c r="X679" s="280">
        <v>85</v>
      </c>
      <c r="Y679" s="280">
        <v>85</v>
      </c>
      <c r="Z679" s="280">
        <v>84</v>
      </c>
      <c r="AA679" s="280">
        <v>82</v>
      </c>
      <c r="AB679" s="280">
        <v>82</v>
      </c>
      <c r="AC679" s="280">
        <v>83</v>
      </c>
      <c r="AD679" s="280">
        <v>85</v>
      </c>
      <c r="AE679" s="280">
        <v>85</v>
      </c>
      <c r="AF679" s="280">
        <v>84</v>
      </c>
      <c r="AG679" s="280">
        <v>83</v>
      </c>
      <c r="AH679" s="280">
        <v>84</v>
      </c>
    </row>
    <row r="680" spans="1:34" s="1" customFormat="1" ht="13" x14ac:dyDescent="0.25">
      <c r="A680" s="280" t="s">
        <v>1222</v>
      </c>
      <c r="B680" s="286">
        <v>442</v>
      </c>
      <c r="C680" s="286">
        <v>727.875</v>
      </c>
      <c r="D680" s="286">
        <v>1013.7500000000001</v>
      </c>
      <c r="E680" s="286">
        <v>3</v>
      </c>
      <c r="F680" s="281">
        <v>3</v>
      </c>
      <c r="G680" s="282">
        <v>80.489678562500004</v>
      </c>
      <c r="H680" s="282">
        <v>83.459434477083335</v>
      </c>
      <c r="I680" s="282">
        <v>85.617836579166678</v>
      </c>
      <c r="J680" s="282">
        <v>88.806229223333332</v>
      </c>
      <c r="K680" s="282">
        <v>87.419834858611111</v>
      </c>
      <c r="L680" s="282">
        <v>88.432712838194419</v>
      </c>
      <c r="M680" s="282">
        <v>90.670410649444463</v>
      </c>
      <c r="N680" s="282">
        <v>92.777580865277784</v>
      </c>
      <c r="O680" s="282">
        <v>94.38814326666666</v>
      </c>
      <c r="P680" s="282">
        <v>94.373921713333331</v>
      </c>
      <c r="Q680" s="282">
        <v>93.942283224791666</v>
      </c>
      <c r="R680" s="283">
        <v>92.979078362500005</v>
      </c>
      <c r="S680" s="284">
        <v>992.86746605840278</v>
      </c>
      <c r="T680" s="284">
        <v>524.40645862583335</v>
      </c>
      <c r="U680" s="296">
        <f t="shared" si="20"/>
        <v>75.078466058402569</v>
      </c>
      <c r="V680" s="296">
        <f t="shared" si="21"/>
        <v>24.612458625833369</v>
      </c>
      <c r="W680" s="287">
        <v>87</v>
      </c>
      <c r="X680" s="280">
        <v>85</v>
      </c>
      <c r="Y680" s="280">
        <v>86</v>
      </c>
      <c r="Z680" s="280">
        <v>86</v>
      </c>
      <c r="AA680" s="280">
        <v>85</v>
      </c>
      <c r="AB680" s="280">
        <v>86</v>
      </c>
      <c r="AC680" s="280">
        <v>88</v>
      </c>
      <c r="AD680" s="280">
        <v>91</v>
      </c>
      <c r="AE680" s="280">
        <v>92</v>
      </c>
      <c r="AF680" s="280">
        <v>92</v>
      </c>
      <c r="AG680" s="280">
        <v>92</v>
      </c>
      <c r="AH680" s="280">
        <v>94</v>
      </c>
    </row>
    <row r="681" spans="1:34" s="1" customFormat="1" ht="13" x14ac:dyDescent="0.25">
      <c r="A681" s="280" t="s">
        <v>1223</v>
      </c>
      <c r="B681" s="286">
        <v>442</v>
      </c>
      <c r="C681" s="286">
        <v>727.875</v>
      </c>
      <c r="D681" s="286">
        <v>1013.7500000000001</v>
      </c>
      <c r="E681" s="286">
        <v>3</v>
      </c>
      <c r="F681" s="281">
        <v>4</v>
      </c>
      <c r="G681" s="282">
        <v>80.489678562500004</v>
      </c>
      <c r="H681" s="282">
        <v>83.459434477083335</v>
      </c>
      <c r="I681" s="282">
        <v>86.062836579166671</v>
      </c>
      <c r="J681" s="282">
        <v>89.696229223333333</v>
      </c>
      <c r="K681" s="282">
        <v>88.754834858611119</v>
      </c>
      <c r="L681" s="282">
        <v>90.280087838194433</v>
      </c>
      <c r="M681" s="282">
        <v>93.030160649444468</v>
      </c>
      <c r="N681" s="282">
        <v>95.649705865277781</v>
      </c>
      <c r="O681" s="282">
        <v>97.832674516666657</v>
      </c>
      <c r="P681" s="282">
        <v>98.390859213333329</v>
      </c>
      <c r="Q681" s="282">
        <v>98.531626974791664</v>
      </c>
      <c r="R681" s="283">
        <v>98.140828362500002</v>
      </c>
      <c r="S681" s="284">
        <v>1019.8292785584027</v>
      </c>
      <c r="T681" s="284">
        <v>531.28358362583333</v>
      </c>
      <c r="U681" s="296">
        <f t="shared" si="20"/>
        <v>102.04027855840252</v>
      </c>
      <c r="V681" s="296">
        <f t="shared" si="21"/>
        <v>31.489583625833347</v>
      </c>
      <c r="W681" s="287">
        <v>87</v>
      </c>
      <c r="X681" s="280">
        <v>85</v>
      </c>
      <c r="Y681" s="280">
        <v>87</v>
      </c>
      <c r="Z681" s="280">
        <v>88</v>
      </c>
      <c r="AA681" s="280">
        <v>88</v>
      </c>
      <c r="AB681" s="280">
        <v>90</v>
      </c>
      <c r="AC681" s="280">
        <v>93</v>
      </c>
      <c r="AD681" s="280">
        <v>97</v>
      </c>
      <c r="AE681" s="280">
        <v>99</v>
      </c>
      <c r="AF681" s="280">
        <v>100</v>
      </c>
      <c r="AG681" s="280">
        <v>101</v>
      </c>
      <c r="AH681" s="280">
        <v>104</v>
      </c>
    </row>
    <row r="682" spans="1:34" s="1" customFormat="1" ht="13" x14ac:dyDescent="0.25">
      <c r="A682" s="280" t="s">
        <v>1224</v>
      </c>
      <c r="B682" s="286">
        <v>442</v>
      </c>
      <c r="C682" s="286">
        <v>727.875</v>
      </c>
      <c r="D682" s="286">
        <v>1013.7500000000001</v>
      </c>
      <c r="E682" s="286">
        <v>3</v>
      </c>
      <c r="F682" s="281">
        <v>5</v>
      </c>
      <c r="G682" s="282">
        <v>80.489678562500004</v>
      </c>
      <c r="H682" s="282">
        <v>83.459434477083335</v>
      </c>
      <c r="I682" s="282">
        <v>86.507836579166664</v>
      </c>
      <c r="J682" s="282">
        <v>90.586229223333333</v>
      </c>
      <c r="K682" s="282">
        <v>90.089834858611127</v>
      </c>
      <c r="L682" s="282">
        <v>92.127462838194432</v>
      </c>
      <c r="M682" s="282">
        <v>95.389910649444474</v>
      </c>
      <c r="N682" s="282">
        <v>98.521830865277792</v>
      </c>
      <c r="O682" s="282">
        <v>101.27720576666665</v>
      </c>
      <c r="P682" s="282">
        <v>102.40779671333333</v>
      </c>
      <c r="Q682" s="282">
        <v>103.12097072479166</v>
      </c>
      <c r="R682" s="283">
        <v>103.3025783625</v>
      </c>
      <c r="S682" s="284">
        <v>1046.7910910584028</v>
      </c>
      <c r="T682" s="284">
        <v>538.16070862583342</v>
      </c>
      <c r="U682" s="296">
        <f t="shared" si="20"/>
        <v>129.00209105840258</v>
      </c>
      <c r="V682" s="296">
        <f t="shared" si="21"/>
        <v>38.366708625833439</v>
      </c>
      <c r="W682" s="287">
        <v>87</v>
      </c>
      <c r="X682" s="280">
        <v>85</v>
      </c>
      <c r="Y682" s="280">
        <v>88</v>
      </c>
      <c r="Z682" s="280">
        <v>90</v>
      </c>
      <c r="AA682" s="280">
        <v>91</v>
      </c>
      <c r="AB682" s="280">
        <v>94</v>
      </c>
      <c r="AC682" s="280">
        <v>98</v>
      </c>
      <c r="AD682" s="280">
        <v>103</v>
      </c>
      <c r="AE682" s="280">
        <v>106</v>
      </c>
      <c r="AF682" s="280">
        <v>108</v>
      </c>
      <c r="AG682" s="280">
        <v>110</v>
      </c>
      <c r="AH682" s="280">
        <v>114</v>
      </c>
    </row>
    <row r="683" spans="1:34" s="1" customFormat="1" ht="13" x14ac:dyDescent="0.25">
      <c r="A683" s="280" t="s">
        <v>1225</v>
      </c>
      <c r="B683" s="286">
        <v>442</v>
      </c>
      <c r="C683" s="286">
        <v>727.875</v>
      </c>
      <c r="D683" s="286">
        <v>1013.7500000000001</v>
      </c>
      <c r="E683" s="286">
        <v>4</v>
      </c>
      <c r="F683" s="281">
        <v>0</v>
      </c>
      <c r="G683" s="282">
        <v>80.489678562500004</v>
      </c>
      <c r="H683" s="282">
        <v>83.082175193750004</v>
      </c>
      <c r="I683" s="282">
        <v>83.644034899999994</v>
      </c>
      <c r="J683" s="282">
        <v>85.300186973333311</v>
      </c>
      <c r="K683" s="282">
        <v>82.566302691944443</v>
      </c>
      <c r="L683" s="282">
        <v>82.228761588194445</v>
      </c>
      <c r="M683" s="282">
        <v>83.073322107777784</v>
      </c>
      <c r="N683" s="282">
        <v>83.742664198611109</v>
      </c>
      <c r="O683" s="282">
        <v>83.561268266666659</v>
      </c>
      <c r="P683" s="282">
        <v>81.772171713333336</v>
      </c>
      <c r="Q683" s="282">
        <v>79.584876974791655</v>
      </c>
      <c r="R683" s="283">
        <v>76.97065127916666</v>
      </c>
      <c r="S683" s="284">
        <v>905.52641588756944</v>
      </c>
      <c r="T683" s="284">
        <v>499.89478345500004</v>
      </c>
      <c r="U683" s="296">
        <f t="shared" si="20"/>
        <v>-12.262584112430773</v>
      </c>
      <c r="V683" s="296">
        <f t="shared" si="21"/>
        <v>0.10078345500005526</v>
      </c>
      <c r="W683" s="287">
        <v>87</v>
      </c>
      <c r="X683" s="280">
        <v>85</v>
      </c>
      <c r="Y683" s="280">
        <v>83</v>
      </c>
      <c r="Z683" s="280">
        <v>80</v>
      </c>
      <c r="AA683" s="280">
        <v>76</v>
      </c>
      <c r="AB683" s="280">
        <v>74</v>
      </c>
      <c r="AC683" s="280">
        <v>73</v>
      </c>
      <c r="AD683" s="280">
        <v>73</v>
      </c>
      <c r="AE683" s="280">
        <v>71</v>
      </c>
      <c r="AF683" s="280">
        <v>68</v>
      </c>
      <c r="AG683" s="280">
        <v>65</v>
      </c>
      <c r="AH683" s="280">
        <v>64</v>
      </c>
    </row>
    <row r="684" spans="1:34" s="1" customFormat="1" ht="13" x14ac:dyDescent="0.25">
      <c r="A684" s="280" t="s">
        <v>1226</v>
      </c>
      <c r="B684" s="286">
        <v>442</v>
      </c>
      <c r="C684" s="286">
        <v>727.875</v>
      </c>
      <c r="D684" s="286">
        <v>1013.7500000000001</v>
      </c>
      <c r="E684" s="286">
        <v>4</v>
      </c>
      <c r="F684" s="281">
        <v>1</v>
      </c>
      <c r="G684" s="282">
        <v>80.489678562500004</v>
      </c>
      <c r="H684" s="282">
        <v>83.082175193750004</v>
      </c>
      <c r="I684" s="282">
        <v>84.089034900000001</v>
      </c>
      <c r="J684" s="282">
        <v>86.190186973333326</v>
      </c>
      <c r="K684" s="282">
        <v>83.901302691944451</v>
      </c>
      <c r="L684" s="282">
        <v>84.076136588194444</v>
      </c>
      <c r="M684" s="282">
        <v>85.433072107777789</v>
      </c>
      <c r="N684" s="282">
        <v>86.61478919861112</v>
      </c>
      <c r="O684" s="282">
        <v>87.005799516666656</v>
      </c>
      <c r="P684" s="282">
        <v>85.789109213333333</v>
      </c>
      <c r="Q684" s="282">
        <v>84.174220724791667</v>
      </c>
      <c r="R684" s="283">
        <v>82.132401279166658</v>
      </c>
      <c r="S684" s="284">
        <v>932.48822838756939</v>
      </c>
      <c r="T684" s="284">
        <v>506.77190845500002</v>
      </c>
      <c r="U684" s="296">
        <f t="shared" si="20"/>
        <v>14.699228387569178</v>
      </c>
      <c r="V684" s="296">
        <f t="shared" si="21"/>
        <v>6.9779084550000334</v>
      </c>
      <c r="W684" s="287">
        <v>87</v>
      </c>
      <c r="X684" s="280">
        <v>85</v>
      </c>
      <c r="Y684" s="280">
        <v>84</v>
      </c>
      <c r="Z684" s="280">
        <v>82</v>
      </c>
      <c r="AA684" s="280">
        <v>79</v>
      </c>
      <c r="AB684" s="280">
        <v>78</v>
      </c>
      <c r="AC684" s="280">
        <v>78</v>
      </c>
      <c r="AD684" s="280">
        <v>79</v>
      </c>
      <c r="AE684" s="280">
        <v>78</v>
      </c>
      <c r="AF684" s="280">
        <v>76</v>
      </c>
      <c r="AG684" s="280">
        <v>74</v>
      </c>
      <c r="AH684" s="280">
        <v>74</v>
      </c>
    </row>
    <row r="685" spans="1:34" s="1" customFormat="1" ht="13" x14ac:dyDescent="0.25">
      <c r="A685" s="280" t="s">
        <v>1227</v>
      </c>
      <c r="B685" s="286">
        <v>442</v>
      </c>
      <c r="C685" s="286">
        <v>727.875</v>
      </c>
      <c r="D685" s="286">
        <v>1013.7500000000001</v>
      </c>
      <c r="E685" s="286">
        <v>4</v>
      </c>
      <c r="F685" s="281">
        <v>2</v>
      </c>
      <c r="G685" s="282">
        <v>80.489678562500004</v>
      </c>
      <c r="H685" s="282">
        <v>83.082175193750004</v>
      </c>
      <c r="I685" s="282">
        <v>84.534034899999995</v>
      </c>
      <c r="J685" s="282">
        <v>87.080186973333326</v>
      </c>
      <c r="K685" s="282">
        <v>85.236302691944459</v>
      </c>
      <c r="L685" s="282">
        <v>85.923511588194444</v>
      </c>
      <c r="M685" s="282">
        <v>87.792822107777781</v>
      </c>
      <c r="N685" s="282">
        <v>89.486914198611103</v>
      </c>
      <c r="O685" s="282">
        <v>90.450330766666653</v>
      </c>
      <c r="P685" s="282">
        <v>89.80604671333333</v>
      </c>
      <c r="Q685" s="282">
        <v>88.763564474791664</v>
      </c>
      <c r="R685" s="283">
        <v>87.294151279166655</v>
      </c>
      <c r="S685" s="284">
        <v>959.45004088756934</v>
      </c>
      <c r="T685" s="284">
        <v>513.64903345499999</v>
      </c>
      <c r="U685" s="296">
        <f t="shared" si="20"/>
        <v>41.661040887569129</v>
      </c>
      <c r="V685" s="296">
        <f t="shared" si="21"/>
        <v>13.855033455000012</v>
      </c>
      <c r="W685" s="287">
        <v>87</v>
      </c>
      <c r="X685" s="280">
        <v>85</v>
      </c>
      <c r="Y685" s="280">
        <v>85</v>
      </c>
      <c r="Z685" s="280">
        <v>84</v>
      </c>
      <c r="AA685" s="280">
        <v>82</v>
      </c>
      <c r="AB685" s="280">
        <v>82</v>
      </c>
      <c r="AC685" s="280">
        <v>83</v>
      </c>
      <c r="AD685" s="280">
        <v>85</v>
      </c>
      <c r="AE685" s="280">
        <v>85</v>
      </c>
      <c r="AF685" s="280">
        <v>84</v>
      </c>
      <c r="AG685" s="280">
        <v>83</v>
      </c>
      <c r="AH685" s="280">
        <v>84</v>
      </c>
    </row>
    <row r="686" spans="1:34" s="1" customFormat="1" ht="13" x14ac:dyDescent="0.25">
      <c r="A686" s="280" t="s">
        <v>1228</v>
      </c>
      <c r="B686" s="286">
        <v>442</v>
      </c>
      <c r="C686" s="286">
        <v>727.875</v>
      </c>
      <c r="D686" s="286">
        <v>1013.7500000000001</v>
      </c>
      <c r="E686" s="286">
        <v>4</v>
      </c>
      <c r="F686" s="281">
        <v>3</v>
      </c>
      <c r="G686" s="282">
        <v>80.489678562500004</v>
      </c>
      <c r="H686" s="282">
        <v>83.082175193750004</v>
      </c>
      <c r="I686" s="282">
        <v>84.979034900000002</v>
      </c>
      <c r="J686" s="282">
        <v>87.970186973333327</v>
      </c>
      <c r="K686" s="282">
        <v>86.571302691944453</v>
      </c>
      <c r="L686" s="282">
        <v>87.770886588194443</v>
      </c>
      <c r="M686" s="282">
        <v>90.152572107777786</v>
      </c>
      <c r="N686" s="282">
        <v>92.3590391986111</v>
      </c>
      <c r="O686" s="282">
        <v>93.89486201666665</v>
      </c>
      <c r="P686" s="282">
        <v>93.822984213333328</v>
      </c>
      <c r="Q686" s="282">
        <v>93.352908224791662</v>
      </c>
      <c r="R686" s="283">
        <v>92.455901279166653</v>
      </c>
      <c r="S686" s="284">
        <v>986.41185338756941</v>
      </c>
      <c r="T686" s="284">
        <v>520.52615845500009</v>
      </c>
      <c r="U686" s="296">
        <f t="shared" si="20"/>
        <v>68.622853387569194</v>
      </c>
      <c r="V686" s="296">
        <f t="shared" si="21"/>
        <v>20.732158455000103</v>
      </c>
      <c r="W686" s="287">
        <v>87</v>
      </c>
      <c r="X686" s="280">
        <v>85</v>
      </c>
      <c r="Y686" s="280">
        <v>86</v>
      </c>
      <c r="Z686" s="280">
        <v>86</v>
      </c>
      <c r="AA686" s="280">
        <v>85</v>
      </c>
      <c r="AB686" s="280">
        <v>86</v>
      </c>
      <c r="AC686" s="280">
        <v>88</v>
      </c>
      <c r="AD686" s="280">
        <v>91</v>
      </c>
      <c r="AE686" s="280">
        <v>92</v>
      </c>
      <c r="AF686" s="280">
        <v>92</v>
      </c>
      <c r="AG686" s="280">
        <v>92</v>
      </c>
      <c r="AH686" s="280">
        <v>94</v>
      </c>
    </row>
    <row r="687" spans="1:34" s="1" customFormat="1" ht="13" x14ac:dyDescent="0.25">
      <c r="A687" s="280" t="s">
        <v>1229</v>
      </c>
      <c r="B687" s="286">
        <v>442</v>
      </c>
      <c r="C687" s="286">
        <v>727.875</v>
      </c>
      <c r="D687" s="286">
        <v>1013.7500000000001</v>
      </c>
      <c r="E687" s="286">
        <v>4</v>
      </c>
      <c r="F687" s="281">
        <v>4</v>
      </c>
      <c r="G687" s="282">
        <v>80.489678562500004</v>
      </c>
      <c r="H687" s="282">
        <v>83.082175193750004</v>
      </c>
      <c r="I687" s="282">
        <v>85.424034899999995</v>
      </c>
      <c r="J687" s="282">
        <v>88.860186973333327</v>
      </c>
      <c r="K687" s="282">
        <v>87.906302691944461</v>
      </c>
      <c r="L687" s="282">
        <v>89.618261588194443</v>
      </c>
      <c r="M687" s="282">
        <v>92.512322107777777</v>
      </c>
      <c r="N687" s="282">
        <v>95.231164198611097</v>
      </c>
      <c r="O687" s="282">
        <v>97.339393266666661</v>
      </c>
      <c r="P687" s="282">
        <v>97.839921713333339</v>
      </c>
      <c r="Q687" s="282">
        <v>97.94225197479166</v>
      </c>
      <c r="R687" s="283">
        <v>97.617651279166665</v>
      </c>
      <c r="S687" s="284">
        <v>1013.3736658875695</v>
      </c>
      <c r="T687" s="284">
        <v>527.40328345500006</v>
      </c>
      <c r="U687" s="296">
        <f t="shared" si="20"/>
        <v>95.584665887569258</v>
      </c>
      <c r="V687" s="296">
        <f t="shared" si="21"/>
        <v>27.609283455000082</v>
      </c>
      <c r="W687" s="287">
        <v>87</v>
      </c>
      <c r="X687" s="280">
        <v>85</v>
      </c>
      <c r="Y687" s="280">
        <v>87</v>
      </c>
      <c r="Z687" s="280">
        <v>88</v>
      </c>
      <c r="AA687" s="280">
        <v>88</v>
      </c>
      <c r="AB687" s="280">
        <v>90</v>
      </c>
      <c r="AC687" s="280">
        <v>93</v>
      </c>
      <c r="AD687" s="280">
        <v>97</v>
      </c>
      <c r="AE687" s="280">
        <v>99</v>
      </c>
      <c r="AF687" s="280">
        <v>100</v>
      </c>
      <c r="AG687" s="280">
        <v>101</v>
      </c>
      <c r="AH687" s="280">
        <v>104</v>
      </c>
    </row>
    <row r="688" spans="1:34" s="1" customFormat="1" ht="13" x14ac:dyDescent="0.25">
      <c r="A688" s="280" t="s">
        <v>1230</v>
      </c>
      <c r="B688" s="286">
        <v>442</v>
      </c>
      <c r="C688" s="286">
        <v>727.875</v>
      </c>
      <c r="D688" s="286">
        <v>1013.7500000000001</v>
      </c>
      <c r="E688" s="286">
        <v>4</v>
      </c>
      <c r="F688" s="281">
        <v>5</v>
      </c>
      <c r="G688" s="282">
        <v>80.489678562500004</v>
      </c>
      <c r="H688" s="282">
        <v>83.082175193750004</v>
      </c>
      <c r="I688" s="282">
        <v>85.869034900000003</v>
      </c>
      <c r="J688" s="282">
        <v>89.750186973333328</v>
      </c>
      <c r="K688" s="282">
        <v>89.241302691944455</v>
      </c>
      <c r="L688" s="282">
        <v>91.465636588194442</v>
      </c>
      <c r="M688" s="282">
        <v>94.872072107777782</v>
      </c>
      <c r="N688" s="282">
        <v>98.103289198611094</v>
      </c>
      <c r="O688" s="282">
        <v>100.78392451666666</v>
      </c>
      <c r="P688" s="282">
        <v>101.85685921333334</v>
      </c>
      <c r="Q688" s="282">
        <v>102.53159572479166</v>
      </c>
      <c r="R688" s="283">
        <v>102.77940127916666</v>
      </c>
      <c r="S688" s="284">
        <v>1040.3354783875693</v>
      </c>
      <c r="T688" s="284">
        <v>534.28040845500004</v>
      </c>
      <c r="U688" s="296">
        <f t="shared" si="20"/>
        <v>122.5464783875691</v>
      </c>
      <c r="V688" s="296">
        <f t="shared" si="21"/>
        <v>34.48640845500006</v>
      </c>
      <c r="W688" s="287">
        <v>87</v>
      </c>
      <c r="X688" s="280">
        <v>85</v>
      </c>
      <c r="Y688" s="280">
        <v>88</v>
      </c>
      <c r="Z688" s="280">
        <v>90</v>
      </c>
      <c r="AA688" s="280">
        <v>91</v>
      </c>
      <c r="AB688" s="280">
        <v>94</v>
      </c>
      <c r="AC688" s="280">
        <v>98</v>
      </c>
      <c r="AD688" s="280">
        <v>103</v>
      </c>
      <c r="AE688" s="280">
        <v>106</v>
      </c>
      <c r="AF688" s="280">
        <v>108</v>
      </c>
      <c r="AG688" s="280">
        <v>110</v>
      </c>
      <c r="AH688" s="280">
        <v>114</v>
      </c>
    </row>
    <row r="689" spans="1:34" s="1" customFormat="1" ht="13" x14ac:dyDescent="0.25">
      <c r="A689" s="280" t="s">
        <v>1231</v>
      </c>
      <c r="B689" s="286">
        <v>442</v>
      </c>
      <c r="C689" s="286">
        <v>727.875</v>
      </c>
      <c r="D689" s="286">
        <v>1013.7500000000001</v>
      </c>
      <c r="E689" s="286">
        <v>5</v>
      </c>
      <c r="F689" s="281">
        <v>0</v>
      </c>
      <c r="G689" s="282">
        <v>80.489678562500004</v>
      </c>
      <c r="H689" s="282">
        <v>82.848987693750004</v>
      </c>
      <c r="I689" s="282">
        <v>83.229847337500004</v>
      </c>
      <c r="J689" s="282">
        <v>84.733727223333318</v>
      </c>
      <c r="K689" s="282">
        <v>81.790479191944442</v>
      </c>
      <c r="L689" s="282">
        <v>81.504330588194435</v>
      </c>
      <c r="M689" s="282">
        <v>82.540084732777771</v>
      </c>
      <c r="N689" s="282">
        <v>83.266039198611111</v>
      </c>
      <c r="O689" s="282">
        <v>83.111549516666656</v>
      </c>
      <c r="P689" s="282">
        <v>81.267359213333336</v>
      </c>
      <c r="Q689" s="282">
        <v>79.036501974791648</v>
      </c>
      <c r="R689" s="283">
        <v>76.385120029166657</v>
      </c>
      <c r="S689" s="284">
        <v>899.71402670006921</v>
      </c>
      <c r="T689" s="284">
        <v>496.64745676749993</v>
      </c>
      <c r="U689" s="296">
        <f t="shared" si="20"/>
        <v>-18.074973299931003</v>
      </c>
      <c r="V689" s="296">
        <f t="shared" si="21"/>
        <v>-3.1465432325000506</v>
      </c>
      <c r="W689" s="287">
        <v>87</v>
      </c>
      <c r="X689" s="280">
        <v>85</v>
      </c>
      <c r="Y689" s="280">
        <v>83</v>
      </c>
      <c r="Z689" s="280">
        <v>80</v>
      </c>
      <c r="AA689" s="280">
        <v>76</v>
      </c>
      <c r="AB689" s="280">
        <v>74</v>
      </c>
      <c r="AC689" s="280">
        <v>73</v>
      </c>
      <c r="AD689" s="280">
        <v>73</v>
      </c>
      <c r="AE689" s="280">
        <v>71</v>
      </c>
      <c r="AF689" s="280">
        <v>68</v>
      </c>
      <c r="AG689" s="280">
        <v>65</v>
      </c>
      <c r="AH689" s="280">
        <v>64</v>
      </c>
    </row>
    <row r="690" spans="1:34" s="1" customFormat="1" ht="13" x14ac:dyDescent="0.25">
      <c r="A690" s="280" t="s">
        <v>1232</v>
      </c>
      <c r="B690" s="286">
        <v>442</v>
      </c>
      <c r="C690" s="286">
        <v>727.875</v>
      </c>
      <c r="D690" s="286">
        <v>1013.7500000000001</v>
      </c>
      <c r="E690" s="286">
        <v>5</v>
      </c>
      <c r="F690" s="281">
        <v>1</v>
      </c>
      <c r="G690" s="282">
        <v>80.489678562500004</v>
      </c>
      <c r="H690" s="282">
        <v>82.848987693750004</v>
      </c>
      <c r="I690" s="282">
        <v>83.674847337499997</v>
      </c>
      <c r="J690" s="282">
        <v>85.623727223333333</v>
      </c>
      <c r="K690" s="282">
        <v>83.12547919194445</v>
      </c>
      <c r="L690" s="282">
        <v>83.351705588194449</v>
      </c>
      <c r="M690" s="282">
        <v>84.899834732777791</v>
      </c>
      <c r="N690" s="282">
        <v>86.138164198611108</v>
      </c>
      <c r="O690" s="282">
        <v>86.556080766666653</v>
      </c>
      <c r="P690" s="282">
        <v>85.284296713333333</v>
      </c>
      <c r="Q690" s="282">
        <v>83.62584572479166</v>
      </c>
      <c r="R690" s="283">
        <v>81.546870029166655</v>
      </c>
      <c r="S690" s="284">
        <v>926.6758392000695</v>
      </c>
      <c r="T690" s="284">
        <v>503.52458176749997</v>
      </c>
      <c r="U690" s="296">
        <f t="shared" si="20"/>
        <v>8.8868392000692893</v>
      </c>
      <c r="V690" s="296">
        <f t="shared" si="21"/>
        <v>3.7305817674999844</v>
      </c>
      <c r="W690" s="287">
        <v>87</v>
      </c>
      <c r="X690" s="280">
        <v>85</v>
      </c>
      <c r="Y690" s="280">
        <v>84</v>
      </c>
      <c r="Z690" s="280">
        <v>82</v>
      </c>
      <c r="AA690" s="280">
        <v>79</v>
      </c>
      <c r="AB690" s="280">
        <v>78</v>
      </c>
      <c r="AC690" s="280">
        <v>78</v>
      </c>
      <c r="AD690" s="280">
        <v>79</v>
      </c>
      <c r="AE690" s="280">
        <v>78</v>
      </c>
      <c r="AF690" s="280">
        <v>76</v>
      </c>
      <c r="AG690" s="280">
        <v>74</v>
      </c>
      <c r="AH690" s="280">
        <v>74</v>
      </c>
    </row>
    <row r="691" spans="1:34" s="1" customFormat="1" ht="13" x14ac:dyDescent="0.25">
      <c r="A691" s="280" t="s">
        <v>1233</v>
      </c>
      <c r="B691" s="286">
        <v>442</v>
      </c>
      <c r="C691" s="286">
        <v>727.875</v>
      </c>
      <c r="D691" s="286">
        <v>1013.7500000000001</v>
      </c>
      <c r="E691" s="286">
        <v>5</v>
      </c>
      <c r="F691" s="281">
        <v>2</v>
      </c>
      <c r="G691" s="282">
        <v>80.489678562500004</v>
      </c>
      <c r="H691" s="282">
        <v>82.848987693750004</v>
      </c>
      <c r="I691" s="282">
        <v>84.119847337500005</v>
      </c>
      <c r="J691" s="282">
        <v>86.513727223333333</v>
      </c>
      <c r="K691" s="282">
        <v>84.460479191944458</v>
      </c>
      <c r="L691" s="282">
        <v>85.199080588194434</v>
      </c>
      <c r="M691" s="282">
        <v>87.259584732777782</v>
      </c>
      <c r="N691" s="282">
        <v>89.010289198611105</v>
      </c>
      <c r="O691" s="282">
        <v>90.000612016666651</v>
      </c>
      <c r="P691" s="282">
        <v>89.301234213333331</v>
      </c>
      <c r="Q691" s="282">
        <v>88.215189474791657</v>
      </c>
      <c r="R691" s="283">
        <v>86.708620029166653</v>
      </c>
      <c r="S691" s="284">
        <v>953.63765170006945</v>
      </c>
      <c r="T691" s="284">
        <v>510.4017067675</v>
      </c>
      <c r="U691" s="296">
        <f t="shared" si="20"/>
        <v>35.84865170006924</v>
      </c>
      <c r="V691" s="296">
        <f t="shared" si="21"/>
        <v>10.607706767500019</v>
      </c>
      <c r="W691" s="287">
        <v>87</v>
      </c>
      <c r="X691" s="280">
        <v>85</v>
      </c>
      <c r="Y691" s="280">
        <v>85</v>
      </c>
      <c r="Z691" s="280">
        <v>84</v>
      </c>
      <c r="AA691" s="280">
        <v>82</v>
      </c>
      <c r="AB691" s="280">
        <v>82</v>
      </c>
      <c r="AC691" s="280">
        <v>83</v>
      </c>
      <c r="AD691" s="280">
        <v>85</v>
      </c>
      <c r="AE691" s="280">
        <v>85</v>
      </c>
      <c r="AF691" s="280">
        <v>84</v>
      </c>
      <c r="AG691" s="280">
        <v>83</v>
      </c>
      <c r="AH691" s="280">
        <v>84</v>
      </c>
    </row>
    <row r="692" spans="1:34" s="1" customFormat="1" ht="13" x14ac:dyDescent="0.25">
      <c r="A692" s="280" t="s">
        <v>1234</v>
      </c>
      <c r="B692" s="286">
        <v>442</v>
      </c>
      <c r="C692" s="286">
        <v>727.875</v>
      </c>
      <c r="D692" s="286">
        <v>1013.7500000000001</v>
      </c>
      <c r="E692" s="286">
        <v>5</v>
      </c>
      <c r="F692" s="281">
        <v>3</v>
      </c>
      <c r="G692" s="282">
        <v>80.489678562500004</v>
      </c>
      <c r="H692" s="282">
        <v>82.848987693750004</v>
      </c>
      <c r="I692" s="282">
        <v>84.564847337499998</v>
      </c>
      <c r="J692" s="282">
        <v>87.403727223333334</v>
      </c>
      <c r="K692" s="282">
        <v>85.795479191944452</v>
      </c>
      <c r="L692" s="282">
        <v>87.046455588194434</v>
      </c>
      <c r="M692" s="282">
        <v>89.619334732777773</v>
      </c>
      <c r="N692" s="282">
        <v>91.882414198611102</v>
      </c>
      <c r="O692" s="282">
        <v>93.445143266666662</v>
      </c>
      <c r="P692" s="282">
        <v>93.318171713333328</v>
      </c>
      <c r="Q692" s="282">
        <v>92.804533224791669</v>
      </c>
      <c r="R692" s="283">
        <v>91.870370029166665</v>
      </c>
      <c r="S692" s="284">
        <v>980.59946420006941</v>
      </c>
      <c r="T692" s="284">
        <v>517.27883176750004</v>
      </c>
      <c r="U692" s="296">
        <f t="shared" si="20"/>
        <v>62.810464200069191</v>
      </c>
      <c r="V692" s="296">
        <f t="shared" si="21"/>
        <v>17.484831767500054</v>
      </c>
      <c r="W692" s="287">
        <v>87</v>
      </c>
      <c r="X692" s="280">
        <v>85</v>
      </c>
      <c r="Y692" s="280">
        <v>86</v>
      </c>
      <c r="Z692" s="280">
        <v>86</v>
      </c>
      <c r="AA692" s="280">
        <v>85</v>
      </c>
      <c r="AB692" s="280">
        <v>86</v>
      </c>
      <c r="AC692" s="280">
        <v>88</v>
      </c>
      <c r="AD692" s="280">
        <v>91</v>
      </c>
      <c r="AE692" s="280">
        <v>92</v>
      </c>
      <c r="AF692" s="280">
        <v>92</v>
      </c>
      <c r="AG692" s="280">
        <v>92</v>
      </c>
      <c r="AH692" s="280">
        <v>94</v>
      </c>
    </row>
    <row r="693" spans="1:34" s="1" customFormat="1" ht="13" x14ac:dyDescent="0.25">
      <c r="A693" s="280" t="s">
        <v>1235</v>
      </c>
      <c r="B693" s="286">
        <v>442</v>
      </c>
      <c r="C693" s="286">
        <v>727.875</v>
      </c>
      <c r="D693" s="286">
        <v>1013.7500000000001</v>
      </c>
      <c r="E693" s="286">
        <v>5</v>
      </c>
      <c r="F693" s="281">
        <v>4</v>
      </c>
      <c r="G693" s="282">
        <v>80.489678562500004</v>
      </c>
      <c r="H693" s="282">
        <v>82.848987693750004</v>
      </c>
      <c r="I693" s="282">
        <v>85.009847337500005</v>
      </c>
      <c r="J693" s="282">
        <v>88.293727223333335</v>
      </c>
      <c r="K693" s="282">
        <v>87.13047919194446</v>
      </c>
      <c r="L693" s="282">
        <v>88.893830588194447</v>
      </c>
      <c r="M693" s="282">
        <v>91.979084732777778</v>
      </c>
      <c r="N693" s="282">
        <v>94.754539198611099</v>
      </c>
      <c r="O693" s="282">
        <v>96.889674516666659</v>
      </c>
      <c r="P693" s="282">
        <v>97.33510921333334</v>
      </c>
      <c r="Q693" s="282">
        <v>97.393876974791667</v>
      </c>
      <c r="R693" s="283">
        <v>97.032120029166663</v>
      </c>
      <c r="S693" s="284">
        <v>1007.5612767000694</v>
      </c>
      <c r="T693" s="284">
        <v>524.15595676750002</v>
      </c>
      <c r="U693" s="296">
        <f t="shared" si="20"/>
        <v>89.772276700069142</v>
      </c>
      <c r="V693" s="296">
        <f t="shared" si="21"/>
        <v>24.361956767500033</v>
      </c>
      <c r="W693" s="287">
        <v>87</v>
      </c>
      <c r="X693" s="280">
        <v>85</v>
      </c>
      <c r="Y693" s="280">
        <v>87</v>
      </c>
      <c r="Z693" s="280">
        <v>88</v>
      </c>
      <c r="AA693" s="280">
        <v>88</v>
      </c>
      <c r="AB693" s="280">
        <v>90</v>
      </c>
      <c r="AC693" s="280">
        <v>93</v>
      </c>
      <c r="AD693" s="280">
        <v>97</v>
      </c>
      <c r="AE693" s="280">
        <v>99</v>
      </c>
      <c r="AF693" s="280">
        <v>100</v>
      </c>
      <c r="AG693" s="280">
        <v>101</v>
      </c>
      <c r="AH693" s="280">
        <v>104</v>
      </c>
    </row>
    <row r="694" spans="1:34" s="1" customFormat="1" ht="13" x14ac:dyDescent="0.25">
      <c r="A694" s="280" t="s">
        <v>1236</v>
      </c>
      <c r="B694" s="286">
        <v>442</v>
      </c>
      <c r="C694" s="286">
        <v>727.875</v>
      </c>
      <c r="D694" s="286">
        <v>1013.7500000000001</v>
      </c>
      <c r="E694" s="286">
        <v>5</v>
      </c>
      <c r="F694" s="281">
        <v>5</v>
      </c>
      <c r="G694" s="282">
        <v>80.489678562500004</v>
      </c>
      <c r="H694" s="282">
        <v>82.848987693750004</v>
      </c>
      <c r="I694" s="282">
        <v>85.454847337499999</v>
      </c>
      <c r="J694" s="282">
        <v>89.183727223333321</v>
      </c>
      <c r="K694" s="282">
        <v>88.465479191944453</v>
      </c>
      <c r="L694" s="282">
        <v>90.741205588194447</v>
      </c>
      <c r="M694" s="282">
        <v>94.338834732777769</v>
      </c>
      <c r="N694" s="282">
        <v>97.626664198611095</v>
      </c>
      <c r="O694" s="282">
        <v>100.33420576666666</v>
      </c>
      <c r="P694" s="282">
        <v>101.35204671333334</v>
      </c>
      <c r="Q694" s="282">
        <v>101.98322072479166</v>
      </c>
      <c r="R694" s="283">
        <v>102.19387002916666</v>
      </c>
      <c r="S694" s="284">
        <v>1034.5230892000695</v>
      </c>
      <c r="T694" s="284">
        <v>531.03308176749999</v>
      </c>
      <c r="U694" s="296">
        <f t="shared" si="20"/>
        <v>116.73408920006932</v>
      </c>
      <c r="V694" s="296">
        <f t="shared" si="21"/>
        <v>31.239081767500011</v>
      </c>
      <c r="W694" s="287">
        <v>87</v>
      </c>
      <c r="X694" s="280">
        <v>85</v>
      </c>
      <c r="Y694" s="280">
        <v>88</v>
      </c>
      <c r="Z694" s="280">
        <v>90</v>
      </c>
      <c r="AA694" s="280">
        <v>91</v>
      </c>
      <c r="AB694" s="280">
        <v>94</v>
      </c>
      <c r="AC694" s="280">
        <v>98</v>
      </c>
      <c r="AD694" s="280">
        <v>103</v>
      </c>
      <c r="AE694" s="280">
        <v>106</v>
      </c>
      <c r="AF694" s="280">
        <v>108</v>
      </c>
      <c r="AG694" s="280">
        <v>110</v>
      </c>
      <c r="AH694" s="280">
        <v>114</v>
      </c>
    </row>
    <row r="695" spans="1:34" s="1" customFormat="1" ht="13" x14ac:dyDescent="0.25">
      <c r="A695" s="280" t="s">
        <v>1237</v>
      </c>
      <c r="B695" s="286">
        <v>442</v>
      </c>
      <c r="C695" s="286">
        <v>727.875</v>
      </c>
      <c r="D695" s="286">
        <v>1013.7500000000001</v>
      </c>
      <c r="E695" s="286">
        <v>1</v>
      </c>
      <c r="F695" s="281">
        <v>0</v>
      </c>
      <c r="G695" s="282">
        <v>80.489678562500004</v>
      </c>
      <c r="H695" s="282">
        <v>85.92095855208332</v>
      </c>
      <c r="I695" s="282">
        <v>86.994695829166659</v>
      </c>
      <c r="J695" s="282">
        <v>88.623748223333337</v>
      </c>
      <c r="K695" s="282">
        <v>85.460398108611116</v>
      </c>
      <c r="L695" s="282">
        <v>84.130796171527763</v>
      </c>
      <c r="M695" s="282">
        <v>84.781889816111104</v>
      </c>
      <c r="N695" s="282">
        <v>85.378080865277767</v>
      </c>
      <c r="O695" s="282">
        <v>85.577674516666676</v>
      </c>
      <c r="P695" s="282">
        <v>83.717484213333336</v>
      </c>
      <c r="Q695" s="282">
        <v>81.488001974791658</v>
      </c>
      <c r="R695" s="283">
        <v>78.966328362499993</v>
      </c>
      <c r="S695" s="284">
        <v>931.04005663340274</v>
      </c>
      <c r="T695" s="284">
        <v>515.91248670083326</v>
      </c>
      <c r="U695" s="296">
        <f t="shared" si="20"/>
        <v>13.251056633402527</v>
      </c>
      <c r="V695" s="296">
        <f t="shared" si="21"/>
        <v>16.118486700833273</v>
      </c>
      <c r="W695" s="287">
        <v>87</v>
      </c>
      <c r="X695" s="280">
        <v>85</v>
      </c>
      <c r="Y695" s="280">
        <v>83</v>
      </c>
      <c r="Z695" s="280">
        <v>80</v>
      </c>
      <c r="AA695" s="280">
        <v>76</v>
      </c>
      <c r="AB695" s="280">
        <v>74</v>
      </c>
      <c r="AC695" s="280">
        <v>73</v>
      </c>
      <c r="AD695" s="280">
        <v>73</v>
      </c>
      <c r="AE695" s="280">
        <v>71</v>
      </c>
      <c r="AF695" s="280">
        <v>68</v>
      </c>
      <c r="AG695" s="280">
        <v>65</v>
      </c>
      <c r="AH695" s="280">
        <v>64</v>
      </c>
    </row>
    <row r="696" spans="1:34" s="1" customFormat="1" ht="13" x14ac:dyDescent="0.25">
      <c r="A696" s="280" t="s">
        <v>1238</v>
      </c>
      <c r="B696" s="286">
        <v>442</v>
      </c>
      <c r="C696" s="286">
        <v>727.875</v>
      </c>
      <c r="D696" s="286">
        <v>1013.7500000000001</v>
      </c>
      <c r="E696" s="286">
        <v>1</v>
      </c>
      <c r="F696" s="281">
        <v>1</v>
      </c>
      <c r="G696" s="282">
        <v>80.489678562500004</v>
      </c>
      <c r="H696" s="282">
        <v>85.92095855208332</v>
      </c>
      <c r="I696" s="282">
        <v>87.439695829166666</v>
      </c>
      <c r="J696" s="282">
        <v>89.513748223333323</v>
      </c>
      <c r="K696" s="282">
        <v>86.795398108611124</v>
      </c>
      <c r="L696" s="282">
        <v>85.978171171527762</v>
      </c>
      <c r="M696" s="282">
        <v>87.141639816111095</v>
      </c>
      <c r="N696" s="282">
        <v>88.250205865277778</v>
      </c>
      <c r="O696" s="282">
        <v>89.022830766666672</v>
      </c>
      <c r="P696" s="282">
        <v>87.735671713333332</v>
      </c>
      <c r="Q696" s="282">
        <v>86.079220724791668</v>
      </c>
      <c r="R696" s="283">
        <v>84.130578362500003</v>
      </c>
      <c r="S696" s="284">
        <v>958.00811913340272</v>
      </c>
      <c r="T696" s="284">
        <v>522.78961170083335</v>
      </c>
      <c r="U696" s="296">
        <f t="shared" si="20"/>
        <v>40.219119133402501</v>
      </c>
      <c r="V696" s="296">
        <f t="shared" si="21"/>
        <v>22.995611700833365</v>
      </c>
      <c r="W696" s="287">
        <v>87</v>
      </c>
      <c r="X696" s="280">
        <v>85</v>
      </c>
      <c r="Y696" s="280">
        <v>84</v>
      </c>
      <c r="Z696" s="280">
        <v>82</v>
      </c>
      <c r="AA696" s="280">
        <v>79</v>
      </c>
      <c r="AB696" s="280">
        <v>78</v>
      </c>
      <c r="AC696" s="280">
        <v>78</v>
      </c>
      <c r="AD696" s="280">
        <v>79</v>
      </c>
      <c r="AE696" s="280">
        <v>78</v>
      </c>
      <c r="AF696" s="280">
        <v>76</v>
      </c>
      <c r="AG696" s="280">
        <v>74</v>
      </c>
      <c r="AH696" s="280">
        <v>74</v>
      </c>
    </row>
    <row r="697" spans="1:34" s="1" customFormat="1" ht="13" x14ac:dyDescent="0.25">
      <c r="A697" s="280" t="s">
        <v>1239</v>
      </c>
      <c r="B697" s="286">
        <v>442</v>
      </c>
      <c r="C697" s="286">
        <v>727.875</v>
      </c>
      <c r="D697" s="286">
        <v>1013.7500000000001</v>
      </c>
      <c r="E697" s="286">
        <v>1</v>
      </c>
      <c r="F697" s="281">
        <v>2</v>
      </c>
      <c r="G697" s="282">
        <v>80.489678562500004</v>
      </c>
      <c r="H697" s="282">
        <v>85.92095855208332</v>
      </c>
      <c r="I697" s="282">
        <v>87.88469582916666</v>
      </c>
      <c r="J697" s="282">
        <v>90.403748223333324</v>
      </c>
      <c r="K697" s="282">
        <v>88.130398108611118</v>
      </c>
      <c r="L697" s="282">
        <v>87.825546171527762</v>
      </c>
      <c r="M697" s="282">
        <v>89.501389816111114</v>
      </c>
      <c r="N697" s="282">
        <v>91.122330865277775</v>
      </c>
      <c r="O697" s="282">
        <v>92.467987016666669</v>
      </c>
      <c r="P697" s="282">
        <v>91.753859213333328</v>
      </c>
      <c r="Q697" s="282">
        <v>90.670439474791664</v>
      </c>
      <c r="R697" s="283">
        <v>89.294828362499999</v>
      </c>
      <c r="S697" s="284">
        <v>984.97618163340269</v>
      </c>
      <c r="T697" s="284">
        <v>529.66673670083333</v>
      </c>
      <c r="U697" s="296">
        <f t="shared" si="20"/>
        <v>67.187181633402474</v>
      </c>
      <c r="V697" s="296">
        <f t="shared" si="21"/>
        <v>29.872736700833343</v>
      </c>
      <c r="W697" s="287">
        <v>87</v>
      </c>
      <c r="X697" s="280">
        <v>85</v>
      </c>
      <c r="Y697" s="280">
        <v>85</v>
      </c>
      <c r="Z697" s="280">
        <v>84</v>
      </c>
      <c r="AA697" s="280">
        <v>82</v>
      </c>
      <c r="AB697" s="280">
        <v>82</v>
      </c>
      <c r="AC697" s="280">
        <v>83</v>
      </c>
      <c r="AD697" s="280">
        <v>85</v>
      </c>
      <c r="AE697" s="280">
        <v>85</v>
      </c>
      <c r="AF697" s="280">
        <v>84</v>
      </c>
      <c r="AG697" s="280">
        <v>83</v>
      </c>
      <c r="AH697" s="280">
        <v>84</v>
      </c>
    </row>
    <row r="698" spans="1:34" s="1" customFormat="1" ht="13" x14ac:dyDescent="0.25">
      <c r="A698" s="280" t="s">
        <v>1240</v>
      </c>
      <c r="B698" s="286">
        <v>442</v>
      </c>
      <c r="C698" s="286">
        <v>727.875</v>
      </c>
      <c r="D698" s="286">
        <v>1013.7500000000001</v>
      </c>
      <c r="E698" s="286">
        <v>1</v>
      </c>
      <c r="F698" s="281">
        <v>3</v>
      </c>
      <c r="G698" s="282">
        <v>80.489678562500004</v>
      </c>
      <c r="H698" s="282">
        <v>85.92095855208332</v>
      </c>
      <c r="I698" s="282">
        <v>88.329695829166667</v>
      </c>
      <c r="J698" s="282">
        <v>91.293748223333324</v>
      </c>
      <c r="K698" s="282">
        <v>89.465398108611126</v>
      </c>
      <c r="L698" s="282">
        <v>89.672921171527761</v>
      </c>
      <c r="M698" s="282">
        <v>91.861139816111105</v>
      </c>
      <c r="N698" s="282">
        <v>93.994455865277772</v>
      </c>
      <c r="O698" s="282">
        <v>95.913143266666665</v>
      </c>
      <c r="P698" s="282">
        <v>95.772046713333339</v>
      </c>
      <c r="Q698" s="282">
        <v>95.26165822479166</v>
      </c>
      <c r="R698" s="283">
        <v>94.459078362500009</v>
      </c>
      <c r="S698" s="284">
        <v>1011.9442441334028</v>
      </c>
      <c r="T698" s="284">
        <v>536.5438617008333</v>
      </c>
      <c r="U698" s="296">
        <f t="shared" si="20"/>
        <v>94.155244133402562</v>
      </c>
      <c r="V698" s="296">
        <f t="shared" si="21"/>
        <v>36.749861700833321</v>
      </c>
      <c r="W698" s="287">
        <v>87</v>
      </c>
      <c r="X698" s="280">
        <v>85</v>
      </c>
      <c r="Y698" s="280">
        <v>86</v>
      </c>
      <c r="Z698" s="280">
        <v>86</v>
      </c>
      <c r="AA698" s="280">
        <v>85</v>
      </c>
      <c r="AB698" s="280">
        <v>86</v>
      </c>
      <c r="AC698" s="280">
        <v>88</v>
      </c>
      <c r="AD698" s="280">
        <v>91</v>
      </c>
      <c r="AE698" s="280">
        <v>92</v>
      </c>
      <c r="AF698" s="280">
        <v>92</v>
      </c>
      <c r="AG698" s="280">
        <v>92</v>
      </c>
      <c r="AH698" s="280">
        <v>94</v>
      </c>
    </row>
    <row r="699" spans="1:34" s="1" customFormat="1" ht="13" x14ac:dyDescent="0.25">
      <c r="A699" s="280" t="s">
        <v>1241</v>
      </c>
      <c r="B699" s="286">
        <v>442</v>
      </c>
      <c r="C699" s="286">
        <v>727.875</v>
      </c>
      <c r="D699" s="286">
        <v>1013.7500000000001</v>
      </c>
      <c r="E699" s="286">
        <v>1</v>
      </c>
      <c r="F699" s="281">
        <v>4</v>
      </c>
      <c r="G699" s="282">
        <v>80.489678562500004</v>
      </c>
      <c r="H699" s="282">
        <v>85.92095855208332</v>
      </c>
      <c r="I699" s="282">
        <v>88.77469582916666</v>
      </c>
      <c r="J699" s="282">
        <v>92.183748223333325</v>
      </c>
      <c r="K699" s="282">
        <v>90.800398108611134</v>
      </c>
      <c r="L699" s="282">
        <v>91.520296171527761</v>
      </c>
      <c r="M699" s="282">
        <v>94.220889816111111</v>
      </c>
      <c r="N699" s="282">
        <v>96.866580865277768</v>
      </c>
      <c r="O699" s="282">
        <v>99.358299516666676</v>
      </c>
      <c r="P699" s="282">
        <v>99.790234213333335</v>
      </c>
      <c r="Q699" s="282">
        <v>99.85287697479167</v>
      </c>
      <c r="R699" s="283">
        <v>99.623328362500004</v>
      </c>
      <c r="S699" s="284">
        <v>1038.9123066334027</v>
      </c>
      <c r="T699" s="284">
        <v>543.4209867008334</v>
      </c>
      <c r="U699" s="296">
        <f t="shared" si="20"/>
        <v>121.12330663340254</v>
      </c>
      <c r="V699" s="296">
        <f t="shared" si="21"/>
        <v>43.626986700833413</v>
      </c>
      <c r="W699" s="287">
        <v>87</v>
      </c>
      <c r="X699" s="280">
        <v>85</v>
      </c>
      <c r="Y699" s="280">
        <v>87</v>
      </c>
      <c r="Z699" s="280">
        <v>88</v>
      </c>
      <c r="AA699" s="280">
        <v>88</v>
      </c>
      <c r="AB699" s="280">
        <v>90</v>
      </c>
      <c r="AC699" s="280">
        <v>93</v>
      </c>
      <c r="AD699" s="280">
        <v>97</v>
      </c>
      <c r="AE699" s="280">
        <v>99</v>
      </c>
      <c r="AF699" s="280">
        <v>100</v>
      </c>
      <c r="AG699" s="280">
        <v>101</v>
      </c>
      <c r="AH699" s="280">
        <v>104</v>
      </c>
    </row>
    <row r="700" spans="1:34" s="1" customFormat="1" ht="13" x14ac:dyDescent="0.25">
      <c r="A700" s="280" t="s">
        <v>1242</v>
      </c>
      <c r="B700" s="286">
        <v>442</v>
      </c>
      <c r="C700" s="286">
        <v>727.875</v>
      </c>
      <c r="D700" s="286">
        <v>1013.7500000000001</v>
      </c>
      <c r="E700" s="286">
        <v>1</v>
      </c>
      <c r="F700" s="281">
        <v>5</v>
      </c>
      <c r="G700" s="282">
        <v>80.489678562500004</v>
      </c>
      <c r="H700" s="282">
        <v>85.92095855208332</v>
      </c>
      <c r="I700" s="282">
        <v>89.219695829166668</v>
      </c>
      <c r="J700" s="282">
        <v>93.073748223333325</v>
      </c>
      <c r="K700" s="282">
        <v>92.135398108611128</v>
      </c>
      <c r="L700" s="282">
        <v>93.367671171527761</v>
      </c>
      <c r="M700" s="282">
        <v>96.580639816111116</v>
      </c>
      <c r="N700" s="282">
        <v>99.738705865277765</v>
      </c>
      <c r="O700" s="282">
        <v>102.80345576666667</v>
      </c>
      <c r="P700" s="282">
        <v>103.80842171333333</v>
      </c>
      <c r="Q700" s="282">
        <v>104.44409572479167</v>
      </c>
      <c r="R700" s="283">
        <v>104.7875783625</v>
      </c>
      <c r="S700" s="284">
        <v>1065.8803691334028</v>
      </c>
      <c r="T700" s="284">
        <v>550.29811170083337</v>
      </c>
      <c r="U700" s="296">
        <f t="shared" si="20"/>
        <v>148.09136913340262</v>
      </c>
      <c r="V700" s="296">
        <f t="shared" si="21"/>
        <v>50.504111700833391</v>
      </c>
      <c r="W700" s="287">
        <v>87</v>
      </c>
      <c r="X700" s="280">
        <v>85</v>
      </c>
      <c r="Y700" s="280">
        <v>88</v>
      </c>
      <c r="Z700" s="280">
        <v>90</v>
      </c>
      <c r="AA700" s="280">
        <v>91</v>
      </c>
      <c r="AB700" s="280">
        <v>94</v>
      </c>
      <c r="AC700" s="280">
        <v>98</v>
      </c>
      <c r="AD700" s="280">
        <v>103</v>
      </c>
      <c r="AE700" s="280">
        <v>106</v>
      </c>
      <c r="AF700" s="280">
        <v>108</v>
      </c>
      <c r="AG700" s="280">
        <v>110</v>
      </c>
      <c r="AH700" s="280">
        <v>114</v>
      </c>
    </row>
    <row r="701" spans="1:34" s="1" customFormat="1" ht="13" x14ac:dyDescent="0.25">
      <c r="A701" s="280" t="s">
        <v>1243</v>
      </c>
      <c r="B701" s="286">
        <v>442</v>
      </c>
      <c r="C701" s="286">
        <v>727.875</v>
      </c>
      <c r="D701" s="286">
        <v>1013.7500000000001</v>
      </c>
      <c r="E701" s="286">
        <v>2</v>
      </c>
      <c r="F701" s="281">
        <v>0</v>
      </c>
      <c r="G701" s="282">
        <v>80.489678562500004</v>
      </c>
      <c r="H701" s="282">
        <v>84.306968393749997</v>
      </c>
      <c r="I701" s="282">
        <v>85.543272329166669</v>
      </c>
      <c r="J701" s="282">
        <v>87.303771806666674</v>
      </c>
      <c r="K701" s="282">
        <v>84.495686275277777</v>
      </c>
      <c r="L701" s="282">
        <v>83.725796171527762</v>
      </c>
      <c r="M701" s="282">
        <v>84.326681482777772</v>
      </c>
      <c r="N701" s="282">
        <v>84.887247531944439</v>
      </c>
      <c r="O701" s="282">
        <v>84.89309118333334</v>
      </c>
      <c r="P701" s="282">
        <v>83.226650879999994</v>
      </c>
      <c r="Q701" s="282">
        <v>80.958418641458323</v>
      </c>
      <c r="R701" s="283">
        <v>78.33341169583332</v>
      </c>
      <c r="S701" s="284">
        <v>922.00099639173607</v>
      </c>
      <c r="T701" s="284">
        <v>509.70217645916665</v>
      </c>
      <c r="U701" s="296">
        <f t="shared" si="20"/>
        <v>4.2119963917358518</v>
      </c>
      <c r="V701" s="296">
        <f t="shared" si="21"/>
        <v>9.9081764591666683</v>
      </c>
      <c r="W701" s="287">
        <v>87</v>
      </c>
      <c r="X701" s="280">
        <v>85</v>
      </c>
      <c r="Y701" s="280">
        <v>83</v>
      </c>
      <c r="Z701" s="280">
        <v>80</v>
      </c>
      <c r="AA701" s="280">
        <v>76</v>
      </c>
      <c r="AB701" s="280">
        <v>74</v>
      </c>
      <c r="AC701" s="280">
        <v>73</v>
      </c>
      <c r="AD701" s="280">
        <v>73</v>
      </c>
      <c r="AE701" s="280">
        <v>71</v>
      </c>
      <c r="AF701" s="280">
        <v>68</v>
      </c>
      <c r="AG701" s="280">
        <v>65</v>
      </c>
      <c r="AH701" s="280">
        <v>64</v>
      </c>
    </row>
    <row r="702" spans="1:34" s="1" customFormat="1" ht="13" x14ac:dyDescent="0.25">
      <c r="A702" s="280" t="s">
        <v>1244</v>
      </c>
      <c r="B702" s="286">
        <v>442</v>
      </c>
      <c r="C702" s="286">
        <v>727.875</v>
      </c>
      <c r="D702" s="286">
        <v>1013.7500000000001</v>
      </c>
      <c r="E702" s="286">
        <v>2</v>
      </c>
      <c r="F702" s="281">
        <v>1</v>
      </c>
      <c r="G702" s="282">
        <v>80.489678562500004</v>
      </c>
      <c r="H702" s="282">
        <v>84.306968393749997</v>
      </c>
      <c r="I702" s="282">
        <v>85.988272329166676</v>
      </c>
      <c r="J702" s="282">
        <v>88.193771806666675</v>
      </c>
      <c r="K702" s="282">
        <v>85.830686275277785</v>
      </c>
      <c r="L702" s="282">
        <v>85.573171171527761</v>
      </c>
      <c r="M702" s="282">
        <v>86.686431482777763</v>
      </c>
      <c r="N702" s="282">
        <v>87.759372531944436</v>
      </c>
      <c r="O702" s="282">
        <v>88.338247433333336</v>
      </c>
      <c r="P702" s="282">
        <v>87.24483837999999</v>
      </c>
      <c r="Q702" s="282">
        <v>85.549637391458333</v>
      </c>
      <c r="R702" s="283">
        <v>83.497661695833315</v>
      </c>
      <c r="S702" s="284">
        <v>948.96905889173615</v>
      </c>
      <c r="T702" s="284">
        <v>516.57930145916669</v>
      </c>
      <c r="U702" s="296">
        <f t="shared" si="20"/>
        <v>31.180058891735939</v>
      </c>
      <c r="V702" s="296">
        <f t="shared" si="21"/>
        <v>16.785301459166703</v>
      </c>
      <c r="W702" s="287">
        <v>87</v>
      </c>
      <c r="X702" s="280">
        <v>85</v>
      </c>
      <c r="Y702" s="280">
        <v>84</v>
      </c>
      <c r="Z702" s="280">
        <v>82</v>
      </c>
      <c r="AA702" s="280">
        <v>79</v>
      </c>
      <c r="AB702" s="280">
        <v>78</v>
      </c>
      <c r="AC702" s="280">
        <v>78</v>
      </c>
      <c r="AD702" s="280">
        <v>79</v>
      </c>
      <c r="AE702" s="280">
        <v>78</v>
      </c>
      <c r="AF702" s="280">
        <v>76</v>
      </c>
      <c r="AG702" s="280">
        <v>74</v>
      </c>
      <c r="AH702" s="280">
        <v>74</v>
      </c>
    </row>
    <row r="703" spans="1:34" s="1" customFormat="1" ht="13" x14ac:dyDescent="0.25">
      <c r="A703" s="280" t="s">
        <v>1245</v>
      </c>
      <c r="B703" s="286">
        <v>442</v>
      </c>
      <c r="C703" s="286">
        <v>727.875</v>
      </c>
      <c r="D703" s="286">
        <v>1013.7500000000001</v>
      </c>
      <c r="E703" s="286">
        <v>2</v>
      </c>
      <c r="F703" s="281">
        <v>2</v>
      </c>
      <c r="G703" s="282">
        <v>80.489678562500004</v>
      </c>
      <c r="H703" s="282">
        <v>84.306968393749997</v>
      </c>
      <c r="I703" s="282">
        <v>86.43327232916667</v>
      </c>
      <c r="J703" s="282">
        <v>89.083771806666661</v>
      </c>
      <c r="K703" s="282">
        <v>87.165686275277778</v>
      </c>
      <c r="L703" s="282">
        <v>87.420546171527761</v>
      </c>
      <c r="M703" s="282">
        <v>89.046181482777783</v>
      </c>
      <c r="N703" s="282">
        <v>90.631497531944447</v>
      </c>
      <c r="O703" s="282">
        <v>91.783403683333347</v>
      </c>
      <c r="P703" s="282">
        <v>91.263025879999987</v>
      </c>
      <c r="Q703" s="282">
        <v>90.140856141458315</v>
      </c>
      <c r="R703" s="283">
        <v>88.661911695833311</v>
      </c>
      <c r="S703" s="284">
        <v>975.93712139173613</v>
      </c>
      <c r="T703" s="284">
        <v>523.45642645916666</v>
      </c>
      <c r="U703" s="296">
        <f t="shared" si="20"/>
        <v>58.148121391735913</v>
      </c>
      <c r="V703" s="296">
        <f t="shared" si="21"/>
        <v>23.662426459166682</v>
      </c>
      <c r="W703" s="287">
        <v>87</v>
      </c>
      <c r="X703" s="280">
        <v>85</v>
      </c>
      <c r="Y703" s="280">
        <v>85</v>
      </c>
      <c r="Z703" s="280">
        <v>84</v>
      </c>
      <c r="AA703" s="280">
        <v>82</v>
      </c>
      <c r="AB703" s="280">
        <v>82</v>
      </c>
      <c r="AC703" s="280">
        <v>83</v>
      </c>
      <c r="AD703" s="280">
        <v>85</v>
      </c>
      <c r="AE703" s="280">
        <v>85</v>
      </c>
      <c r="AF703" s="280">
        <v>84</v>
      </c>
      <c r="AG703" s="280">
        <v>83</v>
      </c>
      <c r="AH703" s="280">
        <v>84</v>
      </c>
    </row>
    <row r="704" spans="1:34" s="1" customFormat="1" ht="13" x14ac:dyDescent="0.25">
      <c r="A704" s="280" t="s">
        <v>1246</v>
      </c>
      <c r="B704" s="286">
        <v>442</v>
      </c>
      <c r="C704" s="286">
        <v>727.875</v>
      </c>
      <c r="D704" s="286">
        <v>1013.7500000000001</v>
      </c>
      <c r="E704" s="286">
        <v>2</v>
      </c>
      <c r="F704" s="281">
        <v>3</v>
      </c>
      <c r="G704" s="282">
        <v>80.489678562500004</v>
      </c>
      <c r="H704" s="282">
        <v>84.306968393749997</v>
      </c>
      <c r="I704" s="282">
        <v>86.878272329166677</v>
      </c>
      <c r="J704" s="282">
        <v>89.973771806666662</v>
      </c>
      <c r="K704" s="282">
        <v>88.500686275277786</v>
      </c>
      <c r="L704" s="282">
        <v>89.267921171527775</v>
      </c>
      <c r="M704" s="282">
        <v>91.405931482777788</v>
      </c>
      <c r="N704" s="282">
        <v>93.503622531944444</v>
      </c>
      <c r="O704" s="282">
        <v>95.228559933333344</v>
      </c>
      <c r="P704" s="282">
        <v>95.281213379999983</v>
      </c>
      <c r="Q704" s="282">
        <v>94.732074891458325</v>
      </c>
      <c r="R704" s="283">
        <v>93.826161695833321</v>
      </c>
      <c r="S704" s="284">
        <v>1002.905183891736</v>
      </c>
      <c r="T704" s="284">
        <v>530.33355145916664</v>
      </c>
      <c r="U704" s="296">
        <f t="shared" si="20"/>
        <v>85.116183891735773</v>
      </c>
      <c r="V704" s="296">
        <f t="shared" si="21"/>
        <v>30.53955145916666</v>
      </c>
      <c r="W704" s="287">
        <v>87</v>
      </c>
      <c r="X704" s="280">
        <v>85</v>
      </c>
      <c r="Y704" s="280">
        <v>86</v>
      </c>
      <c r="Z704" s="280">
        <v>86</v>
      </c>
      <c r="AA704" s="280">
        <v>85</v>
      </c>
      <c r="AB704" s="280">
        <v>86</v>
      </c>
      <c r="AC704" s="280">
        <v>88</v>
      </c>
      <c r="AD704" s="280">
        <v>91</v>
      </c>
      <c r="AE704" s="280">
        <v>92</v>
      </c>
      <c r="AF704" s="280">
        <v>92</v>
      </c>
      <c r="AG704" s="280">
        <v>92</v>
      </c>
      <c r="AH704" s="280">
        <v>94</v>
      </c>
    </row>
    <row r="705" spans="1:34" s="1" customFormat="1" ht="13" x14ac:dyDescent="0.25">
      <c r="A705" s="280" t="s">
        <v>1247</v>
      </c>
      <c r="B705" s="286">
        <v>442</v>
      </c>
      <c r="C705" s="286">
        <v>727.875</v>
      </c>
      <c r="D705" s="286">
        <v>1013.7500000000001</v>
      </c>
      <c r="E705" s="286">
        <v>2</v>
      </c>
      <c r="F705" s="281">
        <v>4</v>
      </c>
      <c r="G705" s="282">
        <v>80.489678562500004</v>
      </c>
      <c r="H705" s="282">
        <v>84.306968393749997</v>
      </c>
      <c r="I705" s="282">
        <v>87.32327232916667</v>
      </c>
      <c r="J705" s="282">
        <v>90.863771806666662</v>
      </c>
      <c r="K705" s="282">
        <v>89.83568627527778</v>
      </c>
      <c r="L705" s="282">
        <v>91.115296171527774</v>
      </c>
      <c r="M705" s="282">
        <v>93.765681482777779</v>
      </c>
      <c r="N705" s="282">
        <v>96.375747531944441</v>
      </c>
      <c r="O705" s="282">
        <v>98.67371618333334</v>
      </c>
      <c r="P705" s="282">
        <v>99.299400879999993</v>
      </c>
      <c r="Q705" s="282">
        <v>99.323293641458321</v>
      </c>
      <c r="R705" s="283">
        <v>98.990411695833316</v>
      </c>
      <c r="S705" s="284">
        <v>1029.8732463917361</v>
      </c>
      <c r="T705" s="284">
        <v>537.21067645916673</v>
      </c>
      <c r="U705" s="296">
        <f t="shared" si="20"/>
        <v>112.08424639173586</v>
      </c>
      <c r="V705" s="296">
        <f t="shared" si="21"/>
        <v>37.416676459166752</v>
      </c>
      <c r="W705" s="287">
        <v>87</v>
      </c>
      <c r="X705" s="280">
        <v>85</v>
      </c>
      <c r="Y705" s="280">
        <v>87</v>
      </c>
      <c r="Z705" s="280">
        <v>88</v>
      </c>
      <c r="AA705" s="280">
        <v>88</v>
      </c>
      <c r="AB705" s="280">
        <v>90</v>
      </c>
      <c r="AC705" s="280">
        <v>93</v>
      </c>
      <c r="AD705" s="280">
        <v>97</v>
      </c>
      <c r="AE705" s="280">
        <v>99</v>
      </c>
      <c r="AF705" s="280">
        <v>100</v>
      </c>
      <c r="AG705" s="280">
        <v>101</v>
      </c>
      <c r="AH705" s="280">
        <v>104</v>
      </c>
    </row>
    <row r="706" spans="1:34" s="1" customFormat="1" ht="13" x14ac:dyDescent="0.25">
      <c r="A706" s="280" t="s">
        <v>1248</v>
      </c>
      <c r="B706" s="286">
        <v>442</v>
      </c>
      <c r="C706" s="286">
        <v>727.875</v>
      </c>
      <c r="D706" s="286">
        <v>1013.7500000000001</v>
      </c>
      <c r="E706" s="286">
        <v>2</v>
      </c>
      <c r="F706" s="281">
        <v>5</v>
      </c>
      <c r="G706" s="282">
        <v>80.489678562500004</v>
      </c>
      <c r="H706" s="282">
        <v>84.306968393749997</v>
      </c>
      <c r="I706" s="282">
        <v>87.768272329166678</v>
      </c>
      <c r="J706" s="282">
        <v>91.753771806666663</v>
      </c>
      <c r="K706" s="282">
        <v>91.170686275277788</v>
      </c>
      <c r="L706" s="282">
        <v>92.962671171527774</v>
      </c>
      <c r="M706" s="282">
        <v>96.125431482777785</v>
      </c>
      <c r="N706" s="282">
        <v>99.247872531944438</v>
      </c>
      <c r="O706" s="282">
        <v>102.11887243333334</v>
      </c>
      <c r="P706" s="282">
        <v>103.31758837999999</v>
      </c>
      <c r="Q706" s="282">
        <v>103.91451239145832</v>
      </c>
      <c r="R706" s="283">
        <v>104.15466169583331</v>
      </c>
      <c r="S706" s="284">
        <v>1056.8413088917362</v>
      </c>
      <c r="T706" s="284">
        <v>544.08780145916671</v>
      </c>
      <c r="U706" s="296">
        <f t="shared" si="20"/>
        <v>139.05230889173595</v>
      </c>
      <c r="V706" s="296">
        <f t="shared" si="21"/>
        <v>44.29380145916673</v>
      </c>
      <c r="W706" s="287">
        <v>87</v>
      </c>
      <c r="X706" s="280">
        <v>85</v>
      </c>
      <c r="Y706" s="280">
        <v>88</v>
      </c>
      <c r="Z706" s="280">
        <v>90</v>
      </c>
      <c r="AA706" s="280">
        <v>91</v>
      </c>
      <c r="AB706" s="280">
        <v>94</v>
      </c>
      <c r="AC706" s="280">
        <v>98</v>
      </c>
      <c r="AD706" s="280">
        <v>103</v>
      </c>
      <c r="AE706" s="280">
        <v>106</v>
      </c>
      <c r="AF706" s="280">
        <v>108</v>
      </c>
      <c r="AG706" s="280">
        <v>110</v>
      </c>
      <c r="AH706" s="280">
        <v>114</v>
      </c>
    </row>
    <row r="707" spans="1:34" s="1" customFormat="1" ht="13" x14ac:dyDescent="0.25">
      <c r="A707" s="280" t="s">
        <v>1249</v>
      </c>
      <c r="B707" s="286">
        <v>442</v>
      </c>
      <c r="C707" s="286">
        <v>727.875</v>
      </c>
      <c r="D707" s="286">
        <v>1013.7500000000001</v>
      </c>
      <c r="E707" s="286">
        <v>3</v>
      </c>
      <c r="F707" s="281">
        <v>0</v>
      </c>
      <c r="G707" s="282">
        <v>80.489678562500004</v>
      </c>
      <c r="H707" s="282">
        <v>83.638019699305531</v>
      </c>
      <c r="I707" s="282">
        <v>84.486845690277789</v>
      </c>
      <c r="J707" s="282">
        <v>86.369354223333332</v>
      </c>
      <c r="K707" s="282">
        <v>83.65823763638889</v>
      </c>
      <c r="L707" s="282">
        <v>83.140240615972218</v>
      </c>
      <c r="M707" s="282">
        <v>83.850917593888894</v>
      </c>
      <c r="N707" s="282">
        <v>84.430858643055558</v>
      </c>
      <c r="O707" s="282">
        <v>84.337674516666652</v>
      </c>
      <c r="P707" s="282">
        <v>82.606650879999989</v>
      </c>
      <c r="Q707" s="282">
        <v>80.454668641458326</v>
      </c>
      <c r="R707" s="283">
        <v>77.769383918055553</v>
      </c>
      <c r="S707" s="284">
        <v>914.7428520584026</v>
      </c>
      <c r="T707" s="284">
        <v>505.14361545916665</v>
      </c>
      <c r="U707" s="296">
        <f t="shared" si="20"/>
        <v>-3.04614794159761</v>
      </c>
      <c r="V707" s="296">
        <f t="shared" si="21"/>
        <v>5.3496154591666709</v>
      </c>
      <c r="W707" s="287">
        <v>87</v>
      </c>
      <c r="X707" s="280">
        <v>85</v>
      </c>
      <c r="Y707" s="280">
        <v>83</v>
      </c>
      <c r="Z707" s="280">
        <v>80</v>
      </c>
      <c r="AA707" s="280">
        <v>76</v>
      </c>
      <c r="AB707" s="280">
        <v>74</v>
      </c>
      <c r="AC707" s="280">
        <v>73</v>
      </c>
      <c r="AD707" s="280">
        <v>73</v>
      </c>
      <c r="AE707" s="280">
        <v>71</v>
      </c>
      <c r="AF707" s="280">
        <v>68</v>
      </c>
      <c r="AG707" s="280">
        <v>65</v>
      </c>
      <c r="AH707" s="280">
        <v>64</v>
      </c>
    </row>
    <row r="708" spans="1:34" s="1" customFormat="1" ht="13" x14ac:dyDescent="0.25">
      <c r="A708" s="280" t="s">
        <v>1250</v>
      </c>
      <c r="B708" s="286">
        <v>442</v>
      </c>
      <c r="C708" s="286">
        <v>727.875</v>
      </c>
      <c r="D708" s="286">
        <v>1013.7500000000001</v>
      </c>
      <c r="E708" s="286">
        <v>3</v>
      </c>
      <c r="F708" s="281">
        <v>1</v>
      </c>
      <c r="G708" s="282">
        <v>80.489678562500004</v>
      </c>
      <c r="H708" s="282">
        <v>83.638019699305531</v>
      </c>
      <c r="I708" s="282">
        <v>84.931845690277797</v>
      </c>
      <c r="J708" s="282">
        <v>87.259354223333332</v>
      </c>
      <c r="K708" s="282">
        <v>84.993237636388898</v>
      </c>
      <c r="L708" s="282">
        <v>84.987615615972203</v>
      </c>
      <c r="M708" s="282">
        <v>86.210667593888886</v>
      </c>
      <c r="N708" s="282">
        <v>87.302983643055555</v>
      </c>
      <c r="O708" s="282">
        <v>87.782830766666663</v>
      </c>
      <c r="P708" s="282">
        <v>86.624838379999986</v>
      </c>
      <c r="Q708" s="282">
        <v>85.045887391458336</v>
      </c>
      <c r="R708" s="283">
        <v>82.933633918055548</v>
      </c>
      <c r="S708" s="284">
        <v>941.71091455840269</v>
      </c>
      <c r="T708" s="284">
        <v>512.02074045916663</v>
      </c>
      <c r="U708" s="296">
        <f t="shared" si="20"/>
        <v>23.921914558402477</v>
      </c>
      <c r="V708" s="296">
        <f t="shared" si="21"/>
        <v>12.226740459166649</v>
      </c>
      <c r="W708" s="287">
        <v>87</v>
      </c>
      <c r="X708" s="280">
        <v>85</v>
      </c>
      <c r="Y708" s="280">
        <v>84</v>
      </c>
      <c r="Z708" s="280">
        <v>82</v>
      </c>
      <c r="AA708" s="280">
        <v>79</v>
      </c>
      <c r="AB708" s="280">
        <v>78</v>
      </c>
      <c r="AC708" s="280">
        <v>78</v>
      </c>
      <c r="AD708" s="280">
        <v>79</v>
      </c>
      <c r="AE708" s="280">
        <v>78</v>
      </c>
      <c r="AF708" s="280">
        <v>76</v>
      </c>
      <c r="AG708" s="280">
        <v>74</v>
      </c>
      <c r="AH708" s="280">
        <v>74</v>
      </c>
    </row>
    <row r="709" spans="1:34" s="1" customFormat="1" ht="13" x14ac:dyDescent="0.25">
      <c r="A709" s="280" t="s">
        <v>1251</v>
      </c>
      <c r="B709" s="286">
        <v>442</v>
      </c>
      <c r="C709" s="286">
        <v>727.875</v>
      </c>
      <c r="D709" s="286">
        <v>1013.7500000000001</v>
      </c>
      <c r="E709" s="286">
        <v>3</v>
      </c>
      <c r="F709" s="281">
        <v>2</v>
      </c>
      <c r="G709" s="282">
        <v>80.489678562500004</v>
      </c>
      <c r="H709" s="282">
        <v>83.638019699305531</v>
      </c>
      <c r="I709" s="282">
        <v>85.37684569027779</v>
      </c>
      <c r="J709" s="282">
        <v>88.149354223333333</v>
      </c>
      <c r="K709" s="282">
        <v>86.328237636388891</v>
      </c>
      <c r="L709" s="282">
        <v>86.834990615972202</v>
      </c>
      <c r="M709" s="282">
        <v>88.570417593888891</v>
      </c>
      <c r="N709" s="282">
        <v>90.175108643055552</v>
      </c>
      <c r="O709" s="282">
        <v>91.22798701666666</v>
      </c>
      <c r="P709" s="282">
        <v>90.643025879999996</v>
      </c>
      <c r="Q709" s="282">
        <v>89.637106141458318</v>
      </c>
      <c r="R709" s="283">
        <v>88.097883918055544</v>
      </c>
      <c r="S709" s="284">
        <v>968.67897705840278</v>
      </c>
      <c r="T709" s="284">
        <v>518.89786545916672</v>
      </c>
      <c r="U709" s="296">
        <f t="shared" ref="U709:U772" si="22">S709-S$3</f>
        <v>50.889977058402565</v>
      </c>
      <c r="V709" s="296">
        <f t="shared" ref="V709:V772" si="23">T709-T$3</f>
        <v>19.103865459166741</v>
      </c>
      <c r="W709" s="287">
        <v>87</v>
      </c>
      <c r="X709" s="280">
        <v>85</v>
      </c>
      <c r="Y709" s="280">
        <v>85</v>
      </c>
      <c r="Z709" s="280">
        <v>84</v>
      </c>
      <c r="AA709" s="280">
        <v>82</v>
      </c>
      <c r="AB709" s="280">
        <v>82</v>
      </c>
      <c r="AC709" s="280">
        <v>83</v>
      </c>
      <c r="AD709" s="280">
        <v>85</v>
      </c>
      <c r="AE709" s="280">
        <v>85</v>
      </c>
      <c r="AF709" s="280">
        <v>84</v>
      </c>
      <c r="AG709" s="280">
        <v>83</v>
      </c>
      <c r="AH709" s="280">
        <v>84</v>
      </c>
    </row>
    <row r="710" spans="1:34" s="1" customFormat="1" ht="13" x14ac:dyDescent="0.25">
      <c r="A710" s="280" t="s">
        <v>1252</v>
      </c>
      <c r="B710" s="286">
        <v>442</v>
      </c>
      <c r="C710" s="286">
        <v>727.875</v>
      </c>
      <c r="D710" s="286">
        <v>1013.7500000000001</v>
      </c>
      <c r="E710" s="286">
        <v>3</v>
      </c>
      <c r="F710" s="281">
        <v>3</v>
      </c>
      <c r="G710" s="282">
        <v>80.489678562500004</v>
      </c>
      <c r="H710" s="282">
        <v>83.638019699305531</v>
      </c>
      <c r="I710" s="282">
        <v>85.821845690277797</v>
      </c>
      <c r="J710" s="282">
        <v>89.039354223333333</v>
      </c>
      <c r="K710" s="282">
        <v>87.663237636388885</v>
      </c>
      <c r="L710" s="282">
        <v>88.682365615972216</v>
      </c>
      <c r="M710" s="282">
        <v>90.930167593888896</v>
      </c>
      <c r="N710" s="282">
        <v>93.047233643055549</v>
      </c>
      <c r="O710" s="282">
        <v>94.673143266666671</v>
      </c>
      <c r="P710" s="282">
        <v>94.661213379999992</v>
      </c>
      <c r="Q710" s="282">
        <v>94.228324891458314</v>
      </c>
      <c r="R710" s="283">
        <v>93.262133918055554</v>
      </c>
      <c r="S710" s="284">
        <v>995.64703955840287</v>
      </c>
      <c r="T710" s="284">
        <v>525.7749904591667</v>
      </c>
      <c r="U710" s="296">
        <f t="shared" si="22"/>
        <v>77.858039558402652</v>
      </c>
      <c r="V710" s="296">
        <f t="shared" si="23"/>
        <v>25.980990459166719</v>
      </c>
      <c r="W710" s="287">
        <v>87</v>
      </c>
      <c r="X710" s="280">
        <v>85</v>
      </c>
      <c r="Y710" s="280">
        <v>86</v>
      </c>
      <c r="Z710" s="280">
        <v>86</v>
      </c>
      <c r="AA710" s="280">
        <v>85</v>
      </c>
      <c r="AB710" s="280">
        <v>86</v>
      </c>
      <c r="AC710" s="280">
        <v>88</v>
      </c>
      <c r="AD710" s="280">
        <v>91</v>
      </c>
      <c r="AE710" s="280">
        <v>92</v>
      </c>
      <c r="AF710" s="280">
        <v>92</v>
      </c>
      <c r="AG710" s="280">
        <v>92</v>
      </c>
      <c r="AH710" s="280">
        <v>94</v>
      </c>
    </row>
    <row r="711" spans="1:34" s="1" customFormat="1" ht="13" x14ac:dyDescent="0.25">
      <c r="A711" s="280" t="s">
        <v>1253</v>
      </c>
      <c r="B711" s="286">
        <v>442</v>
      </c>
      <c r="C711" s="286">
        <v>727.875</v>
      </c>
      <c r="D711" s="286">
        <v>1013.7500000000001</v>
      </c>
      <c r="E711" s="286">
        <v>3</v>
      </c>
      <c r="F711" s="281">
        <v>4</v>
      </c>
      <c r="G711" s="282">
        <v>80.489678562500004</v>
      </c>
      <c r="H711" s="282">
        <v>83.638019699305531</v>
      </c>
      <c r="I711" s="282">
        <v>86.26684569027779</v>
      </c>
      <c r="J711" s="282">
        <v>89.929354223333334</v>
      </c>
      <c r="K711" s="282">
        <v>88.998237636388907</v>
      </c>
      <c r="L711" s="282">
        <v>90.529740615972216</v>
      </c>
      <c r="M711" s="282">
        <v>93.289917593888887</v>
      </c>
      <c r="N711" s="282">
        <v>95.919358643055546</v>
      </c>
      <c r="O711" s="282">
        <v>98.118299516666667</v>
      </c>
      <c r="P711" s="282">
        <v>98.679400879999989</v>
      </c>
      <c r="Q711" s="282">
        <v>98.819543641458324</v>
      </c>
      <c r="R711" s="283">
        <v>98.426383918055549</v>
      </c>
      <c r="S711" s="284">
        <v>1022.6151020584027</v>
      </c>
      <c r="T711" s="284">
        <v>532.65211545916668</v>
      </c>
      <c r="U711" s="296">
        <f t="shared" si="22"/>
        <v>104.82610205840251</v>
      </c>
      <c r="V711" s="296">
        <f t="shared" si="23"/>
        <v>32.858115459166697</v>
      </c>
      <c r="W711" s="287">
        <v>87</v>
      </c>
      <c r="X711" s="280">
        <v>85</v>
      </c>
      <c r="Y711" s="280">
        <v>87</v>
      </c>
      <c r="Z711" s="280">
        <v>88</v>
      </c>
      <c r="AA711" s="280">
        <v>88</v>
      </c>
      <c r="AB711" s="280">
        <v>90</v>
      </c>
      <c r="AC711" s="280">
        <v>93</v>
      </c>
      <c r="AD711" s="280">
        <v>97</v>
      </c>
      <c r="AE711" s="280">
        <v>99</v>
      </c>
      <c r="AF711" s="280">
        <v>100</v>
      </c>
      <c r="AG711" s="280">
        <v>101</v>
      </c>
      <c r="AH711" s="280">
        <v>104</v>
      </c>
    </row>
    <row r="712" spans="1:34" s="1" customFormat="1" ht="13" x14ac:dyDescent="0.25">
      <c r="A712" s="280" t="s">
        <v>1254</v>
      </c>
      <c r="B712" s="286">
        <v>442</v>
      </c>
      <c r="C712" s="286">
        <v>727.875</v>
      </c>
      <c r="D712" s="286">
        <v>1013.7500000000001</v>
      </c>
      <c r="E712" s="286">
        <v>3</v>
      </c>
      <c r="F712" s="281">
        <v>5</v>
      </c>
      <c r="G712" s="282">
        <v>80.489678562500004</v>
      </c>
      <c r="H712" s="282">
        <v>83.638019699305531</v>
      </c>
      <c r="I712" s="282">
        <v>86.711845690277798</v>
      </c>
      <c r="J712" s="282">
        <v>90.81935422333332</v>
      </c>
      <c r="K712" s="282">
        <v>90.333237636388901</v>
      </c>
      <c r="L712" s="282">
        <v>92.377115615972215</v>
      </c>
      <c r="M712" s="282">
        <v>95.649667593888893</v>
      </c>
      <c r="N712" s="282">
        <v>98.791483643055557</v>
      </c>
      <c r="O712" s="282">
        <v>101.56345576666668</v>
      </c>
      <c r="P712" s="282">
        <v>102.69758837999998</v>
      </c>
      <c r="Q712" s="282">
        <v>103.41076239145832</v>
      </c>
      <c r="R712" s="283">
        <v>103.59063391805554</v>
      </c>
      <c r="S712" s="284">
        <v>1049.5831645584028</v>
      </c>
      <c r="T712" s="284">
        <v>539.52924045916666</v>
      </c>
      <c r="U712" s="296">
        <f t="shared" si="22"/>
        <v>131.7941645584026</v>
      </c>
      <c r="V712" s="296">
        <f t="shared" si="23"/>
        <v>39.735240459166675</v>
      </c>
      <c r="W712" s="287">
        <v>87</v>
      </c>
      <c r="X712" s="280">
        <v>85</v>
      </c>
      <c r="Y712" s="280">
        <v>88</v>
      </c>
      <c r="Z712" s="280">
        <v>90</v>
      </c>
      <c r="AA712" s="280">
        <v>91</v>
      </c>
      <c r="AB712" s="280">
        <v>94</v>
      </c>
      <c r="AC712" s="280">
        <v>98</v>
      </c>
      <c r="AD712" s="280">
        <v>103</v>
      </c>
      <c r="AE712" s="280">
        <v>106</v>
      </c>
      <c r="AF712" s="280">
        <v>108</v>
      </c>
      <c r="AG712" s="280">
        <v>110</v>
      </c>
      <c r="AH712" s="280">
        <v>114</v>
      </c>
    </row>
    <row r="713" spans="1:34" s="1" customFormat="1" ht="13" x14ac:dyDescent="0.25">
      <c r="A713" s="280" t="s">
        <v>1255</v>
      </c>
      <c r="B713" s="286">
        <v>442</v>
      </c>
      <c r="C713" s="286">
        <v>727.875</v>
      </c>
      <c r="D713" s="286">
        <v>1013.7500000000001</v>
      </c>
      <c r="E713" s="286">
        <v>4</v>
      </c>
      <c r="F713" s="281">
        <v>0</v>
      </c>
      <c r="G713" s="282">
        <v>80.489678562500004</v>
      </c>
      <c r="H713" s="282">
        <v>83.250821027083333</v>
      </c>
      <c r="I713" s="282">
        <v>83.838422920833338</v>
      </c>
      <c r="J713" s="282">
        <v>85.520916139999983</v>
      </c>
      <c r="K713" s="282">
        <v>82.786250608611113</v>
      </c>
      <c r="L713" s="282">
        <v>82.468813671527769</v>
      </c>
      <c r="M713" s="282">
        <v>83.328868982777763</v>
      </c>
      <c r="N713" s="282">
        <v>84.008914198611095</v>
      </c>
      <c r="O713" s="282">
        <v>83.840382849999997</v>
      </c>
      <c r="P713" s="282">
        <v>82.051234213333331</v>
      </c>
      <c r="Q713" s="282">
        <v>79.860501974791646</v>
      </c>
      <c r="R713" s="283">
        <v>77.241953362499984</v>
      </c>
      <c r="S713" s="284">
        <v>908.19707995006934</v>
      </c>
      <c r="T713" s="284">
        <v>501.19409335083327</v>
      </c>
      <c r="U713" s="296">
        <f t="shared" si="22"/>
        <v>-9.5919200499308772</v>
      </c>
      <c r="V713" s="296">
        <f t="shared" si="23"/>
        <v>1.4000933508332878</v>
      </c>
      <c r="W713" s="287">
        <v>87</v>
      </c>
      <c r="X713" s="280">
        <v>85</v>
      </c>
      <c r="Y713" s="280">
        <v>83</v>
      </c>
      <c r="Z713" s="280">
        <v>80</v>
      </c>
      <c r="AA713" s="280">
        <v>76</v>
      </c>
      <c r="AB713" s="280">
        <v>74</v>
      </c>
      <c r="AC713" s="280">
        <v>73</v>
      </c>
      <c r="AD713" s="280">
        <v>73</v>
      </c>
      <c r="AE713" s="280">
        <v>71</v>
      </c>
      <c r="AF713" s="280">
        <v>68</v>
      </c>
      <c r="AG713" s="280">
        <v>65</v>
      </c>
      <c r="AH713" s="280">
        <v>64</v>
      </c>
    </row>
    <row r="714" spans="1:34" s="1" customFormat="1" ht="13" x14ac:dyDescent="0.25">
      <c r="A714" s="280" t="s">
        <v>1256</v>
      </c>
      <c r="B714" s="286">
        <v>442</v>
      </c>
      <c r="C714" s="286">
        <v>727.875</v>
      </c>
      <c r="D714" s="286">
        <v>1013.7500000000001</v>
      </c>
      <c r="E714" s="286">
        <v>4</v>
      </c>
      <c r="F714" s="281">
        <v>1</v>
      </c>
      <c r="G714" s="282">
        <v>80.489678562500004</v>
      </c>
      <c r="H714" s="282">
        <v>83.250821027083333</v>
      </c>
      <c r="I714" s="282">
        <v>84.283422920833345</v>
      </c>
      <c r="J714" s="282">
        <v>86.410916139999998</v>
      </c>
      <c r="K714" s="282">
        <v>84.12125060861112</v>
      </c>
      <c r="L714" s="282">
        <v>84.316188671527769</v>
      </c>
      <c r="M714" s="282">
        <v>85.688618982777768</v>
      </c>
      <c r="N714" s="282">
        <v>86.881039198611106</v>
      </c>
      <c r="O714" s="282">
        <v>87.285539100000008</v>
      </c>
      <c r="P714" s="282">
        <v>86.069421713333327</v>
      </c>
      <c r="Q714" s="282">
        <v>84.45172072479167</v>
      </c>
      <c r="R714" s="283">
        <v>82.406203362499994</v>
      </c>
      <c r="S714" s="284">
        <v>935.16514245006954</v>
      </c>
      <c r="T714" s="284">
        <v>508.07121835083331</v>
      </c>
      <c r="U714" s="296">
        <f t="shared" si="22"/>
        <v>17.376142450069324</v>
      </c>
      <c r="V714" s="296">
        <f t="shared" si="23"/>
        <v>8.2772183508333228</v>
      </c>
      <c r="W714" s="287">
        <v>87</v>
      </c>
      <c r="X714" s="280">
        <v>85</v>
      </c>
      <c r="Y714" s="280">
        <v>84</v>
      </c>
      <c r="Z714" s="280">
        <v>82</v>
      </c>
      <c r="AA714" s="280">
        <v>79</v>
      </c>
      <c r="AB714" s="280">
        <v>78</v>
      </c>
      <c r="AC714" s="280">
        <v>78</v>
      </c>
      <c r="AD714" s="280">
        <v>79</v>
      </c>
      <c r="AE714" s="280">
        <v>78</v>
      </c>
      <c r="AF714" s="280">
        <v>76</v>
      </c>
      <c r="AG714" s="280">
        <v>74</v>
      </c>
      <c r="AH714" s="280">
        <v>74</v>
      </c>
    </row>
    <row r="715" spans="1:34" s="1" customFormat="1" ht="13" x14ac:dyDescent="0.25">
      <c r="A715" s="280" t="s">
        <v>1257</v>
      </c>
      <c r="B715" s="286">
        <v>442</v>
      </c>
      <c r="C715" s="286">
        <v>727.875</v>
      </c>
      <c r="D715" s="286">
        <v>1013.7500000000001</v>
      </c>
      <c r="E715" s="286">
        <v>4</v>
      </c>
      <c r="F715" s="281">
        <v>2</v>
      </c>
      <c r="G715" s="282">
        <v>80.489678562500004</v>
      </c>
      <c r="H715" s="282">
        <v>83.250821027083333</v>
      </c>
      <c r="I715" s="282">
        <v>84.728422920833339</v>
      </c>
      <c r="J715" s="282">
        <v>87.300916139999998</v>
      </c>
      <c r="K715" s="282">
        <v>85.456250608611128</v>
      </c>
      <c r="L715" s="282">
        <v>86.163563671527768</v>
      </c>
      <c r="M715" s="282">
        <v>88.048368982777774</v>
      </c>
      <c r="N715" s="282">
        <v>89.753164198611103</v>
      </c>
      <c r="O715" s="282">
        <v>90.730695350000005</v>
      </c>
      <c r="P715" s="282">
        <v>90.087609213333337</v>
      </c>
      <c r="Q715" s="282">
        <v>89.042939474791666</v>
      </c>
      <c r="R715" s="283">
        <v>87.570453362500004</v>
      </c>
      <c r="S715" s="284">
        <v>962.1332049500694</v>
      </c>
      <c r="T715" s="284">
        <v>514.94834335083328</v>
      </c>
      <c r="U715" s="296">
        <f t="shared" si="22"/>
        <v>44.344204950069184</v>
      </c>
      <c r="V715" s="296">
        <f t="shared" si="23"/>
        <v>15.154343350833301</v>
      </c>
      <c r="W715" s="287">
        <v>87</v>
      </c>
      <c r="X715" s="280">
        <v>85</v>
      </c>
      <c r="Y715" s="280">
        <v>85</v>
      </c>
      <c r="Z715" s="280">
        <v>84</v>
      </c>
      <c r="AA715" s="280">
        <v>82</v>
      </c>
      <c r="AB715" s="280">
        <v>82</v>
      </c>
      <c r="AC715" s="280">
        <v>83</v>
      </c>
      <c r="AD715" s="280">
        <v>85</v>
      </c>
      <c r="AE715" s="280">
        <v>85</v>
      </c>
      <c r="AF715" s="280">
        <v>84</v>
      </c>
      <c r="AG715" s="280">
        <v>83</v>
      </c>
      <c r="AH715" s="280">
        <v>84</v>
      </c>
    </row>
    <row r="716" spans="1:34" s="1" customFormat="1" ht="13" x14ac:dyDescent="0.25">
      <c r="A716" s="280" t="s">
        <v>1258</v>
      </c>
      <c r="B716" s="286">
        <v>442</v>
      </c>
      <c r="C716" s="286">
        <v>727.875</v>
      </c>
      <c r="D716" s="286">
        <v>1013.7500000000001</v>
      </c>
      <c r="E716" s="286">
        <v>4</v>
      </c>
      <c r="F716" s="281">
        <v>3</v>
      </c>
      <c r="G716" s="282">
        <v>80.489678562500004</v>
      </c>
      <c r="H716" s="282">
        <v>83.250821027083333</v>
      </c>
      <c r="I716" s="282">
        <v>85.173422920833346</v>
      </c>
      <c r="J716" s="282">
        <v>88.190916139999999</v>
      </c>
      <c r="K716" s="282">
        <v>86.791250608611122</v>
      </c>
      <c r="L716" s="282">
        <v>88.010938671527768</v>
      </c>
      <c r="M716" s="282">
        <v>90.408118982777779</v>
      </c>
      <c r="N716" s="282">
        <v>92.6252891986111</v>
      </c>
      <c r="O716" s="282">
        <v>94.175851600000016</v>
      </c>
      <c r="P716" s="282">
        <v>94.105796713333334</v>
      </c>
      <c r="Q716" s="282">
        <v>93.634158224791662</v>
      </c>
      <c r="R716" s="283">
        <v>92.734703362499999</v>
      </c>
      <c r="S716" s="284">
        <v>989.10126745006949</v>
      </c>
      <c r="T716" s="284">
        <v>521.82546835083338</v>
      </c>
      <c r="U716" s="296">
        <f t="shared" si="22"/>
        <v>71.312267450069271</v>
      </c>
      <c r="V716" s="296">
        <f t="shared" si="23"/>
        <v>22.031468350833393</v>
      </c>
      <c r="W716" s="287">
        <v>87</v>
      </c>
      <c r="X716" s="280">
        <v>85</v>
      </c>
      <c r="Y716" s="280">
        <v>86</v>
      </c>
      <c r="Z716" s="280">
        <v>86</v>
      </c>
      <c r="AA716" s="280">
        <v>85</v>
      </c>
      <c r="AB716" s="280">
        <v>86</v>
      </c>
      <c r="AC716" s="280">
        <v>88</v>
      </c>
      <c r="AD716" s="280">
        <v>91</v>
      </c>
      <c r="AE716" s="280">
        <v>92</v>
      </c>
      <c r="AF716" s="280">
        <v>92</v>
      </c>
      <c r="AG716" s="280">
        <v>92</v>
      </c>
      <c r="AH716" s="280">
        <v>94</v>
      </c>
    </row>
    <row r="717" spans="1:34" s="1" customFormat="1" ht="13" x14ac:dyDescent="0.25">
      <c r="A717" s="280" t="s">
        <v>1259</v>
      </c>
      <c r="B717" s="286">
        <v>442</v>
      </c>
      <c r="C717" s="286">
        <v>727.875</v>
      </c>
      <c r="D717" s="286">
        <v>1013.7500000000001</v>
      </c>
      <c r="E717" s="286">
        <v>4</v>
      </c>
      <c r="F717" s="281">
        <v>4</v>
      </c>
      <c r="G717" s="282">
        <v>80.489678562500004</v>
      </c>
      <c r="H717" s="282">
        <v>83.250821027083333</v>
      </c>
      <c r="I717" s="282">
        <v>85.618422920833339</v>
      </c>
      <c r="J717" s="282">
        <v>89.080916139999999</v>
      </c>
      <c r="K717" s="282">
        <v>88.12625060861113</v>
      </c>
      <c r="L717" s="282">
        <v>89.858313671527767</v>
      </c>
      <c r="M717" s="282">
        <v>92.767868982777784</v>
      </c>
      <c r="N717" s="282">
        <v>95.497414198611096</v>
      </c>
      <c r="O717" s="282">
        <v>97.621007850000012</v>
      </c>
      <c r="P717" s="282">
        <v>98.12398421333333</v>
      </c>
      <c r="Q717" s="282">
        <v>98.225376974791658</v>
      </c>
      <c r="R717" s="283">
        <v>97.898953362500009</v>
      </c>
      <c r="S717" s="284">
        <v>1016.0693299500693</v>
      </c>
      <c r="T717" s="284">
        <v>528.70259335083335</v>
      </c>
      <c r="U717" s="296">
        <f t="shared" si="22"/>
        <v>98.280329950069131</v>
      </c>
      <c r="V717" s="296">
        <f t="shared" si="23"/>
        <v>28.908593350833371</v>
      </c>
      <c r="W717" s="287">
        <v>87</v>
      </c>
      <c r="X717" s="280">
        <v>85</v>
      </c>
      <c r="Y717" s="280">
        <v>87</v>
      </c>
      <c r="Z717" s="280">
        <v>88</v>
      </c>
      <c r="AA717" s="280">
        <v>88</v>
      </c>
      <c r="AB717" s="280">
        <v>90</v>
      </c>
      <c r="AC717" s="280">
        <v>93</v>
      </c>
      <c r="AD717" s="280">
        <v>97</v>
      </c>
      <c r="AE717" s="280">
        <v>99</v>
      </c>
      <c r="AF717" s="280">
        <v>100</v>
      </c>
      <c r="AG717" s="280">
        <v>101</v>
      </c>
      <c r="AH717" s="280">
        <v>104</v>
      </c>
    </row>
    <row r="718" spans="1:34" s="1" customFormat="1" ht="13" x14ac:dyDescent="0.25">
      <c r="A718" s="280" t="s">
        <v>1260</v>
      </c>
      <c r="B718" s="286">
        <v>442</v>
      </c>
      <c r="C718" s="286">
        <v>727.875</v>
      </c>
      <c r="D718" s="286">
        <v>1013.7500000000001</v>
      </c>
      <c r="E718" s="286">
        <v>4</v>
      </c>
      <c r="F718" s="281">
        <v>5</v>
      </c>
      <c r="G718" s="282">
        <v>80.489678562500004</v>
      </c>
      <c r="H718" s="282">
        <v>83.250821027083333</v>
      </c>
      <c r="I718" s="282">
        <v>86.063422920833347</v>
      </c>
      <c r="J718" s="282">
        <v>89.97091614</v>
      </c>
      <c r="K718" s="282">
        <v>89.461250608611124</v>
      </c>
      <c r="L718" s="282">
        <v>91.705688671527767</v>
      </c>
      <c r="M718" s="282">
        <v>95.12761898277779</v>
      </c>
      <c r="N718" s="282">
        <v>98.369539198611093</v>
      </c>
      <c r="O718" s="282">
        <v>101.06616410000001</v>
      </c>
      <c r="P718" s="282">
        <v>102.14217171333333</v>
      </c>
      <c r="Q718" s="282">
        <v>102.81659572479167</v>
      </c>
      <c r="R718" s="283">
        <v>103.0632033625</v>
      </c>
      <c r="S718" s="284">
        <v>1043.0373924500695</v>
      </c>
      <c r="T718" s="284">
        <v>535.57971835083333</v>
      </c>
      <c r="U718" s="296">
        <f t="shared" si="22"/>
        <v>125.24839245006933</v>
      </c>
      <c r="V718" s="296">
        <f t="shared" si="23"/>
        <v>35.785718350833349</v>
      </c>
      <c r="W718" s="287">
        <v>87</v>
      </c>
      <c r="X718" s="280">
        <v>85</v>
      </c>
      <c r="Y718" s="280">
        <v>88</v>
      </c>
      <c r="Z718" s="280">
        <v>90</v>
      </c>
      <c r="AA718" s="280">
        <v>91</v>
      </c>
      <c r="AB718" s="280">
        <v>94</v>
      </c>
      <c r="AC718" s="280">
        <v>98</v>
      </c>
      <c r="AD718" s="280">
        <v>103</v>
      </c>
      <c r="AE718" s="280">
        <v>106</v>
      </c>
      <c r="AF718" s="280">
        <v>108</v>
      </c>
      <c r="AG718" s="280">
        <v>110</v>
      </c>
      <c r="AH718" s="280">
        <v>114</v>
      </c>
    </row>
    <row r="719" spans="1:34" s="1" customFormat="1" ht="13" x14ac:dyDescent="0.25">
      <c r="A719" s="280" t="s">
        <v>1261</v>
      </c>
      <c r="B719" s="286">
        <v>442</v>
      </c>
      <c r="C719" s="286">
        <v>727.875</v>
      </c>
      <c r="D719" s="286">
        <v>1013.7500000000001</v>
      </c>
      <c r="E719" s="286">
        <v>5</v>
      </c>
      <c r="F719" s="281">
        <v>0</v>
      </c>
      <c r="G719" s="282">
        <v>80.489678562500004</v>
      </c>
      <c r="H719" s="282">
        <v>83.015737693749998</v>
      </c>
      <c r="I719" s="282">
        <v>83.416982754166682</v>
      </c>
      <c r="J719" s="282">
        <v>84.944893889999989</v>
      </c>
      <c r="K719" s="282">
        <v>81.998520858611116</v>
      </c>
      <c r="L719" s="282">
        <v>81.723440338194436</v>
      </c>
      <c r="M719" s="282">
        <v>82.787063899444448</v>
      </c>
      <c r="N719" s="282">
        <v>83.528414198611117</v>
      </c>
      <c r="O719" s="282">
        <v>83.387007850000003</v>
      </c>
      <c r="P719" s="282">
        <v>81.542317546666652</v>
      </c>
      <c r="Q719" s="282">
        <v>79.307668641458321</v>
      </c>
      <c r="R719" s="283">
        <v>76.651661695833312</v>
      </c>
      <c r="S719" s="284">
        <v>902.30370936673626</v>
      </c>
      <c r="T719" s="284">
        <v>497.88663943416668</v>
      </c>
      <c r="U719" s="296">
        <f t="shared" si="22"/>
        <v>-15.485290633263958</v>
      </c>
      <c r="V719" s="296">
        <f t="shared" si="23"/>
        <v>-1.9073605658333008</v>
      </c>
      <c r="W719" s="287">
        <v>87</v>
      </c>
      <c r="X719" s="280">
        <v>85</v>
      </c>
      <c r="Y719" s="280">
        <v>83</v>
      </c>
      <c r="Z719" s="280">
        <v>80</v>
      </c>
      <c r="AA719" s="280">
        <v>76</v>
      </c>
      <c r="AB719" s="280">
        <v>74</v>
      </c>
      <c r="AC719" s="280">
        <v>73</v>
      </c>
      <c r="AD719" s="280">
        <v>73</v>
      </c>
      <c r="AE719" s="280">
        <v>71</v>
      </c>
      <c r="AF719" s="280">
        <v>68</v>
      </c>
      <c r="AG719" s="280">
        <v>65</v>
      </c>
      <c r="AH719" s="280">
        <v>64</v>
      </c>
    </row>
    <row r="720" spans="1:34" s="1" customFormat="1" ht="13" x14ac:dyDescent="0.25">
      <c r="A720" s="280" t="s">
        <v>1262</v>
      </c>
      <c r="B720" s="286">
        <v>442</v>
      </c>
      <c r="C720" s="286">
        <v>727.875</v>
      </c>
      <c r="D720" s="286">
        <v>1013.7500000000001</v>
      </c>
      <c r="E720" s="286">
        <v>5</v>
      </c>
      <c r="F720" s="281">
        <v>1</v>
      </c>
      <c r="G720" s="282">
        <v>80.489678562500004</v>
      </c>
      <c r="H720" s="282">
        <v>83.015737693749998</v>
      </c>
      <c r="I720" s="282">
        <v>83.861982754166689</v>
      </c>
      <c r="J720" s="282">
        <v>85.834893890000004</v>
      </c>
      <c r="K720" s="282">
        <v>83.333520858611124</v>
      </c>
      <c r="L720" s="282">
        <v>83.570815338194436</v>
      </c>
      <c r="M720" s="282">
        <v>85.146813899444439</v>
      </c>
      <c r="N720" s="282">
        <v>86.400539198611114</v>
      </c>
      <c r="O720" s="282">
        <v>86.832164100000014</v>
      </c>
      <c r="P720" s="282">
        <v>85.560505046666677</v>
      </c>
      <c r="Q720" s="282">
        <v>83.898887391458331</v>
      </c>
      <c r="R720" s="283">
        <v>81.815911695833321</v>
      </c>
      <c r="S720" s="284">
        <v>929.271771866736</v>
      </c>
      <c r="T720" s="284">
        <v>504.76376443416672</v>
      </c>
      <c r="U720" s="296">
        <f t="shared" si="22"/>
        <v>11.482771866735789</v>
      </c>
      <c r="V720" s="296">
        <f t="shared" si="23"/>
        <v>4.9697644341667342</v>
      </c>
      <c r="W720" s="287">
        <v>87</v>
      </c>
      <c r="X720" s="280">
        <v>85</v>
      </c>
      <c r="Y720" s="280">
        <v>84</v>
      </c>
      <c r="Z720" s="280">
        <v>82</v>
      </c>
      <c r="AA720" s="280">
        <v>79</v>
      </c>
      <c r="AB720" s="280">
        <v>78</v>
      </c>
      <c r="AC720" s="280">
        <v>78</v>
      </c>
      <c r="AD720" s="280">
        <v>79</v>
      </c>
      <c r="AE720" s="280">
        <v>78</v>
      </c>
      <c r="AF720" s="280">
        <v>76</v>
      </c>
      <c r="AG720" s="280">
        <v>74</v>
      </c>
      <c r="AH720" s="280">
        <v>74</v>
      </c>
    </row>
    <row r="721" spans="1:34" s="1" customFormat="1" ht="13" x14ac:dyDescent="0.25">
      <c r="A721" s="280" t="s">
        <v>1263</v>
      </c>
      <c r="B721" s="286">
        <v>442</v>
      </c>
      <c r="C721" s="286">
        <v>727.875</v>
      </c>
      <c r="D721" s="286">
        <v>1013.7500000000001</v>
      </c>
      <c r="E721" s="286">
        <v>5</v>
      </c>
      <c r="F721" s="281">
        <v>2</v>
      </c>
      <c r="G721" s="282">
        <v>80.489678562500004</v>
      </c>
      <c r="H721" s="282">
        <v>83.015737693749998</v>
      </c>
      <c r="I721" s="282">
        <v>84.306982754166683</v>
      </c>
      <c r="J721" s="282">
        <v>86.724893890000004</v>
      </c>
      <c r="K721" s="282">
        <v>84.668520858611132</v>
      </c>
      <c r="L721" s="282">
        <v>85.418190338194421</v>
      </c>
      <c r="M721" s="282">
        <v>87.506563899444444</v>
      </c>
      <c r="N721" s="282">
        <v>89.272664198611096</v>
      </c>
      <c r="O721" s="282">
        <v>90.277320349999997</v>
      </c>
      <c r="P721" s="282">
        <v>89.578692546666645</v>
      </c>
      <c r="Q721" s="282">
        <v>88.490106141458327</v>
      </c>
      <c r="R721" s="283">
        <v>86.980161695833317</v>
      </c>
      <c r="S721" s="284">
        <v>956.23983436673609</v>
      </c>
      <c r="T721" s="284">
        <v>511.64088943416675</v>
      </c>
      <c r="U721" s="296">
        <f t="shared" si="22"/>
        <v>38.450834366735876</v>
      </c>
      <c r="V721" s="296">
        <f t="shared" si="23"/>
        <v>11.846889434166769</v>
      </c>
      <c r="W721" s="287">
        <v>87</v>
      </c>
      <c r="X721" s="280">
        <v>85</v>
      </c>
      <c r="Y721" s="280">
        <v>85</v>
      </c>
      <c r="Z721" s="280">
        <v>84</v>
      </c>
      <c r="AA721" s="280">
        <v>82</v>
      </c>
      <c r="AB721" s="280">
        <v>82</v>
      </c>
      <c r="AC721" s="280">
        <v>83</v>
      </c>
      <c r="AD721" s="280">
        <v>85</v>
      </c>
      <c r="AE721" s="280">
        <v>85</v>
      </c>
      <c r="AF721" s="280">
        <v>84</v>
      </c>
      <c r="AG721" s="280">
        <v>83</v>
      </c>
      <c r="AH721" s="280">
        <v>84</v>
      </c>
    </row>
    <row r="722" spans="1:34" s="1" customFormat="1" ht="13" x14ac:dyDescent="0.25">
      <c r="A722" s="280" t="s">
        <v>1264</v>
      </c>
      <c r="B722" s="286">
        <v>442</v>
      </c>
      <c r="C722" s="286">
        <v>727.875</v>
      </c>
      <c r="D722" s="286">
        <v>1013.7500000000001</v>
      </c>
      <c r="E722" s="286">
        <v>5</v>
      </c>
      <c r="F722" s="281">
        <v>3</v>
      </c>
      <c r="G722" s="282">
        <v>80.489678562500004</v>
      </c>
      <c r="H722" s="282">
        <v>83.015737693749998</v>
      </c>
      <c r="I722" s="282">
        <v>84.75198275416669</v>
      </c>
      <c r="J722" s="282">
        <v>87.614893890000005</v>
      </c>
      <c r="K722" s="282">
        <v>86.003520858611125</v>
      </c>
      <c r="L722" s="282">
        <v>87.265565338194421</v>
      </c>
      <c r="M722" s="282">
        <v>89.866313899444435</v>
      </c>
      <c r="N722" s="282">
        <v>92.144789198611093</v>
      </c>
      <c r="O722" s="282">
        <v>93.722476600000022</v>
      </c>
      <c r="P722" s="282">
        <v>93.596880046666641</v>
      </c>
      <c r="Q722" s="282">
        <v>93.081324891458323</v>
      </c>
      <c r="R722" s="283">
        <v>92.144411695833313</v>
      </c>
      <c r="S722" s="284">
        <v>983.20789686673618</v>
      </c>
      <c r="T722" s="284">
        <v>518.51801443416673</v>
      </c>
      <c r="U722" s="296">
        <f t="shared" si="22"/>
        <v>65.418896866735963</v>
      </c>
      <c r="V722" s="296">
        <f t="shared" si="23"/>
        <v>18.724014434166747</v>
      </c>
      <c r="W722" s="287">
        <v>87</v>
      </c>
      <c r="X722" s="280">
        <v>85</v>
      </c>
      <c r="Y722" s="280">
        <v>86</v>
      </c>
      <c r="Z722" s="280">
        <v>86</v>
      </c>
      <c r="AA722" s="280">
        <v>85</v>
      </c>
      <c r="AB722" s="280">
        <v>86</v>
      </c>
      <c r="AC722" s="280">
        <v>88</v>
      </c>
      <c r="AD722" s="280">
        <v>91</v>
      </c>
      <c r="AE722" s="280">
        <v>92</v>
      </c>
      <c r="AF722" s="280">
        <v>92</v>
      </c>
      <c r="AG722" s="280">
        <v>92</v>
      </c>
      <c r="AH722" s="280">
        <v>94</v>
      </c>
    </row>
    <row r="723" spans="1:34" s="1" customFormat="1" ht="13" x14ac:dyDescent="0.25">
      <c r="A723" s="280" t="s">
        <v>1265</v>
      </c>
      <c r="B723" s="286">
        <v>442</v>
      </c>
      <c r="C723" s="286">
        <v>727.875</v>
      </c>
      <c r="D723" s="286">
        <v>1013.7500000000001</v>
      </c>
      <c r="E723" s="286">
        <v>5</v>
      </c>
      <c r="F723" s="281">
        <v>4</v>
      </c>
      <c r="G723" s="282">
        <v>80.489678562500004</v>
      </c>
      <c r="H723" s="282">
        <v>83.015737693749998</v>
      </c>
      <c r="I723" s="282">
        <v>85.196982754166683</v>
      </c>
      <c r="J723" s="282">
        <v>88.504893890000005</v>
      </c>
      <c r="K723" s="282">
        <v>87.338520858611133</v>
      </c>
      <c r="L723" s="282">
        <v>89.11294033819442</v>
      </c>
      <c r="M723" s="282">
        <v>92.226063899444426</v>
      </c>
      <c r="N723" s="282">
        <v>95.016914198611104</v>
      </c>
      <c r="O723" s="282">
        <v>97.167632850000018</v>
      </c>
      <c r="P723" s="282">
        <v>97.615067546666651</v>
      </c>
      <c r="Q723" s="282">
        <v>97.672543641458319</v>
      </c>
      <c r="R723" s="283">
        <v>97.308661695833322</v>
      </c>
      <c r="S723" s="284">
        <v>1010.175959366736</v>
      </c>
      <c r="T723" s="284">
        <v>525.39513943416671</v>
      </c>
      <c r="U723" s="296">
        <f t="shared" si="22"/>
        <v>92.386959366735823</v>
      </c>
      <c r="V723" s="296">
        <f t="shared" si="23"/>
        <v>25.601139434166726</v>
      </c>
      <c r="W723" s="287">
        <v>87</v>
      </c>
      <c r="X723" s="280">
        <v>85</v>
      </c>
      <c r="Y723" s="280">
        <v>87</v>
      </c>
      <c r="Z723" s="280">
        <v>88</v>
      </c>
      <c r="AA723" s="280">
        <v>88</v>
      </c>
      <c r="AB723" s="280">
        <v>90</v>
      </c>
      <c r="AC723" s="280">
        <v>93</v>
      </c>
      <c r="AD723" s="280">
        <v>97</v>
      </c>
      <c r="AE723" s="280">
        <v>99</v>
      </c>
      <c r="AF723" s="280">
        <v>100</v>
      </c>
      <c r="AG723" s="280">
        <v>101</v>
      </c>
      <c r="AH723" s="280">
        <v>104</v>
      </c>
    </row>
    <row r="724" spans="1:34" s="1" customFormat="1" ht="13" x14ac:dyDescent="0.25">
      <c r="A724" s="280" t="s">
        <v>1266</v>
      </c>
      <c r="B724" s="286">
        <v>442</v>
      </c>
      <c r="C724" s="286">
        <v>727.875</v>
      </c>
      <c r="D724" s="286">
        <v>1013.7500000000001</v>
      </c>
      <c r="E724" s="286">
        <v>5</v>
      </c>
      <c r="F724" s="281">
        <v>5</v>
      </c>
      <c r="G724" s="282">
        <v>80.489678562500004</v>
      </c>
      <c r="H724" s="282">
        <v>83.015737693749998</v>
      </c>
      <c r="I724" s="282">
        <v>85.64198275416669</v>
      </c>
      <c r="J724" s="282">
        <v>89.394893889999992</v>
      </c>
      <c r="K724" s="282">
        <v>88.673520858611127</v>
      </c>
      <c r="L724" s="282">
        <v>90.96031533819442</v>
      </c>
      <c r="M724" s="282">
        <v>94.585813899444432</v>
      </c>
      <c r="N724" s="282">
        <v>97.889039198611101</v>
      </c>
      <c r="O724" s="282">
        <v>100.61278910000001</v>
      </c>
      <c r="P724" s="282">
        <v>101.63325504666665</v>
      </c>
      <c r="Q724" s="282">
        <v>102.26376239145831</v>
      </c>
      <c r="R724" s="283">
        <v>102.47291169583332</v>
      </c>
      <c r="S724" s="284">
        <v>1037.1440218667362</v>
      </c>
      <c r="T724" s="284">
        <v>532.27226443416669</v>
      </c>
      <c r="U724" s="296">
        <f t="shared" si="22"/>
        <v>119.35502186673602</v>
      </c>
      <c r="V724" s="296">
        <f t="shared" si="23"/>
        <v>32.478264434166704</v>
      </c>
      <c r="W724" s="287">
        <v>87</v>
      </c>
      <c r="X724" s="280">
        <v>85</v>
      </c>
      <c r="Y724" s="280">
        <v>88</v>
      </c>
      <c r="Z724" s="280">
        <v>90</v>
      </c>
      <c r="AA724" s="280">
        <v>91</v>
      </c>
      <c r="AB724" s="280">
        <v>94</v>
      </c>
      <c r="AC724" s="280">
        <v>98</v>
      </c>
      <c r="AD724" s="280">
        <v>103</v>
      </c>
      <c r="AE724" s="280">
        <v>106</v>
      </c>
      <c r="AF724" s="280">
        <v>108</v>
      </c>
      <c r="AG724" s="280">
        <v>110</v>
      </c>
      <c r="AH724" s="280">
        <v>114</v>
      </c>
    </row>
    <row r="725" spans="1:34" s="1" customFormat="1" ht="13" x14ac:dyDescent="0.25">
      <c r="A725" s="280" t="s">
        <v>1267</v>
      </c>
      <c r="B725" s="286">
        <v>442</v>
      </c>
      <c r="C725" s="286">
        <v>727.875</v>
      </c>
      <c r="D725" s="286">
        <v>1013.7500000000001</v>
      </c>
      <c r="E725" s="286">
        <v>1</v>
      </c>
      <c r="F725" s="281">
        <v>0</v>
      </c>
      <c r="G725" s="282">
        <v>80.489678562500004</v>
      </c>
      <c r="H725" s="282">
        <v>86.131791885416661</v>
      </c>
      <c r="I725" s="282">
        <v>87.244956245833336</v>
      </c>
      <c r="J725" s="282">
        <v>88.89062322333335</v>
      </c>
      <c r="K725" s="282">
        <v>85.716439775277792</v>
      </c>
      <c r="L725" s="282">
        <v>84.386421171527772</v>
      </c>
      <c r="M725" s="282">
        <v>85.047306482777785</v>
      </c>
      <c r="N725" s="282">
        <v>85.655372531944437</v>
      </c>
      <c r="O725" s="282">
        <v>85.870799516666665</v>
      </c>
      <c r="P725" s="282">
        <v>84.009984213333325</v>
      </c>
      <c r="Q725" s="282">
        <v>81.776751974791665</v>
      </c>
      <c r="R725" s="283">
        <v>79.251536695833323</v>
      </c>
      <c r="S725" s="284">
        <v>933.98198371673607</v>
      </c>
      <c r="T725" s="284">
        <v>517.41753878416671</v>
      </c>
      <c r="U725" s="296">
        <f t="shared" si="22"/>
        <v>16.192983716735853</v>
      </c>
      <c r="V725" s="296">
        <f t="shared" si="23"/>
        <v>17.623538784166726</v>
      </c>
      <c r="W725" s="287">
        <v>87</v>
      </c>
      <c r="X725" s="280">
        <v>85</v>
      </c>
      <c r="Y725" s="280">
        <v>83</v>
      </c>
      <c r="Z725" s="280">
        <v>80</v>
      </c>
      <c r="AA725" s="280">
        <v>76</v>
      </c>
      <c r="AB725" s="280">
        <v>74</v>
      </c>
      <c r="AC725" s="280">
        <v>73</v>
      </c>
      <c r="AD725" s="280">
        <v>73</v>
      </c>
      <c r="AE725" s="280">
        <v>71</v>
      </c>
      <c r="AF725" s="280">
        <v>68</v>
      </c>
      <c r="AG725" s="280">
        <v>65</v>
      </c>
      <c r="AH725" s="280">
        <v>64</v>
      </c>
    </row>
    <row r="726" spans="1:34" s="1" customFormat="1" ht="13" x14ac:dyDescent="0.25">
      <c r="A726" s="280" t="s">
        <v>1268</v>
      </c>
      <c r="B726" s="286">
        <v>442</v>
      </c>
      <c r="C726" s="286">
        <v>727.875</v>
      </c>
      <c r="D726" s="286">
        <v>1013.7500000000001</v>
      </c>
      <c r="E726" s="286">
        <v>1</v>
      </c>
      <c r="F726" s="281">
        <v>1</v>
      </c>
      <c r="G726" s="282">
        <v>80.489678562500004</v>
      </c>
      <c r="H726" s="282">
        <v>86.131791885416661</v>
      </c>
      <c r="I726" s="282">
        <v>87.689956245833329</v>
      </c>
      <c r="J726" s="282">
        <v>89.780623223333322</v>
      </c>
      <c r="K726" s="282">
        <v>87.051439775277785</v>
      </c>
      <c r="L726" s="282">
        <v>86.233796171527771</v>
      </c>
      <c r="M726" s="282">
        <v>87.407056482777804</v>
      </c>
      <c r="N726" s="282">
        <v>88.527497531944448</v>
      </c>
      <c r="O726" s="282">
        <v>89.316580766666675</v>
      </c>
      <c r="P726" s="282">
        <v>88.029421713333335</v>
      </c>
      <c r="Q726" s="282">
        <v>86.369845724791659</v>
      </c>
      <c r="R726" s="283">
        <v>84.418286695833316</v>
      </c>
      <c r="S726" s="284">
        <v>960.95629621673606</v>
      </c>
      <c r="T726" s="284">
        <v>524.29466378416669</v>
      </c>
      <c r="U726" s="296">
        <f t="shared" si="22"/>
        <v>43.167296216735849</v>
      </c>
      <c r="V726" s="296">
        <f t="shared" si="23"/>
        <v>24.500663784166704</v>
      </c>
      <c r="W726" s="287">
        <v>87</v>
      </c>
      <c r="X726" s="280">
        <v>85</v>
      </c>
      <c r="Y726" s="280">
        <v>84</v>
      </c>
      <c r="Z726" s="280">
        <v>82</v>
      </c>
      <c r="AA726" s="280">
        <v>79</v>
      </c>
      <c r="AB726" s="280">
        <v>78</v>
      </c>
      <c r="AC726" s="280">
        <v>78</v>
      </c>
      <c r="AD726" s="280">
        <v>79</v>
      </c>
      <c r="AE726" s="280">
        <v>78</v>
      </c>
      <c r="AF726" s="280">
        <v>76</v>
      </c>
      <c r="AG726" s="280">
        <v>74</v>
      </c>
      <c r="AH726" s="280">
        <v>74</v>
      </c>
    </row>
    <row r="727" spans="1:34" s="1" customFormat="1" ht="13" x14ac:dyDescent="0.25">
      <c r="A727" s="280" t="s">
        <v>1269</v>
      </c>
      <c r="B727" s="286">
        <v>442</v>
      </c>
      <c r="C727" s="286">
        <v>727.875</v>
      </c>
      <c r="D727" s="286">
        <v>1013.7500000000001</v>
      </c>
      <c r="E727" s="286">
        <v>1</v>
      </c>
      <c r="F727" s="281">
        <v>2</v>
      </c>
      <c r="G727" s="282">
        <v>80.489678562500004</v>
      </c>
      <c r="H727" s="282">
        <v>86.131791885416661</v>
      </c>
      <c r="I727" s="282">
        <v>88.134956245833337</v>
      </c>
      <c r="J727" s="282">
        <v>90.670623223333322</v>
      </c>
      <c r="K727" s="282">
        <v>88.386439775277793</v>
      </c>
      <c r="L727" s="282">
        <v>88.081171171527771</v>
      </c>
      <c r="M727" s="282">
        <v>89.766806482777795</v>
      </c>
      <c r="N727" s="282">
        <v>91.399622531944445</v>
      </c>
      <c r="O727" s="282">
        <v>92.762362016666671</v>
      </c>
      <c r="P727" s="282">
        <v>92.04885921333333</v>
      </c>
      <c r="Q727" s="282">
        <v>90.962939474791668</v>
      </c>
      <c r="R727" s="283">
        <v>89.58503669583331</v>
      </c>
      <c r="S727" s="284">
        <v>987.93060871673617</v>
      </c>
      <c r="T727" s="284">
        <v>531.17178878416667</v>
      </c>
      <c r="U727" s="296">
        <f t="shared" si="22"/>
        <v>70.141608716735959</v>
      </c>
      <c r="V727" s="296">
        <f t="shared" si="23"/>
        <v>31.377788784166682</v>
      </c>
      <c r="W727" s="287">
        <v>87</v>
      </c>
      <c r="X727" s="280">
        <v>85</v>
      </c>
      <c r="Y727" s="280">
        <v>85</v>
      </c>
      <c r="Z727" s="280">
        <v>84</v>
      </c>
      <c r="AA727" s="280">
        <v>82</v>
      </c>
      <c r="AB727" s="280">
        <v>82</v>
      </c>
      <c r="AC727" s="280">
        <v>83</v>
      </c>
      <c r="AD727" s="280">
        <v>85</v>
      </c>
      <c r="AE727" s="280">
        <v>85</v>
      </c>
      <c r="AF727" s="280">
        <v>84</v>
      </c>
      <c r="AG727" s="280">
        <v>83</v>
      </c>
      <c r="AH727" s="280">
        <v>84</v>
      </c>
    </row>
    <row r="728" spans="1:34" s="1" customFormat="1" ht="13" x14ac:dyDescent="0.25">
      <c r="A728" s="280" t="s">
        <v>1270</v>
      </c>
      <c r="B728" s="286">
        <v>442</v>
      </c>
      <c r="C728" s="286">
        <v>727.875</v>
      </c>
      <c r="D728" s="286">
        <v>1013.7500000000001</v>
      </c>
      <c r="E728" s="286">
        <v>1</v>
      </c>
      <c r="F728" s="281">
        <v>3</v>
      </c>
      <c r="G728" s="282">
        <v>80.489678562500004</v>
      </c>
      <c r="H728" s="282">
        <v>86.131791885416661</v>
      </c>
      <c r="I728" s="282">
        <v>88.57995624583333</v>
      </c>
      <c r="J728" s="282">
        <v>91.560623223333323</v>
      </c>
      <c r="K728" s="282">
        <v>89.721439775277787</v>
      </c>
      <c r="L728" s="282">
        <v>89.928546171527771</v>
      </c>
      <c r="M728" s="282">
        <v>92.126556482777801</v>
      </c>
      <c r="N728" s="282">
        <v>94.271747531944442</v>
      </c>
      <c r="O728" s="282">
        <v>96.208143266666667</v>
      </c>
      <c r="P728" s="282">
        <v>96.068296713333339</v>
      </c>
      <c r="Q728" s="282">
        <v>95.556033224791662</v>
      </c>
      <c r="R728" s="283">
        <v>94.751786695833317</v>
      </c>
      <c r="S728" s="284">
        <v>1014.9049212167361</v>
      </c>
      <c r="T728" s="284">
        <v>538.04891378416664</v>
      </c>
      <c r="U728" s="296">
        <f t="shared" si="22"/>
        <v>97.115921216735842</v>
      </c>
      <c r="V728" s="296">
        <f t="shared" si="23"/>
        <v>38.254913784166661</v>
      </c>
      <c r="W728" s="287">
        <v>87</v>
      </c>
      <c r="X728" s="280">
        <v>85</v>
      </c>
      <c r="Y728" s="280">
        <v>86</v>
      </c>
      <c r="Z728" s="280">
        <v>86</v>
      </c>
      <c r="AA728" s="280">
        <v>85</v>
      </c>
      <c r="AB728" s="280">
        <v>86</v>
      </c>
      <c r="AC728" s="280">
        <v>88</v>
      </c>
      <c r="AD728" s="280">
        <v>91</v>
      </c>
      <c r="AE728" s="280">
        <v>92</v>
      </c>
      <c r="AF728" s="280">
        <v>92</v>
      </c>
      <c r="AG728" s="280">
        <v>92</v>
      </c>
      <c r="AH728" s="280">
        <v>94</v>
      </c>
    </row>
    <row r="729" spans="1:34" s="1" customFormat="1" ht="13" x14ac:dyDescent="0.25">
      <c r="A729" s="280" t="s">
        <v>1271</v>
      </c>
      <c r="B729" s="286">
        <v>442</v>
      </c>
      <c r="C729" s="286">
        <v>727.875</v>
      </c>
      <c r="D729" s="286">
        <v>1013.7500000000001</v>
      </c>
      <c r="E729" s="286">
        <v>1</v>
      </c>
      <c r="F729" s="281">
        <v>4</v>
      </c>
      <c r="G729" s="282">
        <v>80.489678562500004</v>
      </c>
      <c r="H729" s="282">
        <v>86.131791885416661</v>
      </c>
      <c r="I729" s="282">
        <v>89.024956245833337</v>
      </c>
      <c r="J729" s="282">
        <v>92.450623223333324</v>
      </c>
      <c r="K729" s="282">
        <v>91.056439775277795</v>
      </c>
      <c r="L729" s="282">
        <v>91.77592117152777</v>
      </c>
      <c r="M729" s="282">
        <v>94.486306482777792</v>
      </c>
      <c r="N729" s="282">
        <v>97.143872531944439</v>
      </c>
      <c r="O729" s="282">
        <v>99.653924516666677</v>
      </c>
      <c r="P729" s="282">
        <v>100.08773421333333</v>
      </c>
      <c r="Q729" s="282">
        <v>100.14912697479167</v>
      </c>
      <c r="R729" s="283">
        <v>99.918536695833311</v>
      </c>
      <c r="S729" s="284">
        <v>1041.8792337167363</v>
      </c>
      <c r="T729" s="284">
        <v>544.92603878416674</v>
      </c>
      <c r="U729" s="296">
        <f t="shared" si="22"/>
        <v>124.09023371673607</v>
      </c>
      <c r="V729" s="296">
        <f t="shared" si="23"/>
        <v>45.132038784166753</v>
      </c>
      <c r="W729" s="287">
        <v>87</v>
      </c>
      <c r="X729" s="280">
        <v>85</v>
      </c>
      <c r="Y729" s="280">
        <v>87</v>
      </c>
      <c r="Z729" s="280">
        <v>88</v>
      </c>
      <c r="AA729" s="280">
        <v>88</v>
      </c>
      <c r="AB729" s="280">
        <v>90</v>
      </c>
      <c r="AC729" s="280">
        <v>93</v>
      </c>
      <c r="AD729" s="280">
        <v>97</v>
      </c>
      <c r="AE729" s="280">
        <v>99</v>
      </c>
      <c r="AF729" s="280">
        <v>100</v>
      </c>
      <c r="AG729" s="280">
        <v>101</v>
      </c>
      <c r="AH729" s="280">
        <v>104</v>
      </c>
    </row>
    <row r="730" spans="1:34" s="1" customFormat="1" ht="13" x14ac:dyDescent="0.25">
      <c r="A730" s="280" t="s">
        <v>1272</v>
      </c>
      <c r="B730" s="286">
        <v>442</v>
      </c>
      <c r="C730" s="286">
        <v>727.875</v>
      </c>
      <c r="D730" s="286">
        <v>1013.7500000000001</v>
      </c>
      <c r="E730" s="286">
        <v>1</v>
      </c>
      <c r="F730" s="281">
        <v>5</v>
      </c>
      <c r="G730" s="282">
        <v>80.489678562500004</v>
      </c>
      <c r="H730" s="282">
        <v>86.131791885416661</v>
      </c>
      <c r="I730" s="282">
        <v>89.46995624583333</v>
      </c>
      <c r="J730" s="282">
        <v>93.340623223333324</v>
      </c>
      <c r="K730" s="282">
        <v>92.391439775277789</v>
      </c>
      <c r="L730" s="282">
        <v>93.62329617152777</v>
      </c>
      <c r="M730" s="282">
        <v>96.846056482777797</v>
      </c>
      <c r="N730" s="282">
        <v>100.01599753194444</v>
      </c>
      <c r="O730" s="282">
        <v>103.09970576666667</v>
      </c>
      <c r="P730" s="282">
        <v>104.10717171333333</v>
      </c>
      <c r="Q730" s="282">
        <v>104.74222072479166</v>
      </c>
      <c r="R730" s="283">
        <v>105.08528669583332</v>
      </c>
      <c r="S730" s="284">
        <v>1068.853546216736</v>
      </c>
      <c r="T730" s="284">
        <v>551.80316378416671</v>
      </c>
      <c r="U730" s="296">
        <f t="shared" si="22"/>
        <v>151.06454621673583</v>
      </c>
      <c r="V730" s="296">
        <f t="shared" si="23"/>
        <v>52.009163784166731</v>
      </c>
      <c r="W730" s="287">
        <v>87</v>
      </c>
      <c r="X730" s="280">
        <v>85</v>
      </c>
      <c r="Y730" s="280">
        <v>88</v>
      </c>
      <c r="Z730" s="280">
        <v>90</v>
      </c>
      <c r="AA730" s="280">
        <v>91</v>
      </c>
      <c r="AB730" s="280">
        <v>94</v>
      </c>
      <c r="AC730" s="280">
        <v>98</v>
      </c>
      <c r="AD730" s="280">
        <v>103</v>
      </c>
      <c r="AE730" s="280">
        <v>106</v>
      </c>
      <c r="AF730" s="280">
        <v>108</v>
      </c>
      <c r="AG730" s="280">
        <v>110</v>
      </c>
      <c r="AH730" s="280">
        <v>114</v>
      </c>
    </row>
    <row r="731" spans="1:34" s="1" customFormat="1" ht="13" x14ac:dyDescent="0.25">
      <c r="A731" s="280" t="s">
        <v>1273</v>
      </c>
      <c r="B731" s="286">
        <v>442</v>
      </c>
      <c r="C731" s="286">
        <v>727.875</v>
      </c>
      <c r="D731" s="286">
        <v>1013.7500000000001</v>
      </c>
      <c r="E731" s="286">
        <v>2</v>
      </c>
      <c r="F731" s="281">
        <v>0</v>
      </c>
      <c r="G731" s="282">
        <v>80.489678562500004</v>
      </c>
      <c r="H731" s="282">
        <v>84.496343393749996</v>
      </c>
      <c r="I731" s="282">
        <v>85.762673370833326</v>
      </c>
      <c r="J731" s="282">
        <v>87.560855140000015</v>
      </c>
      <c r="K731" s="282">
        <v>84.74745710861113</v>
      </c>
      <c r="L731" s="282">
        <v>83.980171171527772</v>
      </c>
      <c r="M731" s="282">
        <v>84.59027523277777</v>
      </c>
      <c r="N731" s="282">
        <v>85.160580865277765</v>
      </c>
      <c r="O731" s="282">
        <v>85.180695349999993</v>
      </c>
      <c r="P731" s="282">
        <v>83.515192546666682</v>
      </c>
      <c r="Q731" s="282">
        <v>81.242897808124994</v>
      </c>
      <c r="R731" s="283">
        <v>78.613515862499995</v>
      </c>
      <c r="S731" s="284">
        <v>924.85065785006941</v>
      </c>
      <c r="T731" s="284">
        <v>511.13777541750005</v>
      </c>
      <c r="U731" s="296">
        <f t="shared" si="22"/>
        <v>7.0616578500691958</v>
      </c>
      <c r="V731" s="296">
        <f t="shared" si="23"/>
        <v>11.343775417500069</v>
      </c>
      <c r="W731" s="287">
        <v>87</v>
      </c>
      <c r="X731" s="280">
        <v>85</v>
      </c>
      <c r="Y731" s="280">
        <v>83</v>
      </c>
      <c r="Z731" s="280">
        <v>80</v>
      </c>
      <c r="AA731" s="280">
        <v>76</v>
      </c>
      <c r="AB731" s="280">
        <v>74</v>
      </c>
      <c r="AC731" s="280">
        <v>73</v>
      </c>
      <c r="AD731" s="280">
        <v>73</v>
      </c>
      <c r="AE731" s="280">
        <v>71</v>
      </c>
      <c r="AF731" s="280">
        <v>68</v>
      </c>
      <c r="AG731" s="280">
        <v>65</v>
      </c>
      <c r="AH731" s="280">
        <v>64</v>
      </c>
    </row>
    <row r="732" spans="1:34" s="1" customFormat="1" ht="13" x14ac:dyDescent="0.25">
      <c r="A732" s="280" t="s">
        <v>1274</v>
      </c>
      <c r="B732" s="286">
        <v>442</v>
      </c>
      <c r="C732" s="286">
        <v>727.875</v>
      </c>
      <c r="D732" s="286">
        <v>1013.7500000000001</v>
      </c>
      <c r="E732" s="286">
        <v>2</v>
      </c>
      <c r="F732" s="281">
        <v>1</v>
      </c>
      <c r="G732" s="282">
        <v>80.489678562500004</v>
      </c>
      <c r="H732" s="282">
        <v>84.496343393749996</v>
      </c>
      <c r="I732" s="282">
        <v>86.207673370833334</v>
      </c>
      <c r="J732" s="282">
        <v>88.450855140000016</v>
      </c>
      <c r="K732" s="282">
        <v>86.082457108611123</v>
      </c>
      <c r="L732" s="282">
        <v>85.827546171527771</v>
      </c>
      <c r="M732" s="282">
        <v>86.950025232777762</v>
      </c>
      <c r="N732" s="282">
        <v>88.032705865277777</v>
      </c>
      <c r="O732" s="282">
        <v>88.626476600000004</v>
      </c>
      <c r="P732" s="282">
        <v>87.534630046666678</v>
      </c>
      <c r="Q732" s="282">
        <v>85.835991558125002</v>
      </c>
      <c r="R732" s="283">
        <v>83.780265862500002</v>
      </c>
      <c r="S732" s="284">
        <v>951.82497035006952</v>
      </c>
      <c r="T732" s="284">
        <v>518.01490041750003</v>
      </c>
      <c r="U732" s="296">
        <f t="shared" si="22"/>
        <v>34.035970350069306</v>
      </c>
      <c r="V732" s="296">
        <f t="shared" si="23"/>
        <v>18.220900417500047</v>
      </c>
      <c r="W732" s="287">
        <v>87</v>
      </c>
      <c r="X732" s="280">
        <v>85</v>
      </c>
      <c r="Y732" s="280">
        <v>84</v>
      </c>
      <c r="Z732" s="280">
        <v>82</v>
      </c>
      <c r="AA732" s="280">
        <v>79</v>
      </c>
      <c r="AB732" s="280">
        <v>78</v>
      </c>
      <c r="AC732" s="280">
        <v>78</v>
      </c>
      <c r="AD732" s="280">
        <v>79</v>
      </c>
      <c r="AE732" s="280">
        <v>78</v>
      </c>
      <c r="AF732" s="280">
        <v>76</v>
      </c>
      <c r="AG732" s="280">
        <v>74</v>
      </c>
      <c r="AH732" s="280">
        <v>74</v>
      </c>
    </row>
    <row r="733" spans="1:34" s="1" customFormat="1" ht="13" x14ac:dyDescent="0.25">
      <c r="A733" s="280" t="s">
        <v>1275</v>
      </c>
      <c r="B733" s="286">
        <v>442</v>
      </c>
      <c r="C733" s="286">
        <v>727.875</v>
      </c>
      <c r="D733" s="286">
        <v>1013.7500000000001</v>
      </c>
      <c r="E733" s="286">
        <v>2</v>
      </c>
      <c r="F733" s="281">
        <v>2</v>
      </c>
      <c r="G733" s="282">
        <v>80.489678562500004</v>
      </c>
      <c r="H733" s="282">
        <v>84.496343393749996</v>
      </c>
      <c r="I733" s="282">
        <v>86.652673370833327</v>
      </c>
      <c r="J733" s="282">
        <v>89.340855140000002</v>
      </c>
      <c r="K733" s="282">
        <v>87.417457108611131</v>
      </c>
      <c r="L733" s="282">
        <v>87.674921171527771</v>
      </c>
      <c r="M733" s="282">
        <v>89.309775232777781</v>
      </c>
      <c r="N733" s="282">
        <v>90.904830865277773</v>
      </c>
      <c r="O733" s="282">
        <v>92.07225785</v>
      </c>
      <c r="P733" s="282">
        <v>91.554067546666644</v>
      </c>
      <c r="Q733" s="282">
        <v>90.429085308125011</v>
      </c>
      <c r="R733" s="283">
        <v>88.947015862499995</v>
      </c>
      <c r="S733" s="284">
        <v>978.7992828500694</v>
      </c>
      <c r="T733" s="284">
        <v>524.89202541750001</v>
      </c>
      <c r="U733" s="296">
        <f t="shared" si="22"/>
        <v>61.010282850069188</v>
      </c>
      <c r="V733" s="296">
        <f t="shared" si="23"/>
        <v>25.098025417500025</v>
      </c>
      <c r="W733" s="287">
        <v>87</v>
      </c>
      <c r="X733" s="280">
        <v>85</v>
      </c>
      <c r="Y733" s="280">
        <v>85</v>
      </c>
      <c r="Z733" s="280">
        <v>84</v>
      </c>
      <c r="AA733" s="280">
        <v>82</v>
      </c>
      <c r="AB733" s="280">
        <v>82</v>
      </c>
      <c r="AC733" s="280">
        <v>83</v>
      </c>
      <c r="AD733" s="280">
        <v>85</v>
      </c>
      <c r="AE733" s="280">
        <v>85</v>
      </c>
      <c r="AF733" s="280">
        <v>84</v>
      </c>
      <c r="AG733" s="280">
        <v>83</v>
      </c>
      <c r="AH733" s="280">
        <v>84</v>
      </c>
    </row>
    <row r="734" spans="1:34" s="1" customFormat="1" ht="13" x14ac:dyDescent="0.25">
      <c r="A734" s="280" t="s">
        <v>1276</v>
      </c>
      <c r="B734" s="286">
        <v>442</v>
      </c>
      <c r="C734" s="286">
        <v>727.875</v>
      </c>
      <c r="D734" s="286">
        <v>1013.7500000000001</v>
      </c>
      <c r="E734" s="286">
        <v>2</v>
      </c>
      <c r="F734" s="281">
        <v>3</v>
      </c>
      <c r="G734" s="282">
        <v>80.489678562500004</v>
      </c>
      <c r="H734" s="282">
        <v>84.496343393749996</v>
      </c>
      <c r="I734" s="282">
        <v>87.097673370833334</v>
      </c>
      <c r="J734" s="282">
        <v>90.230855140000003</v>
      </c>
      <c r="K734" s="282">
        <v>88.752457108611125</v>
      </c>
      <c r="L734" s="282">
        <v>89.522296171527771</v>
      </c>
      <c r="M734" s="282">
        <v>91.669525232777787</v>
      </c>
      <c r="N734" s="282">
        <v>93.77695586527777</v>
      </c>
      <c r="O734" s="282">
        <v>95.518039099999996</v>
      </c>
      <c r="P734" s="282">
        <v>95.573505046666682</v>
      </c>
      <c r="Q734" s="282">
        <v>95.022179058125005</v>
      </c>
      <c r="R734" s="283">
        <v>94.113765862500003</v>
      </c>
      <c r="S734" s="284">
        <v>1005.7735953500694</v>
      </c>
      <c r="T734" s="284">
        <v>531.76915041749999</v>
      </c>
      <c r="U734" s="296">
        <f t="shared" si="22"/>
        <v>87.984595350069185</v>
      </c>
      <c r="V734" s="296">
        <f t="shared" si="23"/>
        <v>31.975150417500004</v>
      </c>
      <c r="W734" s="287">
        <v>87</v>
      </c>
      <c r="X734" s="280">
        <v>85</v>
      </c>
      <c r="Y734" s="280">
        <v>86</v>
      </c>
      <c r="Z734" s="280">
        <v>86</v>
      </c>
      <c r="AA734" s="280">
        <v>85</v>
      </c>
      <c r="AB734" s="280">
        <v>86</v>
      </c>
      <c r="AC734" s="280">
        <v>88</v>
      </c>
      <c r="AD734" s="280">
        <v>91</v>
      </c>
      <c r="AE734" s="280">
        <v>92</v>
      </c>
      <c r="AF734" s="280">
        <v>92</v>
      </c>
      <c r="AG734" s="280">
        <v>92</v>
      </c>
      <c r="AH734" s="280">
        <v>94</v>
      </c>
    </row>
    <row r="735" spans="1:34" s="1" customFormat="1" ht="13" x14ac:dyDescent="0.25">
      <c r="A735" s="280" t="s">
        <v>1277</v>
      </c>
      <c r="B735" s="286">
        <v>442</v>
      </c>
      <c r="C735" s="286">
        <v>727.875</v>
      </c>
      <c r="D735" s="286">
        <v>1013.7500000000001</v>
      </c>
      <c r="E735" s="286">
        <v>2</v>
      </c>
      <c r="F735" s="281">
        <v>4</v>
      </c>
      <c r="G735" s="282">
        <v>80.489678562500004</v>
      </c>
      <c r="H735" s="282">
        <v>84.496343393749996</v>
      </c>
      <c r="I735" s="282">
        <v>87.542673370833327</v>
      </c>
      <c r="J735" s="282">
        <v>91.120855140000003</v>
      </c>
      <c r="K735" s="282">
        <v>90.087457108611119</v>
      </c>
      <c r="L735" s="282">
        <v>91.36967117152777</v>
      </c>
      <c r="M735" s="282">
        <v>94.029275232777778</v>
      </c>
      <c r="N735" s="282">
        <v>96.649080865277767</v>
      </c>
      <c r="O735" s="282">
        <v>98.963820350000006</v>
      </c>
      <c r="P735" s="282">
        <v>99.592942546666677</v>
      </c>
      <c r="Q735" s="282">
        <v>99.615272808125013</v>
      </c>
      <c r="R735" s="283">
        <v>99.280515862499996</v>
      </c>
      <c r="S735" s="284">
        <v>1032.7479078500694</v>
      </c>
      <c r="T735" s="284">
        <v>538.64627541749996</v>
      </c>
      <c r="U735" s="296">
        <f t="shared" si="22"/>
        <v>114.95890785006918</v>
      </c>
      <c r="V735" s="296">
        <f t="shared" si="23"/>
        <v>38.852275417499982</v>
      </c>
      <c r="W735" s="287">
        <v>87</v>
      </c>
      <c r="X735" s="280">
        <v>85</v>
      </c>
      <c r="Y735" s="280">
        <v>87</v>
      </c>
      <c r="Z735" s="280">
        <v>88</v>
      </c>
      <c r="AA735" s="280">
        <v>88</v>
      </c>
      <c r="AB735" s="280">
        <v>90</v>
      </c>
      <c r="AC735" s="280">
        <v>93</v>
      </c>
      <c r="AD735" s="280">
        <v>97</v>
      </c>
      <c r="AE735" s="280">
        <v>99</v>
      </c>
      <c r="AF735" s="280">
        <v>100</v>
      </c>
      <c r="AG735" s="280">
        <v>101</v>
      </c>
      <c r="AH735" s="280">
        <v>104</v>
      </c>
    </row>
    <row r="736" spans="1:34" s="1" customFormat="1" ht="13" x14ac:dyDescent="0.25">
      <c r="A736" s="280" t="s">
        <v>1278</v>
      </c>
      <c r="B736" s="286">
        <v>442</v>
      </c>
      <c r="C736" s="286">
        <v>727.875</v>
      </c>
      <c r="D736" s="286">
        <v>1013.7500000000001</v>
      </c>
      <c r="E736" s="286">
        <v>2</v>
      </c>
      <c r="F736" s="281">
        <v>5</v>
      </c>
      <c r="G736" s="282">
        <v>80.489678562500004</v>
      </c>
      <c r="H736" s="282">
        <v>84.496343393749996</v>
      </c>
      <c r="I736" s="282">
        <v>87.987673370833335</v>
      </c>
      <c r="J736" s="282">
        <v>92.010855140000004</v>
      </c>
      <c r="K736" s="282">
        <v>91.422457108611127</v>
      </c>
      <c r="L736" s="282">
        <v>93.21704617152777</v>
      </c>
      <c r="M736" s="282">
        <v>96.389025232777783</v>
      </c>
      <c r="N736" s="282">
        <v>99.521205865277764</v>
      </c>
      <c r="O736" s="282">
        <v>102.4096016</v>
      </c>
      <c r="P736" s="282">
        <v>103.61238004666667</v>
      </c>
      <c r="Q736" s="282">
        <v>104.20836655812501</v>
      </c>
      <c r="R736" s="283">
        <v>104.4472658625</v>
      </c>
      <c r="S736" s="284">
        <v>1059.7222203500694</v>
      </c>
      <c r="T736" s="284">
        <v>545.52340041749994</v>
      </c>
      <c r="U736" s="296">
        <f t="shared" si="22"/>
        <v>141.93322035006918</v>
      </c>
      <c r="V736" s="296">
        <f t="shared" si="23"/>
        <v>45.72940041749996</v>
      </c>
      <c r="W736" s="287">
        <v>87</v>
      </c>
      <c r="X736" s="280">
        <v>85</v>
      </c>
      <c r="Y736" s="280">
        <v>88</v>
      </c>
      <c r="Z736" s="280">
        <v>90</v>
      </c>
      <c r="AA736" s="280">
        <v>91</v>
      </c>
      <c r="AB736" s="280">
        <v>94</v>
      </c>
      <c r="AC736" s="280">
        <v>98</v>
      </c>
      <c r="AD736" s="280">
        <v>103</v>
      </c>
      <c r="AE736" s="280">
        <v>106</v>
      </c>
      <c r="AF736" s="280">
        <v>108</v>
      </c>
      <c r="AG736" s="280">
        <v>110</v>
      </c>
      <c r="AH736" s="280">
        <v>114</v>
      </c>
    </row>
    <row r="737" spans="1:34" s="1" customFormat="1" ht="13" x14ac:dyDescent="0.25">
      <c r="A737" s="280" t="s">
        <v>1279</v>
      </c>
      <c r="B737" s="286">
        <v>442</v>
      </c>
      <c r="C737" s="286">
        <v>727.875</v>
      </c>
      <c r="D737" s="286">
        <v>1013.7500000000001</v>
      </c>
      <c r="E737" s="286">
        <v>3</v>
      </c>
      <c r="F737" s="281">
        <v>0</v>
      </c>
      <c r="G737" s="282">
        <v>80.489678562500004</v>
      </c>
      <c r="H737" s="282">
        <v>83.813991921527773</v>
      </c>
      <c r="I737" s="282">
        <v>84.689988051388895</v>
      </c>
      <c r="J737" s="282">
        <v>86.602479223333347</v>
      </c>
      <c r="K737" s="282">
        <v>83.901640414166678</v>
      </c>
      <c r="L737" s="282">
        <v>83.389893393749986</v>
      </c>
      <c r="M737" s="282">
        <v>84.110674538333342</v>
      </c>
      <c r="N737" s="282">
        <v>84.700511420833323</v>
      </c>
      <c r="O737" s="282">
        <v>84.620799516666665</v>
      </c>
      <c r="P737" s="282">
        <v>82.890192546666682</v>
      </c>
      <c r="Q737" s="282">
        <v>80.735085308124994</v>
      </c>
      <c r="R737" s="283">
        <v>78.044939473611095</v>
      </c>
      <c r="S737" s="284">
        <v>917.50019580840274</v>
      </c>
      <c r="T737" s="284">
        <v>506.50866754250001</v>
      </c>
      <c r="U737" s="296">
        <f t="shared" si="22"/>
        <v>-0.28880419159747817</v>
      </c>
      <c r="V737" s="296">
        <f t="shared" si="23"/>
        <v>6.714667542500024</v>
      </c>
      <c r="W737" s="287">
        <v>87</v>
      </c>
      <c r="X737" s="280">
        <v>85</v>
      </c>
      <c r="Y737" s="280">
        <v>83</v>
      </c>
      <c r="Z737" s="280">
        <v>80</v>
      </c>
      <c r="AA737" s="280">
        <v>76</v>
      </c>
      <c r="AB737" s="280">
        <v>74</v>
      </c>
      <c r="AC737" s="280">
        <v>73</v>
      </c>
      <c r="AD737" s="280">
        <v>73</v>
      </c>
      <c r="AE737" s="280">
        <v>71</v>
      </c>
      <c r="AF737" s="280">
        <v>68</v>
      </c>
      <c r="AG737" s="280">
        <v>65</v>
      </c>
      <c r="AH737" s="280">
        <v>64</v>
      </c>
    </row>
    <row r="738" spans="1:34" s="1" customFormat="1" ht="13" x14ac:dyDescent="0.25">
      <c r="A738" s="280" t="s">
        <v>1280</v>
      </c>
      <c r="B738" s="286">
        <v>442</v>
      </c>
      <c r="C738" s="286">
        <v>727.875</v>
      </c>
      <c r="D738" s="286">
        <v>1013.7500000000001</v>
      </c>
      <c r="E738" s="286">
        <v>3</v>
      </c>
      <c r="F738" s="281">
        <v>1</v>
      </c>
      <c r="G738" s="282">
        <v>80.489678562500004</v>
      </c>
      <c r="H738" s="282">
        <v>83.813991921527773</v>
      </c>
      <c r="I738" s="282">
        <v>85.134988051388888</v>
      </c>
      <c r="J738" s="282">
        <v>87.492479223333348</v>
      </c>
      <c r="K738" s="282">
        <v>85.236640414166672</v>
      </c>
      <c r="L738" s="282">
        <v>85.237268393749986</v>
      </c>
      <c r="M738" s="282">
        <v>86.470424538333347</v>
      </c>
      <c r="N738" s="282">
        <v>87.572636420833334</v>
      </c>
      <c r="O738" s="282">
        <v>88.066580766666675</v>
      </c>
      <c r="P738" s="282">
        <v>86.909630046666678</v>
      </c>
      <c r="Q738" s="282">
        <v>85.328179058125002</v>
      </c>
      <c r="R738" s="283">
        <v>83.211689473611116</v>
      </c>
      <c r="S738" s="284">
        <v>944.47450830840285</v>
      </c>
      <c r="T738" s="284">
        <v>513.38579254249998</v>
      </c>
      <c r="U738" s="296">
        <f t="shared" si="22"/>
        <v>26.685508308402632</v>
      </c>
      <c r="V738" s="296">
        <f t="shared" si="23"/>
        <v>13.591792542500002</v>
      </c>
      <c r="W738" s="287">
        <v>87</v>
      </c>
      <c r="X738" s="280">
        <v>85</v>
      </c>
      <c r="Y738" s="280">
        <v>84</v>
      </c>
      <c r="Z738" s="280">
        <v>82</v>
      </c>
      <c r="AA738" s="280">
        <v>79</v>
      </c>
      <c r="AB738" s="280">
        <v>78</v>
      </c>
      <c r="AC738" s="280">
        <v>78</v>
      </c>
      <c r="AD738" s="280">
        <v>79</v>
      </c>
      <c r="AE738" s="280">
        <v>78</v>
      </c>
      <c r="AF738" s="280">
        <v>76</v>
      </c>
      <c r="AG738" s="280">
        <v>74</v>
      </c>
      <c r="AH738" s="280">
        <v>74</v>
      </c>
    </row>
    <row r="739" spans="1:34" s="1" customFormat="1" ht="13" x14ac:dyDescent="0.25">
      <c r="A739" s="280" t="s">
        <v>1281</v>
      </c>
      <c r="B739" s="286">
        <v>442</v>
      </c>
      <c r="C739" s="286">
        <v>727.875</v>
      </c>
      <c r="D739" s="286">
        <v>1013.7500000000001</v>
      </c>
      <c r="E739" s="286">
        <v>3</v>
      </c>
      <c r="F739" s="281">
        <v>2</v>
      </c>
      <c r="G739" s="282">
        <v>80.489678562500004</v>
      </c>
      <c r="H739" s="282">
        <v>83.813991921527773</v>
      </c>
      <c r="I739" s="282">
        <v>85.579988051388895</v>
      </c>
      <c r="J739" s="282">
        <v>88.382479223333348</v>
      </c>
      <c r="K739" s="282">
        <v>86.57164041416668</v>
      </c>
      <c r="L739" s="282">
        <v>87.084643393749985</v>
      </c>
      <c r="M739" s="282">
        <v>88.830174538333338</v>
      </c>
      <c r="N739" s="282">
        <v>90.444761420833331</v>
      </c>
      <c r="O739" s="282">
        <v>91.512362016666671</v>
      </c>
      <c r="P739" s="282">
        <v>90.929067546666644</v>
      </c>
      <c r="Q739" s="282">
        <v>89.921272808125011</v>
      </c>
      <c r="R739" s="283">
        <v>88.37843947361111</v>
      </c>
      <c r="S739" s="284">
        <v>971.44882080840273</v>
      </c>
      <c r="T739" s="284">
        <v>520.26291754250008</v>
      </c>
      <c r="U739" s="296">
        <f t="shared" si="22"/>
        <v>53.659820808402515</v>
      </c>
      <c r="V739" s="296">
        <f t="shared" si="23"/>
        <v>20.468917542500094</v>
      </c>
      <c r="W739" s="287">
        <v>87</v>
      </c>
      <c r="X739" s="280">
        <v>85</v>
      </c>
      <c r="Y739" s="280">
        <v>85</v>
      </c>
      <c r="Z739" s="280">
        <v>84</v>
      </c>
      <c r="AA739" s="280">
        <v>82</v>
      </c>
      <c r="AB739" s="280">
        <v>82</v>
      </c>
      <c r="AC739" s="280">
        <v>83</v>
      </c>
      <c r="AD739" s="280">
        <v>85</v>
      </c>
      <c r="AE739" s="280">
        <v>85</v>
      </c>
      <c r="AF739" s="280">
        <v>84</v>
      </c>
      <c r="AG739" s="280">
        <v>83</v>
      </c>
      <c r="AH739" s="280">
        <v>84</v>
      </c>
    </row>
    <row r="740" spans="1:34" s="1" customFormat="1" ht="13" x14ac:dyDescent="0.25">
      <c r="A740" s="280" t="s">
        <v>1282</v>
      </c>
      <c r="B740" s="286">
        <v>442</v>
      </c>
      <c r="C740" s="286">
        <v>727.875</v>
      </c>
      <c r="D740" s="286">
        <v>1013.7500000000001</v>
      </c>
      <c r="E740" s="286">
        <v>3</v>
      </c>
      <c r="F740" s="281">
        <v>3</v>
      </c>
      <c r="G740" s="282">
        <v>80.489678562500004</v>
      </c>
      <c r="H740" s="282">
        <v>83.813991921527773</v>
      </c>
      <c r="I740" s="282">
        <v>86.024988051388888</v>
      </c>
      <c r="J740" s="282">
        <v>89.272479223333335</v>
      </c>
      <c r="K740" s="282">
        <v>87.906640414166674</v>
      </c>
      <c r="L740" s="282">
        <v>88.932018393749999</v>
      </c>
      <c r="M740" s="282">
        <v>91.189924538333344</v>
      </c>
      <c r="N740" s="282">
        <v>93.316886420833328</v>
      </c>
      <c r="O740" s="282">
        <v>94.958143266666667</v>
      </c>
      <c r="P740" s="282">
        <v>94.948505046666682</v>
      </c>
      <c r="Q740" s="282">
        <v>94.514366558125005</v>
      </c>
      <c r="R740" s="283">
        <v>93.545189473611117</v>
      </c>
      <c r="S740" s="284">
        <v>998.42313330840284</v>
      </c>
      <c r="T740" s="284">
        <v>527.14004254250005</v>
      </c>
      <c r="U740" s="296">
        <f t="shared" si="22"/>
        <v>80.634133308402625</v>
      </c>
      <c r="V740" s="296">
        <f t="shared" si="23"/>
        <v>27.346042542500072</v>
      </c>
      <c r="W740" s="287">
        <v>87</v>
      </c>
      <c r="X740" s="280">
        <v>85</v>
      </c>
      <c r="Y740" s="280">
        <v>86</v>
      </c>
      <c r="Z740" s="280">
        <v>86</v>
      </c>
      <c r="AA740" s="280">
        <v>85</v>
      </c>
      <c r="AB740" s="280">
        <v>86</v>
      </c>
      <c r="AC740" s="280">
        <v>88</v>
      </c>
      <c r="AD740" s="280">
        <v>91</v>
      </c>
      <c r="AE740" s="280">
        <v>92</v>
      </c>
      <c r="AF740" s="280">
        <v>92</v>
      </c>
      <c r="AG740" s="280">
        <v>92</v>
      </c>
      <c r="AH740" s="280">
        <v>94</v>
      </c>
    </row>
    <row r="741" spans="1:34" s="1" customFormat="1" ht="13" x14ac:dyDescent="0.25">
      <c r="A741" s="280" t="s">
        <v>1283</v>
      </c>
      <c r="B741" s="286">
        <v>442</v>
      </c>
      <c r="C741" s="286">
        <v>727.875</v>
      </c>
      <c r="D741" s="286">
        <v>1013.7500000000001</v>
      </c>
      <c r="E741" s="286">
        <v>3</v>
      </c>
      <c r="F741" s="281">
        <v>4</v>
      </c>
      <c r="G741" s="282">
        <v>80.489678562500004</v>
      </c>
      <c r="H741" s="282">
        <v>83.813991921527773</v>
      </c>
      <c r="I741" s="282">
        <v>86.469988051388896</v>
      </c>
      <c r="J741" s="282">
        <v>90.162479223333335</v>
      </c>
      <c r="K741" s="282">
        <v>89.241640414166667</v>
      </c>
      <c r="L741" s="282">
        <v>90.779393393749999</v>
      </c>
      <c r="M741" s="282">
        <v>93.549674538333349</v>
      </c>
      <c r="N741" s="282">
        <v>96.189011420833339</v>
      </c>
      <c r="O741" s="282">
        <v>98.403924516666677</v>
      </c>
      <c r="P741" s="282">
        <v>98.967942546666677</v>
      </c>
      <c r="Q741" s="282">
        <v>99.107460308125013</v>
      </c>
      <c r="R741" s="283">
        <v>98.71193947361111</v>
      </c>
      <c r="S741" s="284">
        <v>1025.3974458084031</v>
      </c>
      <c r="T741" s="284">
        <v>534.01716754250003</v>
      </c>
      <c r="U741" s="296">
        <f t="shared" si="22"/>
        <v>107.60844580840285</v>
      </c>
      <c r="V741" s="296">
        <f t="shared" si="23"/>
        <v>34.22316754250005</v>
      </c>
      <c r="W741" s="287">
        <v>87</v>
      </c>
      <c r="X741" s="280">
        <v>85</v>
      </c>
      <c r="Y741" s="280">
        <v>87</v>
      </c>
      <c r="Z741" s="280">
        <v>88</v>
      </c>
      <c r="AA741" s="280">
        <v>88</v>
      </c>
      <c r="AB741" s="280">
        <v>90</v>
      </c>
      <c r="AC741" s="280">
        <v>93</v>
      </c>
      <c r="AD741" s="280">
        <v>97</v>
      </c>
      <c r="AE741" s="280">
        <v>99</v>
      </c>
      <c r="AF741" s="280">
        <v>100</v>
      </c>
      <c r="AG741" s="280">
        <v>101</v>
      </c>
      <c r="AH741" s="280">
        <v>104</v>
      </c>
    </row>
    <row r="742" spans="1:34" s="1" customFormat="1" ht="13" x14ac:dyDescent="0.25">
      <c r="A742" s="280" t="s">
        <v>1284</v>
      </c>
      <c r="B742" s="286">
        <v>442</v>
      </c>
      <c r="C742" s="286">
        <v>727.875</v>
      </c>
      <c r="D742" s="286">
        <v>1013.7500000000001</v>
      </c>
      <c r="E742" s="286">
        <v>3</v>
      </c>
      <c r="F742" s="281">
        <v>5</v>
      </c>
      <c r="G742" s="282">
        <v>80.489678562500004</v>
      </c>
      <c r="H742" s="282">
        <v>83.813991921527773</v>
      </c>
      <c r="I742" s="282">
        <v>86.914988051388889</v>
      </c>
      <c r="J742" s="282">
        <v>91.052479223333322</v>
      </c>
      <c r="K742" s="282">
        <v>90.576640414166675</v>
      </c>
      <c r="L742" s="282">
        <v>92.626768393749998</v>
      </c>
      <c r="M742" s="282">
        <v>95.90942453833334</v>
      </c>
      <c r="N742" s="282">
        <v>99.061136420833336</v>
      </c>
      <c r="O742" s="282">
        <v>101.84970576666667</v>
      </c>
      <c r="P742" s="282">
        <v>102.98738004666667</v>
      </c>
      <c r="Q742" s="282">
        <v>103.70055405812501</v>
      </c>
      <c r="R742" s="283">
        <v>103.87868947361112</v>
      </c>
      <c r="S742" s="284">
        <v>1052.3717583084028</v>
      </c>
      <c r="T742" s="284">
        <v>540.89429254250001</v>
      </c>
      <c r="U742" s="296">
        <f t="shared" si="22"/>
        <v>134.58275830840262</v>
      </c>
      <c r="V742" s="296">
        <f t="shared" si="23"/>
        <v>41.100292542500029</v>
      </c>
      <c r="W742" s="287">
        <v>87</v>
      </c>
      <c r="X742" s="280">
        <v>85</v>
      </c>
      <c r="Y742" s="280">
        <v>88</v>
      </c>
      <c r="Z742" s="280">
        <v>90</v>
      </c>
      <c r="AA742" s="280">
        <v>91</v>
      </c>
      <c r="AB742" s="280">
        <v>94</v>
      </c>
      <c r="AC742" s="280">
        <v>98</v>
      </c>
      <c r="AD742" s="280">
        <v>103</v>
      </c>
      <c r="AE742" s="280">
        <v>106</v>
      </c>
      <c r="AF742" s="280">
        <v>108</v>
      </c>
      <c r="AG742" s="280">
        <v>110</v>
      </c>
      <c r="AH742" s="280">
        <v>114</v>
      </c>
    </row>
    <row r="743" spans="1:34" s="1" customFormat="1" ht="13" x14ac:dyDescent="0.25">
      <c r="A743" s="280" t="s">
        <v>1285</v>
      </c>
      <c r="B743" s="286">
        <v>442</v>
      </c>
      <c r="C743" s="286">
        <v>727.875</v>
      </c>
      <c r="D743" s="286">
        <v>1013.7500000000001</v>
      </c>
      <c r="E743" s="286">
        <v>4</v>
      </c>
      <c r="F743" s="281">
        <v>0</v>
      </c>
      <c r="G743" s="282">
        <v>80.489678562500004</v>
      </c>
      <c r="H743" s="282">
        <v>83.419466860416676</v>
      </c>
      <c r="I743" s="282">
        <v>84.032810941666682</v>
      </c>
      <c r="J743" s="282">
        <v>85.741645306666655</v>
      </c>
      <c r="K743" s="282">
        <v>83.006198525277767</v>
      </c>
      <c r="L743" s="282">
        <v>82.707560504861092</v>
      </c>
      <c r="M743" s="282">
        <v>83.58441585777777</v>
      </c>
      <c r="N743" s="282">
        <v>84.275164198611108</v>
      </c>
      <c r="O743" s="282">
        <v>84.119497433333322</v>
      </c>
      <c r="P743" s="282">
        <v>82.330296713333325</v>
      </c>
      <c r="Q743" s="282">
        <v>80.136126974791651</v>
      </c>
      <c r="R743" s="283">
        <v>77.513255445833323</v>
      </c>
      <c r="S743" s="284">
        <v>910.86643876256949</v>
      </c>
      <c r="T743" s="284">
        <v>502.49209799666664</v>
      </c>
      <c r="U743" s="296">
        <f t="shared" si="22"/>
        <v>-6.9225612374307275</v>
      </c>
      <c r="V743" s="296">
        <f t="shared" si="23"/>
        <v>2.6980979966666609</v>
      </c>
      <c r="W743" s="287">
        <v>87</v>
      </c>
      <c r="X743" s="280">
        <v>85</v>
      </c>
      <c r="Y743" s="280">
        <v>83</v>
      </c>
      <c r="Z743" s="280">
        <v>80</v>
      </c>
      <c r="AA743" s="280">
        <v>76</v>
      </c>
      <c r="AB743" s="280">
        <v>74</v>
      </c>
      <c r="AC743" s="280">
        <v>73</v>
      </c>
      <c r="AD743" s="280">
        <v>73</v>
      </c>
      <c r="AE743" s="280">
        <v>71</v>
      </c>
      <c r="AF743" s="280">
        <v>68</v>
      </c>
      <c r="AG743" s="280">
        <v>65</v>
      </c>
      <c r="AH743" s="280">
        <v>64</v>
      </c>
    </row>
    <row r="744" spans="1:34" s="1" customFormat="1" ht="13" x14ac:dyDescent="0.25">
      <c r="A744" s="280" t="s">
        <v>1286</v>
      </c>
      <c r="B744" s="286">
        <v>442</v>
      </c>
      <c r="C744" s="286">
        <v>727.875</v>
      </c>
      <c r="D744" s="286">
        <v>1013.7500000000001</v>
      </c>
      <c r="E744" s="286">
        <v>4</v>
      </c>
      <c r="F744" s="281">
        <v>1</v>
      </c>
      <c r="G744" s="282">
        <v>80.489678562500004</v>
      </c>
      <c r="H744" s="282">
        <v>83.419466860416676</v>
      </c>
      <c r="I744" s="282">
        <v>84.477810941666689</v>
      </c>
      <c r="J744" s="282">
        <v>86.63164530666667</v>
      </c>
      <c r="K744" s="282">
        <v>84.34119852527779</v>
      </c>
      <c r="L744" s="282">
        <v>84.554935504861092</v>
      </c>
      <c r="M744" s="282">
        <v>85.944165857777762</v>
      </c>
      <c r="N744" s="282">
        <v>87.147289198611119</v>
      </c>
      <c r="O744" s="282">
        <v>87.565278683333332</v>
      </c>
      <c r="P744" s="282">
        <v>86.349734213333335</v>
      </c>
      <c r="Q744" s="282">
        <v>84.729220724791659</v>
      </c>
      <c r="R744" s="283">
        <v>82.680005445833316</v>
      </c>
      <c r="S744" s="284">
        <v>937.84075126256937</v>
      </c>
      <c r="T744" s="284">
        <v>509.36922299666662</v>
      </c>
      <c r="U744" s="296">
        <f t="shared" si="22"/>
        <v>20.051751262569155</v>
      </c>
      <c r="V744" s="296">
        <f t="shared" si="23"/>
        <v>9.5752229966666391</v>
      </c>
      <c r="W744" s="287">
        <v>87</v>
      </c>
      <c r="X744" s="280">
        <v>85</v>
      </c>
      <c r="Y744" s="280">
        <v>84</v>
      </c>
      <c r="Z744" s="280">
        <v>82</v>
      </c>
      <c r="AA744" s="280">
        <v>79</v>
      </c>
      <c r="AB744" s="280">
        <v>78</v>
      </c>
      <c r="AC744" s="280">
        <v>78</v>
      </c>
      <c r="AD744" s="280">
        <v>79</v>
      </c>
      <c r="AE744" s="280">
        <v>78</v>
      </c>
      <c r="AF744" s="280">
        <v>76</v>
      </c>
      <c r="AG744" s="280">
        <v>74</v>
      </c>
      <c r="AH744" s="280">
        <v>74</v>
      </c>
    </row>
    <row r="745" spans="1:34" s="1" customFormat="1" ht="13" x14ac:dyDescent="0.25">
      <c r="A745" s="280" t="s">
        <v>1287</v>
      </c>
      <c r="B745" s="286">
        <v>442</v>
      </c>
      <c r="C745" s="286">
        <v>727.875</v>
      </c>
      <c r="D745" s="286">
        <v>1013.7500000000001</v>
      </c>
      <c r="E745" s="286">
        <v>4</v>
      </c>
      <c r="F745" s="281">
        <v>2</v>
      </c>
      <c r="G745" s="282">
        <v>80.489678562500004</v>
      </c>
      <c r="H745" s="282">
        <v>83.419466860416676</v>
      </c>
      <c r="I745" s="282">
        <v>84.922810941666683</v>
      </c>
      <c r="J745" s="282">
        <v>87.52164530666667</v>
      </c>
      <c r="K745" s="282">
        <v>85.676198525277783</v>
      </c>
      <c r="L745" s="282">
        <v>86.402310504861092</v>
      </c>
      <c r="M745" s="282">
        <v>88.303915857777781</v>
      </c>
      <c r="N745" s="282">
        <v>90.019414198611116</v>
      </c>
      <c r="O745" s="282">
        <v>91.011059933333328</v>
      </c>
      <c r="P745" s="282">
        <v>90.36917171333333</v>
      </c>
      <c r="Q745" s="282">
        <v>89.322314474791668</v>
      </c>
      <c r="R745" s="283">
        <v>87.84675544583331</v>
      </c>
      <c r="S745" s="284">
        <v>964.81506376256937</v>
      </c>
      <c r="T745" s="284">
        <v>516.2463479966666</v>
      </c>
      <c r="U745" s="296">
        <f t="shared" si="22"/>
        <v>47.026063762569152</v>
      </c>
      <c r="V745" s="296">
        <f t="shared" si="23"/>
        <v>16.452347996666617</v>
      </c>
      <c r="W745" s="287">
        <v>87</v>
      </c>
      <c r="X745" s="280">
        <v>85</v>
      </c>
      <c r="Y745" s="280">
        <v>85</v>
      </c>
      <c r="Z745" s="280">
        <v>84</v>
      </c>
      <c r="AA745" s="280">
        <v>82</v>
      </c>
      <c r="AB745" s="280">
        <v>82</v>
      </c>
      <c r="AC745" s="280">
        <v>83</v>
      </c>
      <c r="AD745" s="280">
        <v>85</v>
      </c>
      <c r="AE745" s="280">
        <v>85</v>
      </c>
      <c r="AF745" s="280">
        <v>84</v>
      </c>
      <c r="AG745" s="280">
        <v>83</v>
      </c>
      <c r="AH745" s="280">
        <v>84</v>
      </c>
    </row>
    <row r="746" spans="1:34" s="1" customFormat="1" ht="13" x14ac:dyDescent="0.25">
      <c r="A746" s="280" t="s">
        <v>1288</v>
      </c>
      <c r="B746" s="286">
        <v>442</v>
      </c>
      <c r="C746" s="286">
        <v>727.875</v>
      </c>
      <c r="D746" s="286">
        <v>1013.7500000000001</v>
      </c>
      <c r="E746" s="286">
        <v>4</v>
      </c>
      <c r="F746" s="281">
        <v>3</v>
      </c>
      <c r="G746" s="282">
        <v>80.489678562500004</v>
      </c>
      <c r="H746" s="282">
        <v>83.419466860416676</v>
      </c>
      <c r="I746" s="282">
        <v>85.367810941666676</v>
      </c>
      <c r="J746" s="282">
        <v>88.411645306666671</v>
      </c>
      <c r="K746" s="282">
        <v>87.011198525277777</v>
      </c>
      <c r="L746" s="282">
        <v>88.249685504861105</v>
      </c>
      <c r="M746" s="282">
        <v>90.663665857777787</v>
      </c>
      <c r="N746" s="282">
        <v>92.891539198611113</v>
      </c>
      <c r="O746" s="282">
        <v>94.456841183333324</v>
      </c>
      <c r="P746" s="282">
        <v>94.388609213333339</v>
      </c>
      <c r="Q746" s="282">
        <v>93.915408224791662</v>
      </c>
      <c r="R746" s="283">
        <v>93.013505445833317</v>
      </c>
      <c r="S746" s="284">
        <v>991.78937626256936</v>
      </c>
      <c r="T746" s="284">
        <v>523.12347299666669</v>
      </c>
      <c r="U746" s="296">
        <f t="shared" si="22"/>
        <v>74.000376262569148</v>
      </c>
      <c r="V746" s="296">
        <f t="shared" si="23"/>
        <v>23.329472996666709</v>
      </c>
      <c r="W746" s="287">
        <v>87</v>
      </c>
      <c r="X746" s="280">
        <v>85</v>
      </c>
      <c r="Y746" s="280">
        <v>86</v>
      </c>
      <c r="Z746" s="280">
        <v>86</v>
      </c>
      <c r="AA746" s="280">
        <v>85</v>
      </c>
      <c r="AB746" s="280">
        <v>86</v>
      </c>
      <c r="AC746" s="280">
        <v>88</v>
      </c>
      <c r="AD746" s="280">
        <v>91</v>
      </c>
      <c r="AE746" s="280">
        <v>92</v>
      </c>
      <c r="AF746" s="280">
        <v>92</v>
      </c>
      <c r="AG746" s="280">
        <v>92</v>
      </c>
      <c r="AH746" s="280">
        <v>94</v>
      </c>
    </row>
    <row r="747" spans="1:34" s="1" customFormat="1" ht="13" x14ac:dyDescent="0.25">
      <c r="A747" s="280" t="s">
        <v>1289</v>
      </c>
      <c r="B747" s="286">
        <v>442</v>
      </c>
      <c r="C747" s="286">
        <v>727.875</v>
      </c>
      <c r="D747" s="286">
        <v>1013.7500000000001</v>
      </c>
      <c r="E747" s="286">
        <v>4</v>
      </c>
      <c r="F747" s="281">
        <v>4</v>
      </c>
      <c r="G747" s="282">
        <v>80.489678562500004</v>
      </c>
      <c r="H747" s="282">
        <v>83.419466860416676</v>
      </c>
      <c r="I747" s="282">
        <v>85.812810941666683</v>
      </c>
      <c r="J747" s="282">
        <v>89.301645306666671</v>
      </c>
      <c r="K747" s="282">
        <v>88.346198525277785</v>
      </c>
      <c r="L747" s="282">
        <v>90.097060504861105</v>
      </c>
      <c r="M747" s="282">
        <v>93.023415857777778</v>
      </c>
      <c r="N747" s="282">
        <v>95.76366419861111</v>
      </c>
      <c r="O747" s="282">
        <v>97.902622433333335</v>
      </c>
      <c r="P747" s="282">
        <v>98.408046713333334</v>
      </c>
      <c r="Q747" s="282">
        <v>98.50850197479167</v>
      </c>
      <c r="R747" s="283">
        <v>98.180255445833311</v>
      </c>
      <c r="S747" s="284">
        <v>1018.7636887625694</v>
      </c>
      <c r="T747" s="284">
        <v>530.00059799666667</v>
      </c>
      <c r="U747" s="296">
        <f t="shared" si="22"/>
        <v>100.97468876256914</v>
      </c>
      <c r="V747" s="296">
        <f t="shared" si="23"/>
        <v>30.206597996666687</v>
      </c>
      <c r="W747" s="287">
        <v>87</v>
      </c>
      <c r="X747" s="280">
        <v>85</v>
      </c>
      <c r="Y747" s="280">
        <v>87</v>
      </c>
      <c r="Z747" s="280">
        <v>88</v>
      </c>
      <c r="AA747" s="280">
        <v>88</v>
      </c>
      <c r="AB747" s="280">
        <v>90</v>
      </c>
      <c r="AC747" s="280">
        <v>93</v>
      </c>
      <c r="AD747" s="280">
        <v>97</v>
      </c>
      <c r="AE747" s="280">
        <v>99</v>
      </c>
      <c r="AF747" s="280">
        <v>100</v>
      </c>
      <c r="AG747" s="280">
        <v>101</v>
      </c>
      <c r="AH747" s="280">
        <v>104</v>
      </c>
    </row>
    <row r="748" spans="1:34" s="1" customFormat="1" ht="13" x14ac:dyDescent="0.25">
      <c r="A748" s="280" t="s">
        <v>1290</v>
      </c>
      <c r="B748" s="286">
        <v>442</v>
      </c>
      <c r="C748" s="286">
        <v>727.875</v>
      </c>
      <c r="D748" s="286">
        <v>1013.7500000000001</v>
      </c>
      <c r="E748" s="286">
        <v>4</v>
      </c>
      <c r="F748" s="281">
        <v>5</v>
      </c>
      <c r="G748" s="282">
        <v>80.489678562500004</v>
      </c>
      <c r="H748" s="282">
        <v>83.419466860416676</v>
      </c>
      <c r="I748" s="282">
        <v>86.257810941666676</v>
      </c>
      <c r="J748" s="282">
        <v>90.191645306666672</v>
      </c>
      <c r="K748" s="282">
        <v>89.681198525277793</v>
      </c>
      <c r="L748" s="282">
        <v>91.944435504861104</v>
      </c>
      <c r="M748" s="282">
        <v>95.383165857777783</v>
      </c>
      <c r="N748" s="282">
        <v>98.635789198611107</v>
      </c>
      <c r="O748" s="282">
        <v>101.34840368333333</v>
      </c>
      <c r="P748" s="282">
        <v>102.42748421333333</v>
      </c>
      <c r="Q748" s="282">
        <v>103.10159572479166</v>
      </c>
      <c r="R748" s="283">
        <v>103.34700544583332</v>
      </c>
      <c r="S748" s="284">
        <v>1045.7380012625695</v>
      </c>
      <c r="T748" s="284">
        <v>536.87772299666676</v>
      </c>
      <c r="U748" s="296">
        <f t="shared" si="22"/>
        <v>127.94900126256925</v>
      </c>
      <c r="V748" s="296">
        <f t="shared" si="23"/>
        <v>37.083722996666779</v>
      </c>
      <c r="W748" s="287">
        <v>87</v>
      </c>
      <c r="X748" s="280">
        <v>85</v>
      </c>
      <c r="Y748" s="280">
        <v>88</v>
      </c>
      <c r="Z748" s="280">
        <v>90</v>
      </c>
      <c r="AA748" s="280">
        <v>91</v>
      </c>
      <c r="AB748" s="280">
        <v>94</v>
      </c>
      <c r="AC748" s="280">
        <v>98</v>
      </c>
      <c r="AD748" s="280">
        <v>103</v>
      </c>
      <c r="AE748" s="280">
        <v>106</v>
      </c>
      <c r="AF748" s="280">
        <v>108</v>
      </c>
      <c r="AG748" s="280">
        <v>110</v>
      </c>
      <c r="AH748" s="280">
        <v>114</v>
      </c>
    </row>
    <row r="749" spans="1:34" s="1" customFormat="1" ht="13" x14ac:dyDescent="0.25">
      <c r="A749" s="280" t="s">
        <v>1291</v>
      </c>
      <c r="B749" s="286">
        <v>442</v>
      </c>
      <c r="C749" s="286">
        <v>727.875</v>
      </c>
      <c r="D749" s="286">
        <v>1013.7500000000001</v>
      </c>
      <c r="E749" s="286">
        <v>5</v>
      </c>
      <c r="F749" s="281">
        <v>0</v>
      </c>
      <c r="G749" s="282">
        <v>80.489678562500004</v>
      </c>
      <c r="H749" s="282">
        <v>83.182487693750005</v>
      </c>
      <c r="I749" s="282">
        <v>83.604118170833345</v>
      </c>
      <c r="J749" s="282">
        <v>85.155675981666676</v>
      </c>
      <c r="K749" s="282">
        <v>82.206562525277775</v>
      </c>
      <c r="L749" s="282">
        <v>81.940940338194451</v>
      </c>
      <c r="M749" s="282">
        <v>83.034043066111096</v>
      </c>
      <c r="N749" s="282">
        <v>83.790789198611094</v>
      </c>
      <c r="O749" s="282">
        <v>83.662466183333322</v>
      </c>
      <c r="P749" s="282">
        <v>81.817275879999983</v>
      </c>
      <c r="Q749" s="282">
        <v>79.578835308124994</v>
      </c>
      <c r="R749" s="283">
        <v>76.918203362499995</v>
      </c>
      <c r="S749" s="284">
        <v>904.89139770840279</v>
      </c>
      <c r="T749" s="284">
        <v>499.12382777583338</v>
      </c>
      <c r="U749" s="296">
        <f t="shared" si="22"/>
        <v>-12.897602291597423</v>
      </c>
      <c r="V749" s="296">
        <f t="shared" si="23"/>
        <v>-0.67017222416660616</v>
      </c>
      <c r="W749" s="287">
        <v>87</v>
      </c>
      <c r="X749" s="280">
        <v>85</v>
      </c>
      <c r="Y749" s="280">
        <v>83</v>
      </c>
      <c r="Z749" s="280">
        <v>80</v>
      </c>
      <c r="AA749" s="280">
        <v>76</v>
      </c>
      <c r="AB749" s="280">
        <v>74</v>
      </c>
      <c r="AC749" s="280">
        <v>73</v>
      </c>
      <c r="AD749" s="280">
        <v>73</v>
      </c>
      <c r="AE749" s="280">
        <v>71</v>
      </c>
      <c r="AF749" s="280">
        <v>68</v>
      </c>
      <c r="AG749" s="280">
        <v>65</v>
      </c>
      <c r="AH749" s="280">
        <v>64</v>
      </c>
    </row>
    <row r="750" spans="1:34" s="1" customFormat="1" ht="13" x14ac:dyDescent="0.25">
      <c r="A750" s="280" t="s">
        <v>1292</v>
      </c>
      <c r="B750" s="286">
        <v>442</v>
      </c>
      <c r="C750" s="286">
        <v>727.875</v>
      </c>
      <c r="D750" s="286">
        <v>1013.7500000000001</v>
      </c>
      <c r="E750" s="286">
        <v>5</v>
      </c>
      <c r="F750" s="281">
        <v>1</v>
      </c>
      <c r="G750" s="282">
        <v>80.489678562500004</v>
      </c>
      <c r="H750" s="282">
        <v>83.182487693750005</v>
      </c>
      <c r="I750" s="282">
        <v>84.049118170833339</v>
      </c>
      <c r="J750" s="282">
        <v>86.045675981666676</v>
      </c>
      <c r="K750" s="282">
        <v>83.541562525277783</v>
      </c>
      <c r="L750" s="282">
        <v>83.788315338194451</v>
      </c>
      <c r="M750" s="282">
        <v>85.393793066111101</v>
      </c>
      <c r="N750" s="282">
        <v>86.662914198611105</v>
      </c>
      <c r="O750" s="282">
        <v>87.108247433333332</v>
      </c>
      <c r="P750" s="282">
        <v>85.836713379999992</v>
      </c>
      <c r="Q750" s="282">
        <v>84.171929058125002</v>
      </c>
      <c r="R750" s="283">
        <v>82.084953362499988</v>
      </c>
      <c r="S750" s="284">
        <v>931.86571020840279</v>
      </c>
      <c r="T750" s="284">
        <v>506.00095277583341</v>
      </c>
      <c r="U750" s="296">
        <f t="shared" si="22"/>
        <v>14.076710208402574</v>
      </c>
      <c r="V750" s="296">
        <f t="shared" si="23"/>
        <v>6.2069527758334289</v>
      </c>
      <c r="W750" s="287">
        <v>87</v>
      </c>
      <c r="X750" s="280">
        <v>85</v>
      </c>
      <c r="Y750" s="280">
        <v>84</v>
      </c>
      <c r="Z750" s="280">
        <v>82</v>
      </c>
      <c r="AA750" s="280">
        <v>79</v>
      </c>
      <c r="AB750" s="280">
        <v>78</v>
      </c>
      <c r="AC750" s="280">
        <v>78</v>
      </c>
      <c r="AD750" s="280">
        <v>79</v>
      </c>
      <c r="AE750" s="280">
        <v>78</v>
      </c>
      <c r="AF750" s="280">
        <v>76</v>
      </c>
      <c r="AG750" s="280">
        <v>74</v>
      </c>
      <c r="AH750" s="280">
        <v>74</v>
      </c>
    </row>
    <row r="751" spans="1:34" s="1" customFormat="1" ht="13" x14ac:dyDescent="0.25">
      <c r="A751" s="280" t="s">
        <v>1293</v>
      </c>
      <c r="B751" s="286">
        <v>442</v>
      </c>
      <c r="C751" s="286">
        <v>727.875</v>
      </c>
      <c r="D751" s="286">
        <v>1013.7500000000001</v>
      </c>
      <c r="E751" s="286">
        <v>5</v>
      </c>
      <c r="F751" s="281">
        <v>2</v>
      </c>
      <c r="G751" s="282">
        <v>80.489678562500004</v>
      </c>
      <c r="H751" s="282">
        <v>83.182487693750005</v>
      </c>
      <c r="I751" s="282">
        <v>84.494118170833346</v>
      </c>
      <c r="J751" s="282">
        <v>86.935675981666677</v>
      </c>
      <c r="K751" s="282">
        <v>84.876562525277791</v>
      </c>
      <c r="L751" s="282">
        <v>85.635690338194451</v>
      </c>
      <c r="M751" s="282">
        <v>87.753543066111106</v>
      </c>
      <c r="N751" s="282">
        <v>89.535039198611102</v>
      </c>
      <c r="O751" s="282">
        <v>90.554028683333328</v>
      </c>
      <c r="P751" s="282">
        <v>89.856150879999987</v>
      </c>
      <c r="Q751" s="282">
        <v>88.765022808125011</v>
      </c>
      <c r="R751" s="283">
        <v>87.251703362499995</v>
      </c>
      <c r="S751" s="284">
        <v>958.84002270840278</v>
      </c>
      <c r="T751" s="284">
        <v>512.87807777583339</v>
      </c>
      <c r="U751" s="296">
        <f t="shared" si="22"/>
        <v>41.05102270840257</v>
      </c>
      <c r="V751" s="296">
        <f t="shared" si="23"/>
        <v>13.084077775833407</v>
      </c>
      <c r="W751" s="287">
        <v>87</v>
      </c>
      <c r="X751" s="280">
        <v>85</v>
      </c>
      <c r="Y751" s="280">
        <v>85</v>
      </c>
      <c r="Z751" s="280">
        <v>84</v>
      </c>
      <c r="AA751" s="280">
        <v>82</v>
      </c>
      <c r="AB751" s="280">
        <v>82</v>
      </c>
      <c r="AC751" s="280">
        <v>83</v>
      </c>
      <c r="AD751" s="280">
        <v>85</v>
      </c>
      <c r="AE751" s="280">
        <v>85</v>
      </c>
      <c r="AF751" s="280">
        <v>84</v>
      </c>
      <c r="AG751" s="280">
        <v>83</v>
      </c>
      <c r="AH751" s="280">
        <v>84</v>
      </c>
    </row>
    <row r="752" spans="1:34" s="1" customFormat="1" ht="13" x14ac:dyDescent="0.25">
      <c r="A752" s="280" t="s">
        <v>1294</v>
      </c>
      <c r="B752" s="286">
        <v>442</v>
      </c>
      <c r="C752" s="286">
        <v>727.875</v>
      </c>
      <c r="D752" s="286">
        <v>1013.7500000000001</v>
      </c>
      <c r="E752" s="286">
        <v>5</v>
      </c>
      <c r="F752" s="281">
        <v>3</v>
      </c>
      <c r="G752" s="282">
        <v>80.489678562500004</v>
      </c>
      <c r="H752" s="282">
        <v>83.182487693750005</v>
      </c>
      <c r="I752" s="282">
        <v>84.939118170833339</v>
      </c>
      <c r="J752" s="282">
        <v>87.825675981666677</v>
      </c>
      <c r="K752" s="282">
        <v>86.211562525277785</v>
      </c>
      <c r="L752" s="282">
        <v>87.48306533819445</v>
      </c>
      <c r="M752" s="282">
        <v>90.113293066111098</v>
      </c>
      <c r="N752" s="282">
        <v>92.407164198611099</v>
      </c>
      <c r="O752" s="282">
        <v>93.999809933333324</v>
      </c>
      <c r="P752" s="282">
        <v>93.875588379999996</v>
      </c>
      <c r="Q752" s="282">
        <v>93.358116558125005</v>
      </c>
      <c r="R752" s="283">
        <v>92.418453362500003</v>
      </c>
      <c r="S752" s="284">
        <v>985.81433520840255</v>
      </c>
      <c r="T752" s="284">
        <v>519.75520277583325</v>
      </c>
      <c r="U752" s="296">
        <f t="shared" si="22"/>
        <v>68.025335208402339</v>
      </c>
      <c r="V752" s="296">
        <f t="shared" si="23"/>
        <v>19.961202775833272</v>
      </c>
      <c r="W752" s="287">
        <v>87</v>
      </c>
      <c r="X752" s="280">
        <v>85</v>
      </c>
      <c r="Y752" s="280">
        <v>86</v>
      </c>
      <c r="Z752" s="280">
        <v>86</v>
      </c>
      <c r="AA752" s="280">
        <v>85</v>
      </c>
      <c r="AB752" s="280">
        <v>86</v>
      </c>
      <c r="AC752" s="280">
        <v>88</v>
      </c>
      <c r="AD752" s="280">
        <v>91</v>
      </c>
      <c r="AE752" s="280">
        <v>92</v>
      </c>
      <c r="AF752" s="280">
        <v>92</v>
      </c>
      <c r="AG752" s="280">
        <v>92</v>
      </c>
      <c r="AH752" s="280">
        <v>94</v>
      </c>
    </row>
    <row r="753" spans="1:34" s="1" customFormat="1" ht="13" x14ac:dyDescent="0.25">
      <c r="A753" s="280" t="s">
        <v>1295</v>
      </c>
      <c r="B753" s="286">
        <v>442</v>
      </c>
      <c r="C753" s="286">
        <v>727.875</v>
      </c>
      <c r="D753" s="286">
        <v>1013.7500000000001</v>
      </c>
      <c r="E753" s="286">
        <v>5</v>
      </c>
      <c r="F753" s="281">
        <v>4</v>
      </c>
      <c r="G753" s="282">
        <v>80.489678562500004</v>
      </c>
      <c r="H753" s="282">
        <v>83.182487693750005</v>
      </c>
      <c r="I753" s="282">
        <v>85.384118170833347</v>
      </c>
      <c r="J753" s="282">
        <v>88.715675981666678</v>
      </c>
      <c r="K753" s="282">
        <v>87.546562525277778</v>
      </c>
      <c r="L753" s="282">
        <v>89.33044033819445</v>
      </c>
      <c r="M753" s="282">
        <v>92.473043066111103</v>
      </c>
      <c r="N753" s="282">
        <v>95.279289198611096</v>
      </c>
      <c r="O753" s="282">
        <v>97.445591183333335</v>
      </c>
      <c r="P753" s="282">
        <v>97.895025879999992</v>
      </c>
      <c r="Q753" s="282">
        <v>97.951210308125013</v>
      </c>
      <c r="R753" s="283">
        <v>97.585203362499996</v>
      </c>
      <c r="S753" s="284">
        <v>1012.7886477084028</v>
      </c>
      <c r="T753" s="284">
        <v>526.63232777583335</v>
      </c>
      <c r="U753" s="296">
        <f t="shared" si="22"/>
        <v>94.999647708402563</v>
      </c>
      <c r="V753" s="296">
        <f t="shared" si="23"/>
        <v>26.838327775833363</v>
      </c>
      <c r="W753" s="287">
        <v>87</v>
      </c>
      <c r="X753" s="280">
        <v>85</v>
      </c>
      <c r="Y753" s="280">
        <v>87</v>
      </c>
      <c r="Z753" s="280">
        <v>88</v>
      </c>
      <c r="AA753" s="280">
        <v>88</v>
      </c>
      <c r="AB753" s="280">
        <v>90</v>
      </c>
      <c r="AC753" s="280">
        <v>93</v>
      </c>
      <c r="AD753" s="280">
        <v>97</v>
      </c>
      <c r="AE753" s="280">
        <v>99</v>
      </c>
      <c r="AF753" s="280">
        <v>100</v>
      </c>
      <c r="AG753" s="280">
        <v>101</v>
      </c>
      <c r="AH753" s="280">
        <v>104</v>
      </c>
    </row>
    <row r="754" spans="1:34" s="1" customFormat="1" ht="13" x14ac:dyDescent="0.25">
      <c r="A754" s="280" t="s">
        <v>1296</v>
      </c>
      <c r="B754" s="286">
        <v>442</v>
      </c>
      <c r="C754" s="286">
        <v>727.875</v>
      </c>
      <c r="D754" s="286">
        <v>1013.7500000000001</v>
      </c>
      <c r="E754" s="286">
        <v>5</v>
      </c>
      <c r="F754" s="281">
        <v>5</v>
      </c>
      <c r="G754" s="282">
        <v>80.489678562500004</v>
      </c>
      <c r="H754" s="282">
        <v>83.182487693750005</v>
      </c>
      <c r="I754" s="282">
        <v>85.82911817083334</v>
      </c>
      <c r="J754" s="282">
        <v>89.605675981666678</v>
      </c>
      <c r="K754" s="282">
        <v>88.881562525277786</v>
      </c>
      <c r="L754" s="282">
        <v>91.177815338194449</v>
      </c>
      <c r="M754" s="282">
        <v>94.832793066111094</v>
      </c>
      <c r="N754" s="282">
        <v>98.151414198611093</v>
      </c>
      <c r="O754" s="282">
        <v>100.89137243333333</v>
      </c>
      <c r="P754" s="282">
        <v>101.91446337999999</v>
      </c>
      <c r="Q754" s="282">
        <v>102.54430405812501</v>
      </c>
      <c r="R754" s="283">
        <v>102.7519533625</v>
      </c>
      <c r="S754" s="284">
        <v>1039.7629602084028</v>
      </c>
      <c r="T754" s="284">
        <v>533.50945277583332</v>
      </c>
      <c r="U754" s="296">
        <f t="shared" si="22"/>
        <v>121.97396020840256</v>
      </c>
      <c r="V754" s="296">
        <f t="shared" si="23"/>
        <v>33.715452775833342</v>
      </c>
      <c r="W754" s="287">
        <v>87</v>
      </c>
      <c r="X754" s="280">
        <v>85</v>
      </c>
      <c r="Y754" s="280">
        <v>88</v>
      </c>
      <c r="Z754" s="280">
        <v>90</v>
      </c>
      <c r="AA754" s="280">
        <v>91</v>
      </c>
      <c r="AB754" s="280">
        <v>94</v>
      </c>
      <c r="AC754" s="280">
        <v>98</v>
      </c>
      <c r="AD754" s="280">
        <v>103</v>
      </c>
      <c r="AE754" s="280">
        <v>106</v>
      </c>
      <c r="AF754" s="280">
        <v>108</v>
      </c>
      <c r="AG754" s="280">
        <v>110</v>
      </c>
      <c r="AH754" s="280">
        <v>114</v>
      </c>
    </row>
    <row r="755" spans="1:34" s="1" customFormat="1" ht="13" x14ac:dyDescent="0.25">
      <c r="A755" s="280" t="s">
        <v>1297</v>
      </c>
      <c r="B755" s="286">
        <v>442</v>
      </c>
      <c r="C755" s="286">
        <v>727.875</v>
      </c>
      <c r="D755" s="286">
        <v>1013.7500000000001</v>
      </c>
      <c r="E755" s="286">
        <v>1</v>
      </c>
      <c r="F755" s="281">
        <v>0</v>
      </c>
      <c r="G755" s="282">
        <v>80.489678562500004</v>
      </c>
      <c r="H755" s="282">
        <v>86.342625218750001</v>
      </c>
      <c r="I755" s="282">
        <v>87.495216662499999</v>
      </c>
      <c r="J755" s="282">
        <v>89.15749822333332</v>
      </c>
      <c r="K755" s="282">
        <v>85.972481441944453</v>
      </c>
      <c r="L755" s="282">
        <v>84.642046171527767</v>
      </c>
      <c r="M755" s="282">
        <v>85.312723149444437</v>
      </c>
      <c r="N755" s="282">
        <v>85.932664198611107</v>
      </c>
      <c r="O755" s="282">
        <v>86.163924516666654</v>
      </c>
      <c r="P755" s="282">
        <v>84.302484213333329</v>
      </c>
      <c r="Q755" s="282">
        <v>82.065501974791658</v>
      </c>
      <c r="R755" s="283">
        <v>79.536745029166653</v>
      </c>
      <c r="S755" s="284">
        <v>936.92391080006928</v>
      </c>
      <c r="T755" s="284">
        <v>518.92259086749993</v>
      </c>
      <c r="U755" s="296">
        <f t="shared" si="22"/>
        <v>19.134910800069065</v>
      </c>
      <c r="V755" s="296">
        <f t="shared" si="23"/>
        <v>19.128590867499952</v>
      </c>
      <c r="W755" s="287">
        <v>87</v>
      </c>
      <c r="X755" s="280">
        <v>85</v>
      </c>
      <c r="Y755" s="280">
        <v>83</v>
      </c>
      <c r="Z755" s="280">
        <v>80</v>
      </c>
      <c r="AA755" s="280">
        <v>76</v>
      </c>
      <c r="AB755" s="280">
        <v>74</v>
      </c>
      <c r="AC755" s="280">
        <v>73</v>
      </c>
      <c r="AD755" s="280">
        <v>73</v>
      </c>
      <c r="AE755" s="280">
        <v>71</v>
      </c>
      <c r="AF755" s="280">
        <v>68</v>
      </c>
      <c r="AG755" s="280">
        <v>65</v>
      </c>
      <c r="AH755" s="280">
        <v>64</v>
      </c>
    </row>
    <row r="756" spans="1:34" s="1" customFormat="1" ht="13" x14ac:dyDescent="0.25">
      <c r="A756" s="280" t="s">
        <v>1298</v>
      </c>
      <c r="B756" s="286">
        <v>442</v>
      </c>
      <c r="C756" s="286">
        <v>727.875</v>
      </c>
      <c r="D756" s="286">
        <v>1013.7500000000001</v>
      </c>
      <c r="E756" s="286">
        <v>1</v>
      </c>
      <c r="F756" s="281">
        <v>1</v>
      </c>
      <c r="G756" s="282">
        <v>80.489678562500004</v>
      </c>
      <c r="H756" s="282">
        <v>86.342625218750001</v>
      </c>
      <c r="I756" s="282">
        <v>87.940216662499992</v>
      </c>
      <c r="J756" s="282">
        <v>90.047498223333335</v>
      </c>
      <c r="K756" s="282">
        <v>87.307481441944446</v>
      </c>
      <c r="L756" s="282">
        <v>86.489421171527766</v>
      </c>
      <c r="M756" s="282">
        <v>87.672473149444443</v>
      </c>
      <c r="N756" s="282">
        <v>88.804789198611104</v>
      </c>
      <c r="O756" s="282">
        <v>89.610330766666664</v>
      </c>
      <c r="P756" s="282">
        <v>88.323171713333338</v>
      </c>
      <c r="Q756" s="282">
        <v>86.660470724791665</v>
      </c>
      <c r="R756" s="283">
        <v>84.705995029166658</v>
      </c>
      <c r="S756" s="284">
        <v>963.90447330006953</v>
      </c>
      <c r="T756" s="284">
        <v>525.79971586750003</v>
      </c>
      <c r="U756" s="296">
        <f t="shared" si="22"/>
        <v>46.115473300069311</v>
      </c>
      <c r="V756" s="296">
        <f t="shared" si="23"/>
        <v>26.005715867500044</v>
      </c>
      <c r="W756" s="287">
        <v>87</v>
      </c>
      <c r="X756" s="280">
        <v>85</v>
      </c>
      <c r="Y756" s="280">
        <v>84</v>
      </c>
      <c r="Z756" s="280">
        <v>82</v>
      </c>
      <c r="AA756" s="280">
        <v>79</v>
      </c>
      <c r="AB756" s="280">
        <v>78</v>
      </c>
      <c r="AC756" s="280">
        <v>78</v>
      </c>
      <c r="AD756" s="280">
        <v>79</v>
      </c>
      <c r="AE756" s="280">
        <v>78</v>
      </c>
      <c r="AF756" s="280">
        <v>76</v>
      </c>
      <c r="AG756" s="280">
        <v>74</v>
      </c>
      <c r="AH756" s="280">
        <v>74</v>
      </c>
    </row>
    <row r="757" spans="1:34" s="1" customFormat="1" ht="13" x14ac:dyDescent="0.25">
      <c r="A757" s="280" t="s">
        <v>1299</v>
      </c>
      <c r="B757" s="286">
        <v>442</v>
      </c>
      <c r="C757" s="286">
        <v>727.875</v>
      </c>
      <c r="D757" s="286">
        <v>1013.7500000000001</v>
      </c>
      <c r="E757" s="286">
        <v>1</v>
      </c>
      <c r="F757" s="281">
        <v>2</v>
      </c>
      <c r="G757" s="282">
        <v>80.489678562500004</v>
      </c>
      <c r="H757" s="282">
        <v>86.342625218750001</v>
      </c>
      <c r="I757" s="282">
        <v>88.3852166625</v>
      </c>
      <c r="J757" s="282">
        <v>90.937498223333321</v>
      </c>
      <c r="K757" s="282">
        <v>88.642481441944454</v>
      </c>
      <c r="L757" s="282">
        <v>88.336796171527766</v>
      </c>
      <c r="M757" s="282">
        <v>90.032223149444434</v>
      </c>
      <c r="N757" s="282">
        <v>91.676914198611101</v>
      </c>
      <c r="O757" s="282">
        <v>93.056737016666659</v>
      </c>
      <c r="P757" s="282">
        <v>92.343859213333332</v>
      </c>
      <c r="Q757" s="282">
        <v>91.255439474791658</v>
      </c>
      <c r="R757" s="283">
        <v>89.875245029166663</v>
      </c>
      <c r="S757" s="284">
        <v>990.88503580006943</v>
      </c>
      <c r="T757" s="284">
        <v>532.6768408675</v>
      </c>
      <c r="U757" s="296">
        <f t="shared" si="22"/>
        <v>73.096035800069217</v>
      </c>
      <c r="V757" s="296">
        <f t="shared" si="23"/>
        <v>32.882840867500022</v>
      </c>
      <c r="W757" s="287">
        <v>87</v>
      </c>
      <c r="X757" s="280">
        <v>85</v>
      </c>
      <c r="Y757" s="280">
        <v>85</v>
      </c>
      <c r="Z757" s="280">
        <v>84</v>
      </c>
      <c r="AA757" s="280">
        <v>82</v>
      </c>
      <c r="AB757" s="280">
        <v>82</v>
      </c>
      <c r="AC757" s="280">
        <v>83</v>
      </c>
      <c r="AD757" s="280">
        <v>85</v>
      </c>
      <c r="AE757" s="280">
        <v>85</v>
      </c>
      <c r="AF757" s="280">
        <v>84</v>
      </c>
      <c r="AG757" s="280">
        <v>83</v>
      </c>
      <c r="AH757" s="280">
        <v>84</v>
      </c>
    </row>
    <row r="758" spans="1:34" s="1" customFormat="1" ht="13" x14ac:dyDescent="0.25">
      <c r="A758" s="280" t="s">
        <v>1300</v>
      </c>
      <c r="B758" s="286">
        <v>442</v>
      </c>
      <c r="C758" s="286">
        <v>727.875</v>
      </c>
      <c r="D758" s="286">
        <v>1013.7500000000001</v>
      </c>
      <c r="E758" s="286">
        <v>1</v>
      </c>
      <c r="F758" s="281">
        <v>3</v>
      </c>
      <c r="G758" s="282">
        <v>80.489678562500004</v>
      </c>
      <c r="H758" s="282">
        <v>86.342625218750001</v>
      </c>
      <c r="I758" s="282">
        <v>88.830216662499993</v>
      </c>
      <c r="J758" s="282">
        <v>91.827498223333322</v>
      </c>
      <c r="K758" s="282">
        <v>89.977481441944462</v>
      </c>
      <c r="L758" s="282">
        <v>90.184171171527765</v>
      </c>
      <c r="M758" s="282">
        <v>92.391973149444439</v>
      </c>
      <c r="N758" s="282">
        <v>94.549039198611098</v>
      </c>
      <c r="O758" s="282">
        <v>96.503143266666655</v>
      </c>
      <c r="P758" s="282">
        <v>96.364546713333326</v>
      </c>
      <c r="Q758" s="282">
        <v>95.850408224791664</v>
      </c>
      <c r="R758" s="283">
        <v>95.044495029166654</v>
      </c>
      <c r="S758" s="284">
        <v>1017.8655983000695</v>
      </c>
      <c r="T758" s="284">
        <v>539.55396586749998</v>
      </c>
      <c r="U758" s="296">
        <f t="shared" si="22"/>
        <v>100.07659830006924</v>
      </c>
      <c r="V758" s="296">
        <f t="shared" si="23"/>
        <v>39.7599658675</v>
      </c>
      <c r="W758" s="287">
        <v>87</v>
      </c>
      <c r="X758" s="280">
        <v>85</v>
      </c>
      <c r="Y758" s="280">
        <v>86</v>
      </c>
      <c r="Z758" s="280">
        <v>86</v>
      </c>
      <c r="AA758" s="280">
        <v>85</v>
      </c>
      <c r="AB758" s="280">
        <v>86</v>
      </c>
      <c r="AC758" s="280">
        <v>88</v>
      </c>
      <c r="AD758" s="280">
        <v>91</v>
      </c>
      <c r="AE758" s="280">
        <v>92</v>
      </c>
      <c r="AF758" s="280">
        <v>92</v>
      </c>
      <c r="AG758" s="280">
        <v>92</v>
      </c>
      <c r="AH758" s="280">
        <v>94</v>
      </c>
    </row>
    <row r="759" spans="1:34" s="1" customFormat="1" ht="13" x14ac:dyDescent="0.25">
      <c r="A759" s="280" t="s">
        <v>1301</v>
      </c>
      <c r="B759" s="286">
        <v>442</v>
      </c>
      <c r="C759" s="286">
        <v>727.875</v>
      </c>
      <c r="D759" s="286">
        <v>1013.7500000000001</v>
      </c>
      <c r="E759" s="286">
        <v>1</v>
      </c>
      <c r="F759" s="281">
        <v>4</v>
      </c>
      <c r="G759" s="282">
        <v>80.489678562500004</v>
      </c>
      <c r="H759" s="282">
        <v>86.342625218750001</v>
      </c>
      <c r="I759" s="282">
        <v>89.2752166625</v>
      </c>
      <c r="J759" s="282">
        <v>92.717498223333322</v>
      </c>
      <c r="K759" s="282">
        <v>91.312481441944456</v>
      </c>
      <c r="L759" s="282">
        <v>92.031546171527765</v>
      </c>
      <c r="M759" s="282">
        <v>94.751723149444445</v>
      </c>
      <c r="N759" s="282">
        <v>97.421164198611095</v>
      </c>
      <c r="O759" s="282">
        <v>99.94954951666665</v>
      </c>
      <c r="P759" s="282">
        <v>100.38523421333333</v>
      </c>
      <c r="Q759" s="282">
        <v>100.44537697479167</v>
      </c>
      <c r="R759" s="283">
        <v>100.21374502916666</v>
      </c>
      <c r="S759" s="284">
        <v>1044.8461608000694</v>
      </c>
      <c r="T759" s="284">
        <v>546.43109086749996</v>
      </c>
      <c r="U759" s="296">
        <f t="shared" si="22"/>
        <v>127.05716080006914</v>
      </c>
      <c r="V759" s="296">
        <f t="shared" si="23"/>
        <v>46.637090867499978</v>
      </c>
      <c r="W759" s="287">
        <v>87</v>
      </c>
      <c r="X759" s="280">
        <v>85</v>
      </c>
      <c r="Y759" s="280">
        <v>87</v>
      </c>
      <c r="Z759" s="280">
        <v>88</v>
      </c>
      <c r="AA759" s="280">
        <v>88</v>
      </c>
      <c r="AB759" s="280">
        <v>90</v>
      </c>
      <c r="AC759" s="280">
        <v>93</v>
      </c>
      <c r="AD759" s="280">
        <v>97</v>
      </c>
      <c r="AE759" s="280">
        <v>99</v>
      </c>
      <c r="AF759" s="280">
        <v>100</v>
      </c>
      <c r="AG759" s="280">
        <v>101</v>
      </c>
      <c r="AH759" s="280">
        <v>104</v>
      </c>
    </row>
    <row r="760" spans="1:34" s="1" customFormat="1" ht="13" x14ac:dyDescent="0.25">
      <c r="A760" s="280" t="s">
        <v>1302</v>
      </c>
      <c r="B760" s="286">
        <v>442</v>
      </c>
      <c r="C760" s="286">
        <v>727.875</v>
      </c>
      <c r="D760" s="286">
        <v>1013.7500000000001</v>
      </c>
      <c r="E760" s="286">
        <v>1</v>
      </c>
      <c r="F760" s="281">
        <v>5</v>
      </c>
      <c r="G760" s="282">
        <v>80.489678562500004</v>
      </c>
      <c r="H760" s="282">
        <v>86.342625218750001</v>
      </c>
      <c r="I760" s="282">
        <v>89.720216662499993</v>
      </c>
      <c r="J760" s="282">
        <v>93.607498223333323</v>
      </c>
      <c r="K760" s="282">
        <v>92.647481441944464</v>
      </c>
      <c r="L760" s="282">
        <v>93.878921171527764</v>
      </c>
      <c r="M760" s="282">
        <v>97.111473149444436</v>
      </c>
      <c r="N760" s="282">
        <v>100.29328919861111</v>
      </c>
      <c r="O760" s="282">
        <v>103.39595576666666</v>
      </c>
      <c r="P760" s="282">
        <v>104.40592171333333</v>
      </c>
      <c r="Q760" s="282">
        <v>105.04034572479166</v>
      </c>
      <c r="R760" s="283">
        <v>105.38299502916666</v>
      </c>
      <c r="S760" s="284">
        <v>1071.8267233000695</v>
      </c>
      <c r="T760" s="284">
        <v>553.30821586750005</v>
      </c>
      <c r="U760" s="296">
        <f t="shared" si="22"/>
        <v>154.03772330006927</v>
      </c>
      <c r="V760" s="296">
        <f t="shared" si="23"/>
        <v>53.51421586750007</v>
      </c>
      <c r="W760" s="287">
        <v>87</v>
      </c>
      <c r="X760" s="280">
        <v>85</v>
      </c>
      <c r="Y760" s="280">
        <v>88</v>
      </c>
      <c r="Z760" s="280">
        <v>90</v>
      </c>
      <c r="AA760" s="280">
        <v>91</v>
      </c>
      <c r="AB760" s="280">
        <v>94</v>
      </c>
      <c r="AC760" s="280">
        <v>98</v>
      </c>
      <c r="AD760" s="280">
        <v>103</v>
      </c>
      <c r="AE760" s="280">
        <v>106</v>
      </c>
      <c r="AF760" s="280">
        <v>108</v>
      </c>
      <c r="AG760" s="280">
        <v>110</v>
      </c>
      <c r="AH760" s="280">
        <v>114</v>
      </c>
    </row>
    <row r="761" spans="1:34" s="1" customFormat="1" ht="13" x14ac:dyDescent="0.25">
      <c r="A761" s="280" t="s">
        <v>1303</v>
      </c>
      <c r="B761" s="286">
        <v>442</v>
      </c>
      <c r="C761" s="286">
        <v>727.875</v>
      </c>
      <c r="D761" s="286">
        <v>1013.7500000000001</v>
      </c>
      <c r="E761" s="286">
        <v>2</v>
      </c>
      <c r="F761" s="281">
        <v>0</v>
      </c>
      <c r="G761" s="282">
        <v>80.489678562500004</v>
      </c>
      <c r="H761" s="282">
        <v>84.685718393749994</v>
      </c>
      <c r="I761" s="282">
        <v>85.982074412499998</v>
      </c>
      <c r="J761" s="282">
        <v>87.817938473333328</v>
      </c>
      <c r="K761" s="282">
        <v>84.999227941944454</v>
      </c>
      <c r="L761" s="282">
        <v>84.234546171527768</v>
      </c>
      <c r="M761" s="282">
        <v>84.853868982777783</v>
      </c>
      <c r="N761" s="282">
        <v>85.43391419861112</v>
      </c>
      <c r="O761" s="282">
        <v>85.468299516666661</v>
      </c>
      <c r="P761" s="282">
        <v>83.803734213333328</v>
      </c>
      <c r="Q761" s="282">
        <v>81.527376974791665</v>
      </c>
      <c r="R761" s="283">
        <v>78.893620029166655</v>
      </c>
      <c r="S761" s="284">
        <v>927.70031930840264</v>
      </c>
      <c r="T761" s="284">
        <v>512.57337437583328</v>
      </c>
      <c r="U761" s="296">
        <f t="shared" si="22"/>
        <v>9.911319308402426</v>
      </c>
      <c r="V761" s="296">
        <f t="shared" si="23"/>
        <v>12.779374375833299</v>
      </c>
      <c r="W761" s="287">
        <v>87</v>
      </c>
      <c r="X761" s="280">
        <v>85</v>
      </c>
      <c r="Y761" s="280">
        <v>83</v>
      </c>
      <c r="Z761" s="280">
        <v>80</v>
      </c>
      <c r="AA761" s="280">
        <v>76</v>
      </c>
      <c r="AB761" s="280">
        <v>74</v>
      </c>
      <c r="AC761" s="280">
        <v>73</v>
      </c>
      <c r="AD761" s="280">
        <v>73</v>
      </c>
      <c r="AE761" s="280">
        <v>71</v>
      </c>
      <c r="AF761" s="280">
        <v>68</v>
      </c>
      <c r="AG761" s="280">
        <v>65</v>
      </c>
      <c r="AH761" s="280">
        <v>64</v>
      </c>
    </row>
    <row r="762" spans="1:34" s="1" customFormat="1" ht="13" x14ac:dyDescent="0.25">
      <c r="A762" s="280" t="s">
        <v>1304</v>
      </c>
      <c r="B762" s="286">
        <v>442</v>
      </c>
      <c r="C762" s="286">
        <v>727.875</v>
      </c>
      <c r="D762" s="286">
        <v>1013.7500000000001</v>
      </c>
      <c r="E762" s="286">
        <v>2</v>
      </c>
      <c r="F762" s="281">
        <v>1</v>
      </c>
      <c r="G762" s="282">
        <v>80.489678562500004</v>
      </c>
      <c r="H762" s="282">
        <v>84.685718393749994</v>
      </c>
      <c r="I762" s="282">
        <v>86.427074412500005</v>
      </c>
      <c r="J762" s="282">
        <v>88.707938473333328</v>
      </c>
      <c r="K762" s="282">
        <v>86.334227941944448</v>
      </c>
      <c r="L762" s="282">
        <v>86.081921171527767</v>
      </c>
      <c r="M762" s="282">
        <v>87.213618982777788</v>
      </c>
      <c r="N762" s="282">
        <v>88.306039198611103</v>
      </c>
      <c r="O762" s="282">
        <v>88.914705766666657</v>
      </c>
      <c r="P762" s="282">
        <v>87.824421713333336</v>
      </c>
      <c r="Q762" s="282">
        <v>86.122345724791657</v>
      </c>
      <c r="R762" s="283">
        <v>84.06287002916666</v>
      </c>
      <c r="S762" s="284">
        <v>954.68088180840277</v>
      </c>
      <c r="T762" s="284">
        <v>519.45049937583337</v>
      </c>
      <c r="U762" s="296">
        <f t="shared" si="22"/>
        <v>36.891881808402559</v>
      </c>
      <c r="V762" s="296">
        <f t="shared" si="23"/>
        <v>19.656499375833391</v>
      </c>
      <c r="W762" s="287">
        <v>87</v>
      </c>
      <c r="X762" s="280">
        <v>85</v>
      </c>
      <c r="Y762" s="280">
        <v>84</v>
      </c>
      <c r="Z762" s="280">
        <v>82</v>
      </c>
      <c r="AA762" s="280">
        <v>79</v>
      </c>
      <c r="AB762" s="280">
        <v>78</v>
      </c>
      <c r="AC762" s="280">
        <v>78</v>
      </c>
      <c r="AD762" s="280">
        <v>79</v>
      </c>
      <c r="AE762" s="280">
        <v>78</v>
      </c>
      <c r="AF762" s="280">
        <v>76</v>
      </c>
      <c r="AG762" s="280">
        <v>74</v>
      </c>
      <c r="AH762" s="280">
        <v>74</v>
      </c>
    </row>
    <row r="763" spans="1:34" s="1" customFormat="1" ht="13" x14ac:dyDescent="0.25">
      <c r="A763" s="280" t="s">
        <v>1305</v>
      </c>
      <c r="B763" s="286">
        <v>442</v>
      </c>
      <c r="C763" s="286">
        <v>727.875</v>
      </c>
      <c r="D763" s="286">
        <v>1013.7500000000001</v>
      </c>
      <c r="E763" s="286">
        <v>2</v>
      </c>
      <c r="F763" s="281">
        <v>2</v>
      </c>
      <c r="G763" s="282">
        <v>80.489678562500004</v>
      </c>
      <c r="H763" s="282">
        <v>84.685718393749994</v>
      </c>
      <c r="I763" s="282">
        <v>86.872074412499998</v>
      </c>
      <c r="J763" s="282">
        <v>89.597938473333329</v>
      </c>
      <c r="K763" s="282">
        <v>87.669227941944456</v>
      </c>
      <c r="L763" s="282">
        <v>87.929296171527767</v>
      </c>
      <c r="M763" s="282">
        <v>89.573368982777779</v>
      </c>
      <c r="N763" s="282">
        <v>91.1781641986111</v>
      </c>
      <c r="O763" s="282">
        <v>92.361112016666652</v>
      </c>
      <c r="P763" s="282">
        <v>91.84510921333333</v>
      </c>
      <c r="Q763" s="282">
        <v>90.717314474791664</v>
      </c>
      <c r="R763" s="283">
        <v>89.232120029166666</v>
      </c>
      <c r="S763" s="284">
        <v>981.66144430840279</v>
      </c>
      <c r="T763" s="284">
        <v>526.32762437583335</v>
      </c>
      <c r="U763" s="296">
        <f t="shared" si="22"/>
        <v>63.872444308402578</v>
      </c>
      <c r="V763" s="296">
        <f t="shared" si="23"/>
        <v>26.533624375833369</v>
      </c>
      <c r="W763" s="287">
        <v>87</v>
      </c>
      <c r="X763" s="280">
        <v>85</v>
      </c>
      <c r="Y763" s="280">
        <v>85</v>
      </c>
      <c r="Z763" s="280">
        <v>84</v>
      </c>
      <c r="AA763" s="280">
        <v>82</v>
      </c>
      <c r="AB763" s="280">
        <v>82</v>
      </c>
      <c r="AC763" s="280">
        <v>83</v>
      </c>
      <c r="AD763" s="280">
        <v>85</v>
      </c>
      <c r="AE763" s="280">
        <v>85</v>
      </c>
      <c r="AF763" s="280">
        <v>84</v>
      </c>
      <c r="AG763" s="280">
        <v>83</v>
      </c>
      <c r="AH763" s="280">
        <v>84</v>
      </c>
    </row>
    <row r="764" spans="1:34" s="1" customFormat="1" ht="13" x14ac:dyDescent="0.25">
      <c r="A764" s="280" t="s">
        <v>1306</v>
      </c>
      <c r="B764" s="286">
        <v>442</v>
      </c>
      <c r="C764" s="286">
        <v>727.875</v>
      </c>
      <c r="D764" s="286">
        <v>1013.7500000000001</v>
      </c>
      <c r="E764" s="286">
        <v>2</v>
      </c>
      <c r="F764" s="281">
        <v>3</v>
      </c>
      <c r="G764" s="282">
        <v>80.489678562500004</v>
      </c>
      <c r="H764" s="282">
        <v>84.685718393749994</v>
      </c>
      <c r="I764" s="282">
        <v>87.317074412500006</v>
      </c>
      <c r="J764" s="282">
        <v>90.48793847333333</v>
      </c>
      <c r="K764" s="282">
        <v>89.00422794194445</v>
      </c>
      <c r="L764" s="282">
        <v>89.776671171527767</v>
      </c>
      <c r="M764" s="282">
        <v>91.933118982777785</v>
      </c>
      <c r="N764" s="282">
        <v>94.050289198611097</v>
      </c>
      <c r="O764" s="282">
        <v>95.807518266666662</v>
      </c>
      <c r="P764" s="282">
        <v>95.865796713333339</v>
      </c>
      <c r="Q764" s="282">
        <v>95.31228322479167</v>
      </c>
      <c r="R764" s="283">
        <v>94.401370029166657</v>
      </c>
      <c r="S764" s="284">
        <v>1008.6420068084027</v>
      </c>
      <c r="T764" s="284">
        <v>533.20474937583333</v>
      </c>
      <c r="U764" s="296">
        <f t="shared" si="22"/>
        <v>90.853006808402483</v>
      </c>
      <c r="V764" s="296">
        <f t="shared" si="23"/>
        <v>33.410749375833348</v>
      </c>
      <c r="W764" s="287">
        <v>87</v>
      </c>
      <c r="X764" s="280">
        <v>85</v>
      </c>
      <c r="Y764" s="280">
        <v>86</v>
      </c>
      <c r="Z764" s="280">
        <v>86</v>
      </c>
      <c r="AA764" s="280">
        <v>85</v>
      </c>
      <c r="AB764" s="280">
        <v>86</v>
      </c>
      <c r="AC764" s="280">
        <v>88</v>
      </c>
      <c r="AD764" s="280">
        <v>91</v>
      </c>
      <c r="AE764" s="280">
        <v>92</v>
      </c>
      <c r="AF764" s="280">
        <v>92</v>
      </c>
      <c r="AG764" s="280">
        <v>92</v>
      </c>
      <c r="AH764" s="280">
        <v>94</v>
      </c>
    </row>
    <row r="765" spans="1:34" s="1" customFormat="1" ht="13" x14ac:dyDescent="0.25">
      <c r="A765" s="280" t="s">
        <v>1307</v>
      </c>
      <c r="B765" s="286">
        <v>442</v>
      </c>
      <c r="C765" s="286">
        <v>727.875</v>
      </c>
      <c r="D765" s="286">
        <v>1013.7500000000001</v>
      </c>
      <c r="E765" s="286">
        <v>2</v>
      </c>
      <c r="F765" s="281">
        <v>4</v>
      </c>
      <c r="G765" s="282">
        <v>80.489678562500004</v>
      </c>
      <c r="H765" s="282">
        <v>84.685718393749994</v>
      </c>
      <c r="I765" s="282">
        <v>87.762074412499999</v>
      </c>
      <c r="J765" s="282">
        <v>91.37793847333333</v>
      </c>
      <c r="K765" s="282">
        <v>90.339227941944458</v>
      </c>
      <c r="L765" s="282">
        <v>91.624046171527766</v>
      </c>
      <c r="M765" s="282">
        <v>94.292868982777776</v>
      </c>
      <c r="N765" s="282">
        <v>96.922414198611094</v>
      </c>
      <c r="O765" s="282">
        <v>99.253924516666657</v>
      </c>
      <c r="P765" s="282">
        <v>99.886484213333333</v>
      </c>
      <c r="Q765" s="282">
        <v>99.907251974791663</v>
      </c>
      <c r="R765" s="283">
        <v>99.570620029166662</v>
      </c>
      <c r="S765" s="284">
        <v>1035.6225693084027</v>
      </c>
      <c r="T765" s="284">
        <v>540.08187437583331</v>
      </c>
      <c r="U765" s="296">
        <f t="shared" si="22"/>
        <v>117.8335693084025</v>
      </c>
      <c r="V765" s="296">
        <f t="shared" si="23"/>
        <v>40.287874375833326</v>
      </c>
      <c r="W765" s="287">
        <v>87</v>
      </c>
      <c r="X765" s="280">
        <v>85</v>
      </c>
      <c r="Y765" s="280">
        <v>87</v>
      </c>
      <c r="Z765" s="280">
        <v>88</v>
      </c>
      <c r="AA765" s="280">
        <v>88</v>
      </c>
      <c r="AB765" s="280">
        <v>90</v>
      </c>
      <c r="AC765" s="280">
        <v>93</v>
      </c>
      <c r="AD765" s="280">
        <v>97</v>
      </c>
      <c r="AE765" s="280">
        <v>99</v>
      </c>
      <c r="AF765" s="280">
        <v>100</v>
      </c>
      <c r="AG765" s="280">
        <v>101</v>
      </c>
      <c r="AH765" s="280">
        <v>104</v>
      </c>
    </row>
    <row r="766" spans="1:34" s="1" customFormat="1" ht="13" x14ac:dyDescent="0.25">
      <c r="A766" s="280" t="s">
        <v>1308</v>
      </c>
      <c r="B766" s="286">
        <v>442</v>
      </c>
      <c r="C766" s="286">
        <v>727.875</v>
      </c>
      <c r="D766" s="286">
        <v>1013.7500000000001</v>
      </c>
      <c r="E766" s="286">
        <v>2</v>
      </c>
      <c r="F766" s="281">
        <v>5</v>
      </c>
      <c r="G766" s="282">
        <v>80.489678562500004</v>
      </c>
      <c r="H766" s="282">
        <v>84.685718393749994</v>
      </c>
      <c r="I766" s="282">
        <v>88.207074412499992</v>
      </c>
      <c r="J766" s="282">
        <v>92.267938473333331</v>
      </c>
      <c r="K766" s="282">
        <v>91.674227941944451</v>
      </c>
      <c r="L766" s="282">
        <v>93.471421171527766</v>
      </c>
      <c r="M766" s="282">
        <v>96.652618982777781</v>
      </c>
      <c r="N766" s="282">
        <v>99.794539198611105</v>
      </c>
      <c r="O766" s="282">
        <v>102.70033076666665</v>
      </c>
      <c r="P766" s="282">
        <v>103.90717171333333</v>
      </c>
      <c r="Q766" s="282">
        <v>104.50222072479167</v>
      </c>
      <c r="R766" s="283">
        <v>104.73987002916665</v>
      </c>
      <c r="S766" s="284">
        <v>1062.6031318084028</v>
      </c>
      <c r="T766" s="284">
        <v>546.9589993758334</v>
      </c>
      <c r="U766" s="296">
        <f t="shared" si="22"/>
        <v>144.81413180840264</v>
      </c>
      <c r="V766" s="296">
        <f t="shared" si="23"/>
        <v>47.164999375833418</v>
      </c>
      <c r="W766" s="287">
        <v>87</v>
      </c>
      <c r="X766" s="280">
        <v>85</v>
      </c>
      <c r="Y766" s="280">
        <v>88</v>
      </c>
      <c r="Z766" s="280">
        <v>90</v>
      </c>
      <c r="AA766" s="280">
        <v>91</v>
      </c>
      <c r="AB766" s="280">
        <v>94</v>
      </c>
      <c r="AC766" s="280">
        <v>98</v>
      </c>
      <c r="AD766" s="280">
        <v>103</v>
      </c>
      <c r="AE766" s="280">
        <v>106</v>
      </c>
      <c r="AF766" s="280">
        <v>108</v>
      </c>
      <c r="AG766" s="280">
        <v>110</v>
      </c>
      <c r="AH766" s="280">
        <v>114</v>
      </c>
    </row>
    <row r="767" spans="1:34" s="1" customFormat="1" ht="13" x14ac:dyDescent="0.25">
      <c r="A767" s="280" t="s">
        <v>1309</v>
      </c>
      <c r="B767" s="286">
        <v>442</v>
      </c>
      <c r="C767" s="286">
        <v>727.875</v>
      </c>
      <c r="D767" s="286">
        <v>1013.7500000000001</v>
      </c>
      <c r="E767" s="286">
        <v>3</v>
      </c>
      <c r="F767" s="281">
        <v>0</v>
      </c>
      <c r="G767" s="282">
        <v>80.489678562500004</v>
      </c>
      <c r="H767" s="282">
        <v>83.986237693749999</v>
      </c>
      <c r="I767" s="282">
        <v>84.8931304125</v>
      </c>
      <c r="J767" s="282">
        <v>86.833077473333319</v>
      </c>
      <c r="K767" s="282">
        <v>84.143814191944443</v>
      </c>
      <c r="L767" s="282">
        <v>83.639546171527769</v>
      </c>
      <c r="M767" s="282">
        <v>84.370431482777789</v>
      </c>
      <c r="N767" s="282">
        <v>84.970164198611116</v>
      </c>
      <c r="O767" s="282">
        <v>84.903924516666663</v>
      </c>
      <c r="P767" s="282">
        <v>83.173734213333333</v>
      </c>
      <c r="Q767" s="282">
        <v>81.015501974791647</v>
      </c>
      <c r="R767" s="283">
        <v>78.320495029166665</v>
      </c>
      <c r="S767" s="284">
        <v>920.25005735840261</v>
      </c>
      <c r="T767" s="284">
        <v>507.86623742583333</v>
      </c>
      <c r="U767" s="296">
        <f t="shared" si="22"/>
        <v>2.4610573584023996</v>
      </c>
      <c r="V767" s="296">
        <f t="shared" si="23"/>
        <v>8.0722374258333502</v>
      </c>
      <c r="W767" s="287">
        <v>87</v>
      </c>
      <c r="X767" s="280">
        <v>85</v>
      </c>
      <c r="Y767" s="280">
        <v>83</v>
      </c>
      <c r="Z767" s="280">
        <v>80</v>
      </c>
      <c r="AA767" s="280">
        <v>76</v>
      </c>
      <c r="AB767" s="280">
        <v>74</v>
      </c>
      <c r="AC767" s="280">
        <v>73</v>
      </c>
      <c r="AD767" s="280">
        <v>73</v>
      </c>
      <c r="AE767" s="280">
        <v>71</v>
      </c>
      <c r="AF767" s="280">
        <v>68</v>
      </c>
      <c r="AG767" s="280">
        <v>65</v>
      </c>
      <c r="AH767" s="280">
        <v>64</v>
      </c>
    </row>
    <row r="768" spans="1:34" s="1" customFormat="1" ht="13" x14ac:dyDescent="0.25">
      <c r="A768" s="280" t="s">
        <v>1310</v>
      </c>
      <c r="B768" s="286">
        <v>442</v>
      </c>
      <c r="C768" s="286">
        <v>727.875</v>
      </c>
      <c r="D768" s="286">
        <v>1013.7500000000001</v>
      </c>
      <c r="E768" s="286">
        <v>3</v>
      </c>
      <c r="F768" s="281">
        <v>1</v>
      </c>
      <c r="G768" s="282">
        <v>80.489678562500004</v>
      </c>
      <c r="H768" s="282">
        <v>83.986237693749999</v>
      </c>
      <c r="I768" s="282">
        <v>85.338130412500007</v>
      </c>
      <c r="J768" s="282">
        <v>87.723077473333319</v>
      </c>
      <c r="K768" s="282">
        <v>85.478814191944451</v>
      </c>
      <c r="L768" s="282">
        <v>85.486921171527769</v>
      </c>
      <c r="M768" s="282">
        <v>86.73018148277778</v>
      </c>
      <c r="N768" s="282">
        <v>87.842289198611113</v>
      </c>
      <c r="O768" s="282">
        <v>88.350330766666659</v>
      </c>
      <c r="P768" s="282">
        <v>87.194421713333327</v>
      </c>
      <c r="Q768" s="282">
        <v>85.610470724791668</v>
      </c>
      <c r="R768" s="283">
        <v>83.489745029166656</v>
      </c>
      <c r="S768" s="284">
        <v>947.23061985840263</v>
      </c>
      <c r="T768" s="284">
        <v>514.74336242583331</v>
      </c>
      <c r="U768" s="296">
        <f t="shared" si="22"/>
        <v>29.441619858402419</v>
      </c>
      <c r="V768" s="296">
        <f t="shared" si="23"/>
        <v>14.949362425833328</v>
      </c>
      <c r="W768" s="287">
        <v>87</v>
      </c>
      <c r="X768" s="280">
        <v>85</v>
      </c>
      <c r="Y768" s="280">
        <v>84</v>
      </c>
      <c r="Z768" s="280">
        <v>82</v>
      </c>
      <c r="AA768" s="280">
        <v>79</v>
      </c>
      <c r="AB768" s="280">
        <v>78</v>
      </c>
      <c r="AC768" s="280">
        <v>78</v>
      </c>
      <c r="AD768" s="280">
        <v>79</v>
      </c>
      <c r="AE768" s="280">
        <v>78</v>
      </c>
      <c r="AF768" s="280">
        <v>76</v>
      </c>
      <c r="AG768" s="280">
        <v>74</v>
      </c>
      <c r="AH768" s="280">
        <v>74</v>
      </c>
    </row>
    <row r="769" spans="1:34" s="1" customFormat="1" ht="13" x14ac:dyDescent="0.25">
      <c r="A769" s="280" t="s">
        <v>1311</v>
      </c>
      <c r="B769" s="286">
        <v>442</v>
      </c>
      <c r="C769" s="286">
        <v>727.875</v>
      </c>
      <c r="D769" s="286">
        <v>1013.7500000000001</v>
      </c>
      <c r="E769" s="286">
        <v>3</v>
      </c>
      <c r="F769" s="281">
        <v>2</v>
      </c>
      <c r="G769" s="282">
        <v>80.489678562500004</v>
      </c>
      <c r="H769" s="282">
        <v>83.986237693749999</v>
      </c>
      <c r="I769" s="282">
        <v>85.7831304125</v>
      </c>
      <c r="J769" s="282">
        <v>88.61307747333332</v>
      </c>
      <c r="K769" s="282">
        <v>86.813814191944445</v>
      </c>
      <c r="L769" s="282">
        <v>87.334296171527768</v>
      </c>
      <c r="M769" s="282">
        <v>89.089931482777786</v>
      </c>
      <c r="N769" s="282">
        <v>90.714414198611095</v>
      </c>
      <c r="O769" s="282">
        <v>91.796737016666654</v>
      </c>
      <c r="P769" s="282">
        <v>91.215109213333335</v>
      </c>
      <c r="Q769" s="282">
        <v>90.20543947479166</v>
      </c>
      <c r="R769" s="283">
        <v>88.658995029166661</v>
      </c>
      <c r="S769" s="284">
        <v>974.21118235840265</v>
      </c>
      <c r="T769" s="284">
        <v>521.62048742583329</v>
      </c>
      <c r="U769" s="296">
        <f t="shared" si="22"/>
        <v>56.422182358402438</v>
      </c>
      <c r="V769" s="296">
        <f t="shared" si="23"/>
        <v>21.826487425833307</v>
      </c>
      <c r="W769" s="287">
        <v>87</v>
      </c>
      <c r="X769" s="280">
        <v>85</v>
      </c>
      <c r="Y769" s="280">
        <v>85</v>
      </c>
      <c r="Z769" s="280">
        <v>84</v>
      </c>
      <c r="AA769" s="280">
        <v>82</v>
      </c>
      <c r="AB769" s="280">
        <v>82</v>
      </c>
      <c r="AC769" s="280">
        <v>83</v>
      </c>
      <c r="AD769" s="280">
        <v>85</v>
      </c>
      <c r="AE769" s="280">
        <v>85</v>
      </c>
      <c r="AF769" s="280">
        <v>84</v>
      </c>
      <c r="AG769" s="280">
        <v>83</v>
      </c>
      <c r="AH769" s="280">
        <v>84</v>
      </c>
    </row>
    <row r="770" spans="1:34" s="1" customFormat="1" ht="13" x14ac:dyDescent="0.25">
      <c r="A770" s="280" t="s">
        <v>1312</v>
      </c>
      <c r="B770" s="286">
        <v>442</v>
      </c>
      <c r="C770" s="286">
        <v>727.875</v>
      </c>
      <c r="D770" s="286">
        <v>1013.7500000000001</v>
      </c>
      <c r="E770" s="286">
        <v>3</v>
      </c>
      <c r="F770" s="281">
        <v>3</v>
      </c>
      <c r="G770" s="282">
        <v>80.489678562500004</v>
      </c>
      <c r="H770" s="282">
        <v>83.986237693749999</v>
      </c>
      <c r="I770" s="282">
        <v>86.228130412499993</v>
      </c>
      <c r="J770" s="282">
        <v>89.50307747333332</v>
      </c>
      <c r="K770" s="282">
        <v>88.148814191944453</v>
      </c>
      <c r="L770" s="282">
        <v>89.181671171527768</v>
      </c>
      <c r="M770" s="282">
        <v>91.449681482777777</v>
      </c>
      <c r="N770" s="282">
        <v>93.586539198611092</v>
      </c>
      <c r="O770" s="282">
        <v>95.243143266666664</v>
      </c>
      <c r="P770" s="282">
        <v>95.235796713333329</v>
      </c>
      <c r="Q770" s="282">
        <v>94.800408224791667</v>
      </c>
      <c r="R770" s="283">
        <v>93.828245029166666</v>
      </c>
      <c r="S770" s="284">
        <v>1001.1917448584029</v>
      </c>
      <c r="T770" s="284">
        <v>528.49761242583338</v>
      </c>
      <c r="U770" s="296">
        <f t="shared" si="22"/>
        <v>83.402744858402684</v>
      </c>
      <c r="V770" s="296">
        <f t="shared" si="23"/>
        <v>28.703612425833398</v>
      </c>
      <c r="W770" s="287">
        <v>87</v>
      </c>
      <c r="X770" s="280">
        <v>85</v>
      </c>
      <c r="Y770" s="280">
        <v>86</v>
      </c>
      <c r="Z770" s="280">
        <v>86</v>
      </c>
      <c r="AA770" s="280">
        <v>85</v>
      </c>
      <c r="AB770" s="280">
        <v>86</v>
      </c>
      <c r="AC770" s="280">
        <v>88</v>
      </c>
      <c r="AD770" s="280">
        <v>91</v>
      </c>
      <c r="AE770" s="280">
        <v>92</v>
      </c>
      <c r="AF770" s="280">
        <v>92</v>
      </c>
      <c r="AG770" s="280">
        <v>92</v>
      </c>
      <c r="AH770" s="280">
        <v>94</v>
      </c>
    </row>
    <row r="771" spans="1:34" s="1" customFormat="1" ht="13" x14ac:dyDescent="0.25">
      <c r="A771" s="280" t="s">
        <v>1313</v>
      </c>
      <c r="B771" s="286">
        <v>442</v>
      </c>
      <c r="C771" s="286">
        <v>727.875</v>
      </c>
      <c r="D771" s="286">
        <v>1013.7500000000001</v>
      </c>
      <c r="E771" s="286">
        <v>3</v>
      </c>
      <c r="F771" s="281">
        <v>4</v>
      </c>
      <c r="G771" s="282">
        <v>80.489678562500004</v>
      </c>
      <c r="H771" s="282">
        <v>83.986237693749999</v>
      </c>
      <c r="I771" s="282">
        <v>86.673130412500001</v>
      </c>
      <c r="J771" s="282">
        <v>90.393077473333321</v>
      </c>
      <c r="K771" s="282">
        <v>89.483814191944461</v>
      </c>
      <c r="L771" s="282">
        <v>91.029046171527767</v>
      </c>
      <c r="M771" s="282">
        <v>93.809431482777782</v>
      </c>
      <c r="N771" s="282">
        <v>96.458664198611103</v>
      </c>
      <c r="O771" s="282">
        <v>98.689549516666659</v>
      </c>
      <c r="P771" s="282">
        <v>99.256484213333337</v>
      </c>
      <c r="Q771" s="282">
        <v>99.39537697479166</v>
      </c>
      <c r="R771" s="283">
        <v>98.997495029166657</v>
      </c>
      <c r="S771" s="284">
        <v>1028.172307358403</v>
      </c>
      <c r="T771" s="284">
        <v>535.37473742583336</v>
      </c>
      <c r="U771" s="296">
        <f t="shared" si="22"/>
        <v>110.38330735840282</v>
      </c>
      <c r="V771" s="296">
        <f t="shared" si="23"/>
        <v>35.580737425833377</v>
      </c>
      <c r="W771" s="287">
        <v>87</v>
      </c>
      <c r="X771" s="280">
        <v>85</v>
      </c>
      <c r="Y771" s="280">
        <v>87</v>
      </c>
      <c r="Z771" s="280">
        <v>88</v>
      </c>
      <c r="AA771" s="280">
        <v>88</v>
      </c>
      <c r="AB771" s="280">
        <v>90</v>
      </c>
      <c r="AC771" s="280">
        <v>93</v>
      </c>
      <c r="AD771" s="280">
        <v>97</v>
      </c>
      <c r="AE771" s="280">
        <v>99</v>
      </c>
      <c r="AF771" s="280">
        <v>100</v>
      </c>
      <c r="AG771" s="280">
        <v>101</v>
      </c>
      <c r="AH771" s="280">
        <v>104</v>
      </c>
    </row>
    <row r="772" spans="1:34" s="1" customFormat="1" ht="13" x14ac:dyDescent="0.25">
      <c r="A772" s="280" t="s">
        <v>1314</v>
      </c>
      <c r="B772" s="286">
        <v>442</v>
      </c>
      <c r="C772" s="286">
        <v>727.875</v>
      </c>
      <c r="D772" s="286">
        <v>1013.7500000000001</v>
      </c>
      <c r="E772" s="286">
        <v>3</v>
      </c>
      <c r="F772" s="281">
        <v>5</v>
      </c>
      <c r="G772" s="282">
        <v>80.489678562500004</v>
      </c>
      <c r="H772" s="282">
        <v>83.986237693749999</v>
      </c>
      <c r="I772" s="282">
        <v>87.118130412499994</v>
      </c>
      <c r="J772" s="282">
        <v>91.283077473333336</v>
      </c>
      <c r="K772" s="282">
        <v>90.818814191944469</v>
      </c>
      <c r="L772" s="282">
        <v>92.876421171527767</v>
      </c>
      <c r="M772" s="282">
        <v>96.169181482777788</v>
      </c>
      <c r="N772" s="282">
        <v>99.3307891986111</v>
      </c>
      <c r="O772" s="282">
        <v>102.13595576666665</v>
      </c>
      <c r="P772" s="282">
        <v>103.27717171333333</v>
      </c>
      <c r="Q772" s="282">
        <v>103.99034572479167</v>
      </c>
      <c r="R772" s="283">
        <v>104.16674502916666</v>
      </c>
      <c r="S772" s="284">
        <v>1055.1528698584025</v>
      </c>
      <c r="T772" s="284">
        <v>542.25186242583322</v>
      </c>
      <c r="U772" s="296">
        <f t="shared" si="22"/>
        <v>137.36386985840227</v>
      </c>
      <c r="V772" s="296">
        <f t="shared" si="23"/>
        <v>42.457862425833241</v>
      </c>
      <c r="W772" s="287">
        <v>87</v>
      </c>
      <c r="X772" s="280">
        <v>85</v>
      </c>
      <c r="Y772" s="280">
        <v>88</v>
      </c>
      <c r="Z772" s="280">
        <v>90</v>
      </c>
      <c r="AA772" s="280">
        <v>91</v>
      </c>
      <c r="AB772" s="280">
        <v>94</v>
      </c>
      <c r="AC772" s="280">
        <v>98</v>
      </c>
      <c r="AD772" s="280">
        <v>103</v>
      </c>
      <c r="AE772" s="280">
        <v>106</v>
      </c>
      <c r="AF772" s="280">
        <v>108</v>
      </c>
      <c r="AG772" s="280">
        <v>110</v>
      </c>
      <c r="AH772" s="280">
        <v>114</v>
      </c>
    </row>
    <row r="773" spans="1:34" s="1" customFormat="1" ht="13" x14ac:dyDescent="0.25">
      <c r="A773" s="280" t="s">
        <v>1315</v>
      </c>
      <c r="B773" s="286">
        <v>442</v>
      </c>
      <c r="C773" s="286">
        <v>727.875</v>
      </c>
      <c r="D773" s="286">
        <v>1013.7500000000001</v>
      </c>
      <c r="E773" s="286">
        <v>4</v>
      </c>
      <c r="F773" s="281">
        <v>0</v>
      </c>
      <c r="G773" s="282">
        <v>80.489678562500004</v>
      </c>
      <c r="H773" s="282">
        <v>83.588112693750006</v>
      </c>
      <c r="I773" s="282">
        <v>84.227198962499997</v>
      </c>
      <c r="J773" s="282">
        <v>85.962374473333313</v>
      </c>
      <c r="K773" s="282">
        <v>83.226146441944451</v>
      </c>
      <c r="L773" s="282">
        <v>82.945737588194433</v>
      </c>
      <c r="M773" s="282">
        <v>83.839962732777778</v>
      </c>
      <c r="N773" s="282">
        <v>84.541414198611108</v>
      </c>
      <c r="O773" s="282">
        <v>84.398612016666661</v>
      </c>
      <c r="P773" s="282">
        <v>82.609359213333335</v>
      </c>
      <c r="Q773" s="282">
        <v>80.411751974791656</v>
      </c>
      <c r="R773" s="283">
        <v>77.784557529166662</v>
      </c>
      <c r="S773" s="284">
        <v>913.53522782506946</v>
      </c>
      <c r="T773" s="284">
        <v>503.78953289250001</v>
      </c>
      <c r="U773" s="296">
        <f t="shared" ref="U773:U814" si="24">S773-S$3</f>
        <v>-4.2537721749307593</v>
      </c>
      <c r="V773" s="296">
        <f t="shared" ref="V773:V814" si="25">T773-T$3</f>
        <v>3.9955328925000231</v>
      </c>
      <c r="W773" s="287">
        <v>87</v>
      </c>
      <c r="X773" s="280">
        <v>85</v>
      </c>
      <c r="Y773" s="280">
        <v>83</v>
      </c>
      <c r="Z773" s="280">
        <v>80</v>
      </c>
      <c r="AA773" s="280">
        <v>76</v>
      </c>
      <c r="AB773" s="280">
        <v>74</v>
      </c>
      <c r="AC773" s="280">
        <v>73</v>
      </c>
      <c r="AD773" s="280">
        <v>73</v>
      </c>
      <c r="AE773" s="280">
        <v>71</v>
      </c>
      <c r="AF773" s="280">
        <v>68</v>
      </c>
      <c r="AG773" s="280">
        <v>65</v>
      </c>
      <c r="AH773" s="280">
        <v>64</v>
      </c>
    </row>
    <row r="774" spans="1:34" s="1" customFormat="1" ht="13" x14ac:dyDescent="0.25">
      <c r="A774" s="280" t="s">
        <v>1316</v>
      </c>
      <c r="B774" s="286">
        <v>442</v>
      </c>
      <c r="C774" s="286">
        <v>727.875</v>
      </c>
      <c r="D774" s="286">
        <v>1013.7500000000001</v>
      </c>
      <c r="E774" s="286">
        <v>4</v>
      </c>
      <c r="F774" s="281">
        <v>1</v>
      </c>
      <c r="G774" s="282">
        <v>80.489678562500004</v>
      </c>
      <c r="H774" s="282">
        <v>83.588112693750006</v>
      </c>
      <c r="I774" s="282">
        <v>84.672198962499991</v>
      </c>
      <c r="J774" s="282">
        <v>86.852374473333327</v>
      </c>
      <c r="K774" s="282">
        <v>84.561146441944459</v>
      </c>
      <c r="L774" s="282">
        <v>84.793112588194433</v>
      </c>
      <c r="M774" s="282">
        <v>86.199712732777783</v>
      </c>
      <c r="N774" s="282">
        <v>87.413539198611119</v>
      </c>
      <c r="O774" s="282">
        <v>87.845018266666656</v>
      </c>
      <c r="P774" s="282">
        <v>86.630046713333329</v>
      </c>
      <c r="Q774" s="282">
        <v>85.006720724791663</v>
      </c>
      <c r="R774" s="283">
        <v>82.953807529166653</v>
      </c>
      <c r="S774" s="284">
        <v>940.51579032506936</v>
      </c>
      <c r="T774" s="284">
        <v>510.66665789249998</v>
      </c>
      <c r="U774" s="296">
        <f t="shared" si="24"/>
        <v>22.726790325069146</v>
      </c>
      <c r="V774" s="296">
        <f t="shared" si="25"/>
        <v>10.872657892500001</v>
      </c>
      <c r="W774" s="287">
        <v>87</v>
      </c>
      <c r="X774" s="280">
        <v>85</v>
      </c>
      <c r="Y774" s="280">
        <v>84</v>
      </c>
      <c r="Z774" s="280">
        <v>82</v>
      </c>
      <c r="AA774" s="280">
        <v>79</v>
      </c>
      <c r="AB774" s="280">
        <v>78</v>
      </c>
      <c r="AC774" s="280">
        <v>78</v>
      </c>
      <c r="AD774" s="280">
        <v>79</v>
      </c>
      <c r="AE774" s="280">
        <v>78</v>
      </c>
      <c r="AF774" s="280">
        <v>76</v>
      </c>
      <c r="AG774" s="280">
        <v>74</v>
      </c>
      <c r="AH774" s="280">
        <v>74</v>
      </c>
    </row>
    <row r="775" spans="1:34" s="1" customFormat="1" ht="13" x14ac:dyDescent="0.25">
      <c r="A775" s="280" t="s">
        <v>1317</v>
      </c>
      <c r="B775" s="286">
        <v>442</v>
      </c>
      <c r="C775" s="286">
        <v>727.875</v>
      </c>
      <c r="D775" s="286">
        <v>1013.7500000000001</v>
      </c>
      <c r="E775" s="286">
        <v>4</v>
      </c>
      <c r="F775" s="281">
        <v>2</v>
      </c>
      <c r="G775" s="282">
        <v>80.489678562500004</v>
      </c>
      <c r="H775" s="282">
        <v>83.588112693750006</v>
      </c>
      <c r="I775" s="282">
        <v>85.117198962499998</v>
      </c>
      <c r="J775" s="282">
        <v>87.742374473333328</v>
      </c>
      <c r="K775" s="282">
        <v>85.896146441944452</v>
      </c>
      <c r="L775" s="282">
        <v>86.640487588194432</v>
      </c>
      <c r="M775" s="282">
        <v>88.559462732777789</v>
      </c>
      <c r="N775" s="282">
        <v>90.285664198611101</v>
      </c>
      <c r="O775" s="282">
        <v>91.291424516666652</v>
      </c>
      <c r="P775" s="282">
        <v>90.650734213333337</v>
      </c>
      <c r="Q775" s="282">
        <v>89.601689474791669</v>
      </c>
      <c r="R775" s="283">
        <v>88.123057529166658</v>
      </c>
      <c r="S775" s="284">
        <v>967.49635282506938</v>
      </c>
      <c r="T775" s="284">
        <v>517.54378289249996</v>
      </c>
      <c r="U775" s="296">
        <f t="shared" si="24"/>
        <v>49.707352825069165</v>
      </c>
      <c r="V775" s="296">
        <f t="shared" si="25"/>
        <v>17.749782892499979</v>
      </c>
      <c r="W775" s="287">
        <v>87</v>
      </c>
      <c r="X775" s="280">
        <v>85</v>
      </c>
      <c r="Y775" s="280">
        <v>85</v>
      </c>
      <c r="Z775" s="280">
        <v>84</v>
      </c>
      <c r="AA775" s="280">
        <v>82</v>
      </c>
      <c r="AB775" s="280">
        <v>82</v>
      </c>
      <c r="AC775" s="280">
        <v>83</v>
      </c>
      <c r="AD775" s="280">
        <v>85</v>
      </c>
      <c r="AE775" s="280">
        <v>85</v>
      </c>
      <c r="AF775" s="280">
        <v>84</v>
      </c>
      <c r="AG775" s="280">
        <v>83</v>
      </c>
      <c r="AH775" s="280">
        <v>84</v>
      </c>
    </row>
    <row r="776" spans="1:34" s="1" customFormat="1" ht="13" x14ac:dyDescent="0.25">
      <c r="A776" s="280" t="s">
        <v>1318</v>
      </c>
      <c r="B776" s="286">
        <v>442</v>
      </c>
      <c r="C776" s="286">
        <v>727.875</v>
      </c>
      <c r="D776" s="286">
        <v>1013.7500000000001</v>
      </c>
      <c r="E776" s="286">
        <v>4</v>
      </c>
      <c r="F776" s="281">
        <v>3</v>
      </c>
      <c r="G776" s="282">
        <v>80.489678562500004</v>
      </c>
      <c r="H776" s="282">
        <v>83.588112693750006</v>
      </c>
      <c r="I776" s="282">
        <v>85.562198962499991</v>
      </c>
      <c r="J776" s="282">
        <v>88.632374473333329</v>
      </c>
      <c r="K776" s="282">
        <v>87.23114644194446</v>
      </c>
      <c r="L776" s="282">
        <v>88.487862588194432</v>
      </c>
      <c r="M776" s="282">
        <v>90.91921273277778</v>
      </c>
      <c r="N776" s="282">
        <v>93.157789198611098</v>
      </c>
      <c r="O776" s="282">
        <v>94.737830766666661</v>
      </c>
      <c r="P776" s="282">
        <v>94.671421713333331</v>
      </c>
      <c r="Q776" s="282">
        <v>94.196658224791662</v>
      </c>
      <c r="R776" s="283">
        <v>93.292307529166663</v>
      </c>
      <c r="S776" s="284">
        <v>994.47691532506951</v>
      </c>
      <c r="T776" s="284">
        <v>524.42090789250005</v>
      </c>
      <c r="U776" s="296">
        <f t="shared" si="24"/>
        <v>76.687915325069298</v>
      </c>
      <c r="V776" s="296">
        <f t="shared" si="25"/>
        <v>24.626907892500071</v>
      </c>
      <c r="W776" s="287">
        <v>87</v>
      </c>
      <c r="X776" s="280">
        <v>85</v>
      </c>
      <c r="Y776" s="280">
        <v>86</v>
      </c>
      <c r="Z776" s="280">
        <v>86</v>
      </c>
      <c r="AA776" s="280">
        <v>85</v>
      </c>
      <c r="AB776" s="280">
        <v>86</v>
      </c>
      <c r="AC776" s="280">
        <v>88</v>
      </c>
      <c r="AD776" s="280">
        <v>91</v>
      </c>
      <c r="AE776" s="280">
        <v>92</v>
      </c>
      <c r="AF776" s="280">
        <v>92</v>
      </c>
      <c r="AG776" s="280">
        <v>92</v>
      </c>
      <c r="AH776" s="280">
        <v>94</v>
      </c>
    </row>
    <row r="777" spans="1:34" s="1" customFormat="1" ht="13" x14ac:dyDescent="0.25">
      <c r="A777" s="280" t="s">
        <v>1319</v>
      </c>
      <c r="B777" s="286">
        <v>442</v>
      </c>
      <c r="C777" s="286">
        <v>727.875</v>
      </c>
      <c r="D777" s="286">
        <v>1013.7500000000001</v>
      </c>
      <c r="E777" s="286">
        <v>4</v>
      </c>
      <c r="F777" s="281">
        <v>4</v>
      </c>
      <c r="G777" s="282">
        <v>80.489678562500004</v>
      </c>
      <c r="H777" s="282">
        <v>83.588112693750006</v>
      </c>
      <c r="I777" s="282">
        <v>86.007198962499999</v>
      </c>
      <c r="J777" s="282">
        <v>89.522374473333329</v>
      </c>
      <c r="K777" s="282">
        <v>88.566146441944454</v>
      </c>
      <c r="L777" s="282">
        <v>90.335237588194431</v>
      </c>
      <c r="M777" s="282">
        <v>93.278962732777785</v>
      </c>
      <c r="N777" s="282">
        <v>96.029914198611095</v>
      </c>
      <c r="O777" s="282">
        <v>98.184237016666657</v>
      </c>
      <c r="P777" s="282">
        <v>98.692109213333339</v>
      </c>
      <c r="Q777" s="282">
        <v>98.791626974791669</v>
      </c>
      <c r="R777" s="283">
        <v>98.461557529166654</v>
      </c>
      <c r="S777" s="284">
        <v>1021.4574778250694</v>
      </c>
      <c r="T777" s="284">
        <v>531.29803289250003</v>
      </c>
      <c r="U777" s="296">
        <f t="shared" si="24"/>
        <v>103.6684778250692</v>
      </c>
      <c r="V777" s="296">
        <f t="shared" si="25"/>
        <v>31.504032892500049</v>
      </c>
      <c r="W777" s="287">
        <v>87</v>
      </c>
      <c r="X777" s="280">
        <v>85</v>
      </c>
      <c r="Y777" s="280">
        <v>87</v>
      </c>
      <c r="Z777" s="280">
        <v>88</v>
      </c>
      <c r="AA777" s="280">
        <v>88</v>
      </c>
      <c r="AB777" s="280">
        <v>90</v>
      </c>
      <c r="AC777" s="280">
        <v>93</v>
      </c>
      <c r="AD777" s="280">
        <v>97</v>
      </c>
      <c r="AE777" s="280">
        <v>99</v>
      </c>
      <c r="AF777" s="280">
        <v>100</v>
      </c>
      <c r="AG777" s="280">
        <v>101</v>
      </c>
      <c r="AH777" s="280">
        <v>104</v>
      </c>
    </row>
    <row r="778" spans="1:34" s="1" customFormat="1" ht="13" x14ac:dyDescent="0.25">
      <c r="A778" s="280" t="s">
        <v>1320</v>
      </c>
      <c r="B778" s="286">
        <v>442</v>
      </c>
      <c r="C778" s="286">
        <v>727.875</v>
      </c>
      <c r="D778" s="286">
        <v>1013.7500000000001</v>
      </c>
      <c r="E778" s="286">
        <v>4</v>
      </c>
      <c r="F778" s="281">
        <v>5</v>
      </c>
      <c r="G778" s="282">
        <v>80.489678562500004</v>
      </c>
      <c r="H778" s="282">
        <v>83.588112693750006</v>
      </c>
      <c r="I778" s="282">
        <v>86.452198962499992</v>
      </c>
      <c r="J778" s="282">
        <v>90.41237447333333</v>
      </c>
      <c r="K778" s="282">
        <v>89.901146441944448</v>
      </c>
      <c r="L778" s="282">
        <v>92.182612588194431</v>
      </c>
      <c r="M778" s="282">
        <v>95.638712732777776</v>
      </c>
      <c r="N778" s="282">
        <v>98.902039198611092</v>
      </c>
      <c r="O778" s="282">
        <v>101.63064326666665</v>
      </c>
      <c r="P778" s="282">
        <v>102.71279671333333</v>
      </c>
      <c r="Q778" s="282">
        <v>103.38659572479166</v>
      </c>
      <c r="R778" s="283">
        <v>103.63080752916666</v>
      </c>
      <c r="S778" s="284">
        <v>1048.4380403250693</v>
      </c>
      <c r="T778" s="284">
        <v>538.17515789250001</v>
      </c>
      <c r="U778" s="296">
        <f t="shared" si="24"/>
        <v>130.64904032506911</v>
      </c>
      <c r="V778" s="296">
        <f t="shared" si="25"/>
        <v>38.381157892500028</v>
      </c>
      <c r="W778" s="287">
        <v>87</v>
      </c>
      <c r="X778" s="280">
        <v>85</v>
      </c>
      <c r="Y778" s="280">
        <v>88</v>
      </c>
      <c r="Z778" s="280">
        <v>90</v>
      </c>
      <c r="AA778" s="280">
        <v>91</v>
      </c>
      <c r="AB778" s="280">
        <v>94</v>
      </c>
      <c r="AC778" s="280">
        <v>98</v>
      </c>
      <c r="AD778" s="280">
        <v>103</v>
      </c>
      <c r="AE778" s="280">
        <v>106</v>
      </c>
      <c r="AF778" s="280">
        <v>108</v>
      </c>
      <c r="AG778" s="280">
        <v>110</v>
      </c>
      <c r="AH778" s="280">
        <v>114</v>
      </c>
    </row>
    <row r="779" spans="1:34" s="1" customFormat="1" ht="13" x14ac:dyDescent="0.25">
      <c r="A779" s="280" t="s">
        <v>1321</v>
      </c>
      <c r="B779" s="286">
        <v>442</v>
      </c>
      <c r="C779" s="286">
        <v>727.875</v>
      </c>
      <c r="D779" s="286">
        <v>1013.7500000000001</v>
      </c>
      <c r="E779" s="286">
        <v>5</v>
      </c>
      <c r="F779" s="281">
        <v>0</v>
      </c>
      <c r="G779" s="282">
        <v>80.489678562500004</v>
      </c>
      <c r="H779" s="282">
        <v>83.347271693750002</v>
      </c>
      <c r="I779" s="282">
        <v>83.791253587499995</v>
      </c>
      <c r="J779" s="282">
        <v>85.363342648333315</v>
      </c>
      <c r="K779" s="282">
        <v>82.414604191944434</v>
      </c>
      <c r="L779" s="282">
        <v>82.158440338194438</v>
      </c>
      <c r="M779" s="282">
        <v>83.281022232777786</v>
      </c>
      <c r="N779" s="282">
        <v>84.053164198611114</v>
      </c>
      <c r="O779" s="282">
        <v>83.937924516666655</v>
      </c>
      <c r="P779" s="282">
        <v>82.092234213333327</v>
      </c>
      <c r="Q779" s="282">
        <v>79.850001974791653</v>
      </c>
      <c r="R779" s="283">
        <v>77.184745029166663</v>
      </c>
      <c r="S779" s="284">
        <v>907.47400462506948</v>
      </c>
      <c r="T779" s="284">
        <v>500.3559346925</v>
      </c>
      <c r="U779" s="296">
        <f t="shared" si="24"/>
        <v>-10.314995374930731</v>
      </c>
      <c r="V779" s="296">
        <f t="shared" si="25"/>
        <v>0.56193469250001726</v>
      </c>
      <c r="W779" s="287">
        <v>87</v>
      </c>
      <c r="X779" s="280">
        <v>85</v>
      </c>
      <c r="Y779" s="280">
        <v>83</v>
      </c>
      <c r="Z779" s="280">
        <v>80</v>
      </c>
      <c r="AA779" s="280">
        <v>76</v>
      </c>
      <c r="AB779" s="280">
        <v>74</v>
      </c>
      <c r="AC779" s="280">
        <v>73</v>
      </c>
      <c r="AD779" s="280">
        <v>73</v>
      </c>
      <c r="AE779" s="280">
        <v>71</v>
      </c>
      <c r="AF779" s="280">
        <v>68</v>
      </c>
      <c r="AG779" s="280">
        <v>65</v>
      </c>
      <c r="AH779" s="280">
        <v>64</v>
      </c>
    </row>
    <row r="780" spans="1:34" s="1" customFormat="1" ht="13" x14ac:dyDescent="0.25">
      <c r="A780" s="280" t="s">
        <v>1322</v>
      </c>
      <c r="B780" s="286">
        <v>442</v>
      </c>
      <c r="C780" s="286">
        <v>727.875</v>
      </c>
      <c r="D780" s="286">
        <v>1013.7500000000001</v>
      </c>
      <c r="E780" s="286">
        <v>5</v>
      </c>
      <c r="F780" s="281">
        <v>1</v>
      </c>
      <c r="G780" s="282">
        <v>80.489678562500004</v>
      </c>
      <c r="H780" s="282">
        <v>83.347271693750002</v>
      </c>
      <c r="I780" s="282">
        <v>84.236253587500002</v>
      </c>
      <c r="J780" s="282">
        <v>86.25334264833333</v>
      </c>
      <c r="K780" s="282">
        <v>83.749604191944456</v>
      </c>
      <c r="L780" s="282">
        <v>84.005815338194438</v>
      </c>
      <c r="M780" s="282">
        <v>85.640772232777792</v>
      </c>
      <c r="N780" s="282">
        <v>86.925289198611111</v>
      </c>
      <c r="O780" s="282">
        <v>87.38433076666665</v>
      </c>
      <c r="P780" s="282">
        <v>86.112921713333336</v>
      </c>
      <c r="Q780" s="282">
        <v>84.444970724791659</v>
      </c>
      <c r="R780" s="283">
        <v>82.353995029166654</v>
      </c>
      <c r="S780" s="284">
        <v>934.45456712506939</v>
      </c>
      <c r="T780" s="284">
        <v>507.23305969250003</v>
      </c>
      <c r="U780" s="296">
        <f t="shared" si="24"/>
        <v>16.665567125069174</v>
      </c>
      <c r="V780" s="296">
        <f t="shared" si="25"/>
        <v>7.4390596925000523</v>
      </c>
      <c r="W780" s="287">
        <v>87</v>
      </c>
      <c r="X780" s="280">
        <v>85</v>
      </c>
      <c r="Y780" s="280">
        <v>84</v>
      </c>
      <c r="Z780" s="280">
        <v>82</v>
      </c>
      <c r="AA780" s="280">
        <v>79</v>
      </c>
      <c r="AB780" s="280">
        <v>78</v>
      </c>
      <c r="AC780" s="280">
        <v>78</v>
      </c>
      <c r="AD780" s="280">
        <v>79</v>
      </c>
      <c r="AE780" s="280">
        <v>78</v>
      </c>
      <c r="AF780" s="280">
        <v>76</v>
      </c>
      <c r="AG780" s="280">
        <v>74</v>
      </c>
      <c r="AH780" s="280">
        <v>74</v>
      </c>
    </row>
    <row r="781" spans="1:34" s="1" customFormat="1" ht="13" x14ac:dyDescent="0.25">
      <c r="A781" s="280" t="s">
        <v>1323</v>
      </c>
      <c r="B781" s="286">
        <v>442</v>
      </c>
      <c r="C781" s="286">
        <v>727.875</v>
      </c>
      <c r="D781" s="286">
        <v>1013.7500000000001</v>
      </c>
      <c r="E781" s="286">
        <v>5</v>
      </c>
      <c r="F781" s="281">
        <v>2</v>
      </c>
      <c r="G781" s="282">
        <v>80.489678562500004</v>
      </c>
      <c r="H781" s="282">
        <v>83.347271693750002</v>
      </c>
      <c r="I781" s="282">
        <v>84.681253587499995</v>
      </c>
      <c r="J781" s="282">
        <v>87.143342648333331</v>
      </c>
      <c r="K781" s="282">
        <v>85.08460419194445</v>
      </c>
      <c r="L781" s="282">
        <v>85.853190338194437</v>
      </c>
      <c r="M781" s="282">
        <v>88.000522232777783</v>
      </c>
      <c r="N781" s="282">
        <v>89.797414198611094</v>
      </c>
      <c r="O781" s="282">
        <v>90.83073701666666</v>
      </c>
      <c r="P781" s="282">
        <v>90.13360921333333</v>
      </c>
      <c r="Q781" s="282">
        <v>89.039939474791666</v>
      </c>
      <c r="R781" s="283">
        <v>87.523245029166659</v>
      </c>
      <c r="S781" s="284">
        <v>961.43512962506952</v>
      </c>
      <c r="T781" s="284">
        <v>514.11018469249996</v>
      </c>
      <c r="U781" s="296">
        <f t="shared" si="24"/>
        <v>43.646129625069307</v>
      </c>
      <c r="V781" s="296">
        <f t="shared" si="25"/>
        <v>14.316184692499974</v>
      </c>
      <c r="W781" s="287">
        <v>87</v>
      </c>
      <c r="X781" s="280">
        <v>85</v>
      </c>
      <c r="Y781" s="280">
        <v>85</v>
      </c>
      <c r="Z781" s="280">
        <v>84</v>
      </c>
      <c r="AA781" s="280">
        <v>82</v>
      </c>
      <c r="AB781" s="280">
        <v>82</v>
      </c>
      <c r="AC781" s="280">
        <v>83</v>
      </c>
      <c r="AD781" s="280">
        <v>85</v>
      </c>
      <c r="AE781" s="280">
        <v>85</v>
      </c>
      <c r="AF781" s="280">
        <v>84</v>
      </c>
      <c r="AG781" s="280">
        <v>83</v>
      </c>
      <c r="AH781" s="280">
        <v>84</v>
      </c>
    </row>
    <row r="782" spans="1:34" s="1" customFormat="1" ht="13" x14ac:dyDescent="0.25">
      <c r="A782" s="280" t="s">
        <v>1324</v>
      </c>
      <c r="B782" s="286">
        <v>442</v>
      </c>
      <c r="C782" s="286">
        <v>727.875</v>
      </c>
      <c r="D782" s="286">
        <v>1013.7500000000001</v>
      </c>
      <c r="E782" s="286">
        <v>5</v>
      </c>
      <c r="F782" s="281">
        <v>3</v>
      </c>
      <c r="G782" s="282">
        <v>80.489678562500004</v>
      </c>
      <c r="H782" s="282">
        <v>83.347271693750002</v>
      </c>
      <c r="I782" s="282">
        <v>85.126253587500003</v>
      </c>
      <c r="J782" s="282">
        <v>88.033342648333331</v>
      </c>
      <c r="K782" s="282">
        <v>86.419604191944458</v>
      </c>
      <c r="L782" s="282">
        <v>87.700565338194437</v>
      </c>
      <c r="M782" s="282">
        <v>90.360272232777774</v>
      </c>
      <c r="N782" s="282">
        <v>92.669539198611105</v>
      </c>
      <c r="O782" s="282">
        <v>94.277143266666656</v>
      </c>
      <c r="P782" s="282">
        <v>94.154296713333338</v>
      </c>
      <c r="Q782" s="282">
        <v>93.634908224791658</v>
      </c>
      <c r="R782" s="283">
        <v>92.692495029166665</v>
      </c>
      <c r="S782" s="284">
        <v>988.41569212506943</v>
      </c>
      <c r="T782" s="284">
        <v>520.98730969250005</v>
      </c>
      <c r="U782" s="296">
        <f t="shared" si="24"/>
        <v>70.626692125069212</v>
      </c>
      <c r="V782" s="296">
        <f t="shared" si="25"/>
        <v>21.193309692500065</v>
      </c>
      <c r="W782" s="287">
        <v>87</v>
      </c>
      <c r="X782" s="280">
        <v>85</v>
      </c>
      <c r="Y782" s="280">
        <v>86</v>
      </c>
      <c r="Z782" s="280">
        <v>86</v>
      </c>
      <c r="AA782" s="280">
        <v>85</v>
      </c>
      <c r="AB782" s="280">
        <v>86</v>
      </c>
      <c r="AC782" s="280">
        <v>88</v>
      </c>
      <c r="AD782" s="280">
        <v>91</v>
      </c>
      <c r="AE782" s="280">
        <v>92</v>
      </c>
      <c r="AF782" s="280">
        <v>92</v>
      </c>
      <c r="AG782" s="280">
        <v>92</v>
      </c>
      <c r="AH782" s="280">
        <v>94</v>
      </c>
    </row>
    <row r="783" spans="1:34" s="1" customFormat="1" ht="13" x14ac:dyDescent="0.25">
      <c r="A783" s="280" t="s">
        <v>1325</v>
      </c>
      <c r="B783" s="286">
        <v>442</v>
      </c>
      <c r="C783" s="286">
        <v>727.875</v>
      </c>
      <c r="D783" s="286">
        <v>1013.7500000000001</v>
      </c>
      <c r="E783" s="286">
        <v>5</v>
      </c>
      <c r="F783" s="281">
        <v>4</v>
      </c>
      <c r="G783" s="282">
        <v>80.489678562500004</v>
      </c>
      <c r="H783" s="282">
        <v>83.347271693750002</v>
      </c>
      <c r="I783" s="282">
        <v>85.571253587499996</v>
      </c>
      <c r="J783" s="282">
        <v>88.923342648333332</v>
      </c>
      <c r="K783" s="282">
        <v>87.754604191944452</v>
      </c>
      <c r="L783" s="282">
        <v>89.547940338194437</v>
      </c>
      <c r="M783" s="282">
        <v>92.720022232777765</v>
      </c>
      <c r="N783" s="282">
        <v>95.541664198611102</v>
      </c>
      <c r="O783" s="282">
        <v>97.723549516666651</v>
      </c>
      <c r="P783" s="282">
        <v>98.174984213333332</v>
      </c>
      <c r="Q783" s="282">
        <v>98.229876974791665</v>
      </c>
      <c r="R783" s="283">
        <v>97.861745029166656</v>
      </c>
      <c r="S783" s="284">
        <v>1015.3962546250693</v>
      </c>
      <c r="T783" s="284">
        <v>527.86443469250003</v>
      </c>
      <c r="U783" s="296">
        <f t="shared" si="24"/>
        <v>97.607254625069118</v>
      </c>
      <c r="V783" s="296">
        <f t="shared" si="25"/>
        <v>28.070434692500044</v>
      </c>
      <c r="W783" s="287">
        <v>87</v>
      </c>
      <c r="X783" s="280">
        <v>85</v>
      </c>
      <c r="Y783" s="280">
        <v>87</v>
      </c>
      <c r="Z783" s="280">
        <v>88</v>
      </c>
      <c r="AA783" s="280">
        <v>88</v>
      </c>
      <c r="AB783" s="280">
        <v>90</v>
      </c>
      <c r="AC783" s="280">
        <v>93</v>
      </c>
      <c r="AD783" s="280">
        <v>97</v>
      </c>
      <c r="AE783" s="280">
        <v>99</v>
      </c>
      <c r="AF783" s="280">
        <v>100</v>
      </c>
      <c r="AG783" s="280">
        <v>101</v>
      </c>
      <c r="AH783" s="280">
        <v>104</v>
      </c>
    </row>
    <row r="784" spans="1:34" s="1" customFormat="1" ht="13" x14ac:dyDescent="0.25">
      <c r="A784" s="280" t="s">
        <v>1326</v>
      </c>
      <c r="B784" s="286">
        <v>442</v>
      </c>
      <c r="C784" s="286">
        <v>727.875</v>
      </c>
      <c r="D784" s="286">
        <v>1013.7500000000001</v>
      </c>
      <c r="E784" s="286">
        <v>5</v>
      </c>
      <c r="F784" s="281">
        <v>5</v>
      </c>
      <c r="G784" s="282">
        <v>80.489678562500004</v>
      </c>
      <c r="H784" s="282">
        <v>83.347271693750002</v>
      </c>
      <c r="I784" s="282">
        <v>86.016253587500003</v>
      </c>
      <c r="J784" s="282">
        <v>89.813342648333318</v>
      </c>
      <c r="K784" s="282">
        <v>89.08960419194446</v>
      </c>
      <c r="L784" s="282">
        <v>91.395315338194436</v>
      </c>
      <c r="M784" s="282">
        <v>95.079772232777771</v>
      </c>
      <c r="N784" s="282">
        <v>98.413789198611099</v>
      </c>
      <c r="O784" s="282">
        <v>101.16995576666666</v>
      </c>
      <c r="P784" s="282">
        <v>102.19567171333333</v>
      </c>
      <c r="Q784" s="282">
        <v>102.82484572479166</v>
      </c>
      <c r="R784" s="283">
        <v>103.03099502916666</v>
      </c>
      <c r="S784" s="284">
        <v>1042.3768171250695</v>
      </c>
      <c r="T784" s="284">
        <v>534.7415596925</v>
      </c>
      <c r="U784" s="296">
        <f t="shared" si="24"/>
        <v>124.58781712506925</v>
      </c>
      <c r="V784" s="296">
        <f t="shared" si="25"/>
        <v>34.947559692500022</v>
      </c>
      <c r="W784" s="287">
        <v>87</v>
      </c>
      <c r="X784" s="280">
        <v>85</v>
      </c>
      <c r="Y784" s="280">
        <v>88</v>
      </c>
      <c r="Z784" s="280">
        <v>90</v>
      </c>
      <c r="AA784" s="280">
        <v>91</v>
      </c>
      <c r="AB784" s="280">
        <v>94</v>
      </c>
      <c r="AC784" s="280">
        <v>98</v>
      </c>
      <c r="AD784" s="280">
        <v>103</v>
      </c>
      <c r="AE784" s="280">
        <v>106</v>
      </c>
      <c r="AF784" s="280">
        <v>108</v>
      </c>
      <c r="AG784" s="280">
        <v>110</v>
      </c>
      <c r="AH784" s="280">
        <v>114</v>
      </c>
    </row>
    <row r="785" spans="1:34" s="1" customFormat="1" ht="13" x14ac:dyDescent="0.25">
      <c r="A785" s="280" t="s">
        <v>1327</v>
      </c>
      <c r="B785" s="286">
        <v>442</v>
      </c>
      <c r="C785" s="286">
        <v>727.875</v>
      </c>
      <c r="D785" s="286">
        <v>1013.7500000000001</v>
      </c>
      <c r="E785" s="286">
        <v>1</v>
      </c>
      <c r="F785" s="281">
        <v>0</v>
      </c>
      <c r="G785" s="282">
        <v>80.489678562500004</v>
      </c>
      <c r="H785" s="282">
        <v>86.553458552083328</v>
      </c>
      <c r="I785" s="282">
        <v>87.745477079166662</v>
      </c>
      <c r="J785" s="282">
        <v>89.424373223333333</v>
      </c>
      <c r="K785" s="282">
        <v>86.228523108611114</v>
      </c>
      <c r="L785" s="282">
        <v>84.897671171527762</v>
      </c>
      <c r="M785" s="282">
        <v>85.57813981611109</v>
      </c>
      <c r="N785" s="282">
        <v>86.209955865277777</v>
      </c>
      <c r="O785" s="282">
        <v>86.457049516666672</v>
      </c>
      <c r="P785" s="282">
        <v>84.594984213333333</v>
      </c>
      <c r="Q785" s="282">
        <v>82.354251974791666</v>
      </c>
      <c r="R785" s="283">
        <v>79.821953362499983</v>
      </c>
      <c r="S785" s="284">
        <v>939.86583788340249</v>
      </c>
      <c r="T785" s="284">
        <v>520.42764295083327</v>
      </c>
      <c r="U785" s="296">
        <f t="shared" si="24"/>
        <v>22.076837883402277</v>
      </c>
      <c r="V785" s="296">
        <f t="shared" si="25"/>
        <v>20.633642950833291</v>
      </c>
      <c r="W785" s="287">
        <v>87</v>
      </c>
      <c r="X785" s="280">
        <v>85</v>
      </c>
      <c r="Y785" s="280">
        <v>83</v>
      </c>
      <c r="Z785" s="280">
        <v>80</v>
      </c>
      <c r="AA785" s="280">
        <v>76</v>
      </c>
      <c r="AB785" s="280">
        <v>74</v>
      </c>
      <c r="AC785" s="280">
        <v>73</v>
      </c>
      <c r="AD785" s="280">
        <v>73</v>
      </c>
      <c r="AE785" s="280">
        <v>71</v>
      </c>
      <c r="AF785" s="280">
        <v>68</v>
      </c>
      <c r="AG785" s="280">
        <v>65</v>
      </c>
      <c r="AH785" s="280">
        <v>64</v>
      </c>
    </row>
    <row r="786" spans="1:34" s="1" customFormat="1" ht="13" x14ac:dyDescent="0.25">
      <c r="A786" s="280" t="s">
        <v>1328</v>
      </c>
      <c r="B786" s="286">
        <v>442</v>
      </c>
      <c r="C786" s="286">
        <v>727.875</v>
      </c>
      <c r="D786" s="286">
        <v>1013.7500000000001</v>
      </c>
      <c r="E786" s="286">
        <v>1</v>
      </c>
      <c r="F786" s="281">
        <v>1</v>
      </c>
      <c r="G786" s="282">
        <v>80.489678562500004</v>
      </c>
      <c r="H786" s="282">
        <v>86.553458552083328</v>
      </c>
      <c r="I786" s="282">
        <v>88.190477079166669</v>
      </c>
      <c r="J786" s="282">
        <v>90.314373223333334</v>
      </c>
      <c r="K786" s="282">
        <v>87.563523108611122</v>
      </c>
      <c r="L786" s="282">
        <v>86.745046171527761</v>
      </c>
      <c r="M786" s="282">
        <v>87.93788981611111</v>
      </c>
      <c r="N786" s="282">
        <v>89.082080865277774</v>
      </c>
      <c r="O786" s="282">
        <v>89.904080766666667</v>
      </c>
      <c r="P786" s="282">
        <v>88.616921713333326</v>
      </c>
      <c r="Q786" s="282">
        <v>86.951095724791671</v>
      </c>
      <c r="R786" s="283">
        <v>84.9937033625</v>
      </c>
      <c r="S786" s="284">
        <v>966.85265038340287</v>
      </c>
      <c r="T786" s="284">
        <v>527.30476795083337</v>
      </c>
      <c r="U786" s="296">
        <f t="shared" si="24"/>
        <v>49.06365038340266</v>
      </c>
      <c r="V786" s="296">
        <f t="shared" si="25"/>
        <v>27.510767950833383</v>
      </c>
      <c r="W786" s="287">
        <v>87</v>
      </c>
      <c r="X786" s="280">
        <v>85</v>
      </c>
      <c r="Y786" s="280">
        <v>84</v>
      </c>
      <c r="Z786" s="280">
        <v>82</v>
      </c>
      <c r="AA786" s="280">
        <v>79</v>
      </c>
      <c r="AB786" s="280">
        <v>78</v>
      </c>
      <c r="AC786" s="280">
        <v>78</v>
      </c>
      <c r="AD786" s="280">
        <v>79</v>
      </c>
      <c r="AE786" s="280">
        <v>78</v>
      </c>
      <c r="AF786" s="280">
        <v>76</v>
      </c>
      <c r="AG786" s="280">
        <v>74</v>
      </c>
      <c r="AH786" s="280">
        <v>74</v>
      </c>
    </row>
    <row r="787" spans="1:34" s="1" customFormat="1" ht="13" x14ac:dyDescent="0.25">
      <c r="A787" s="280" t="s">
        <v>1329</v>
      </c>
      <c r="B787" s="286">
        <v>442</v>
      </c>
      <c r="C787" s="286">
        <v>727.875</v>
      </c>
      <c r="D787" s="286">
        <v>1013.7500000000001</v>
      </c>
      <c r="E787" s="286">
        <v>1</v>
      </c>
      <c r="F787" s="281">
        <v>2</v>
      </c>
      <c r="G787" s="282">
        <v>80.489678562500004</v>
      </c>
      <c r="H787" s="282">
        <v>86.553458552083328</v>
      </c>
      <c r="I787" s="282">
        <v>88.635477079166662</v>
      </c>
      <c r="J787" s="282">
        <v>91.204373223333334</v>
      </c>
      <c r="K787" s="282">
        <v>88.89852310861113</v>
      </c>
      <c r="L787" s="282">
        <v>88.592421171527761</v>
      </c>
      <c r="M787" s="282">
        <v>90.297639816111115</v>
      </c>
      <c r="N787" s="282">
        <v>91.954205865277771</v>
      </c>
      <c r="O787" s="282">
        <v>93.351112016666676</v>
      </c>
      <c r="P787" s="282">
        <v>92.638859213333333</v>
      </c>
      <c r="Q787" s="282">
        <v>91.547939474791661</v>
      </c>
      <c r="R787" s="283">
        <v>90.165453362500003</v>
      </c>
      <c r="S787" s="284">
        <v>993.8394628834028</v>
      </c>
      <c r="T787" s="284">
        <v>534.18189295083334</v>
      </c>
      <c r="U787" s="296">
        <f t="shared" si="24"/>
        <v>76.050462883402588</v>
      </c>
      <c r="V787" s="296">
        <f t="shared" si="25"/>
        <v>34.387892950833361</v>
      </c>
      <c r="W787" s="287">
        <v>87</v>
      </c>
      <c r="X787" s="280">
        <v>85</v>
      </c>
      <c r="Y787" s="280">
        <v>85</v>
      </c>
      <c r="Z787" s="280">
        <v>84</v>
      </c>
      <c r="AA787" s="280">
        <v>82</v>
      </c>
      <c r="AB787" s="280">
        <v>82</v>
      </c>
      <c r="AC787" s="280">
        <v>83</v>
      </c>
      <c r="AD787" s="280">
        <v>85</v>
      </c>
      <c r="AE787" s="280">
        <v>85</v>
      </c>
      <c r="AF787" s="280">
        <v>84</v>
      </c>
      <c r="AG787" s="280">
        <v>83</v>
      </c>
      <c r="AH787" s="280">
        <v>84</v>
      </c>
    </row>
    <row r="788" spans="1:34" s="1" customFormat="1" ht="13" x14ac:dyDescent="0.25">
      <c r="A788" s="280" t="s">
        <v>1330</v>
      </c>
      <c r="B788" s="286">
        <v>442</v>
      </c>
      <c r="C788" s="286">
        <v>727.875</v>
      </c>
      <c r="D788" s="286">
        <v>1013.7500000000001</v>
      </c>
      <c r="E788" s="286">
        <v>1</v>
      </c>
      <c r="F788" s="281">
        <v>3</v>
      </c>
      <c r="G788" s="282">
        <v>80.489678562500004</v>
      </c>
      <c r="H788" s="282">
        <v>86.553458552083328</v>
      </c>
      <c r="I788" s="282">
        <v>89.08047707916667</v>
      </c>
      <c r="J788" s="282">
        <v>92.094373223333335</v>
      </c>
      <c r="K788" s="282">
        <v>90.233523108611138</v>
      </c>
      <c r="L788" s="282">
        <v>90.439796171527775</v>
      </c>
      <c r="M788" s="282">
        <v>92.657389816111106</v>
      </c>
      <c r="N788" s="282">
        <v>94.826330865277768</v>
      </c>
      <c r="O788" s="282">
        <v>96.798143266666671</v>
      </c>
      <c r="P788" s="282">
        <v>96.660796713333326</v>
      </c>
      <c r="Q788" s="282">
        <v>96.144783224791666</v>
      </c>
      <c r="R788" s="283">
        <v>95.337203362500006</v>
      </c>
      <c r="S788" s="284">
        <v>1020.8262753834027</v>
      </c>
      <c r="T788" s="284">
        <v>541.05901795083332</v>
      </c>
      <c r="U788" s="296">
        <f t="shared" si="24"/>
        <v>103.03727538340252</v>
      </c>
      <c r="V788" s="296">
        <f t="shared" si="25"/>
        <v>41.265017950833339</v>
      </c>
      <c r="W788" s="287">
        <v>87</v>
      </c>
      <c r="X788" s="280">
        <v>85</v>
      </c>
      <c r="Y788" s="280">
        <v>86</v>
      </c>
      <c r="Z788" s="280">
        <v>86</v>
      </c>
      <c r="AA788" s="280">
        <v>85</v>
      </c>
      <c r="AB788" s="280">
        <v>86</v>
      </c>
      <c r="AC788" s="280">
        <v>88</v>
      </c>
      <c r="AD788" s="280">
        <v>91</v>
      </c>
      <c r="AE788" s="280">
        <v>92</v>
      </c>
      <c r="AF788" s="280">
        <v>92</v>
      </c>
      <c r="AG788" s="280">
        <v>92</v>
      </c>
      <c r="AH788" s="280">
        <v>94</v>
      </c>
    </row>
    <row r="789" spans="1:34" s="1" customFormat="1" ht="13" x14ac:dyDescent="0.25">
      <c r="A789" s="280" t="s">
        <v>1331</v>
      </c>
      <c r="B789" s="286">
        <v>442</v>
      </c>
      <c r="C789" s="286">
        <v>727.875</v>
      </c>
      <c r="D789" s="286">
        <v>1013.7500000000001</v>
      </c>
      <c r="E789" s="286">
        <v>1</v>
      </c>
      <c r="F789" s="281">
        <v>4</v>
      </c>
      <c r="G789" s="282">
        <v>80.489678562500004</v>
      </c>
      <c r="H789" s="282">
        <v>86.553458552083328</v>
      </c>
      <c r="I789" s="282">
        <v>89.525477079166663</v>
      </c>
      <c r="J789" s="282">
        <v>92.984373223333321</v>
      </c>
      <c r="K789" s="282">
        <v>91.568523108611132</v>
      </c>
      <c r="L789" s="282">
        <v>92.287171171527774</v>
      </c>
      <c r="M789" s="282">
        <v>95.017139816111111</v>
      </c>
      <c r="N789" s="282">
        <v>97.698455865277765</v>
      </c>
      <c r="O789" s="282">
        <v>100.24517451666667</v>
      </c>
      <c r="P789" s="282">
        <v>100.68273421333333</v>
      </c>
      <c r="Q789" s="282">
        <v>100.74162697479166</v>
      </c>
      <c r="R789" s="283">
        <v>100.50895336250001</v>
      </c>
      <c r="S789" s="284">
        <v>1047.8130878834027</v>
      </c>
      <c r="T789" s="284">
        <v>547.9361429508333</v>
      </c>
      <c r="U789" s="296">
        <f t="shared" si="24"/>
        <v>130.02408788340244</v>
      </c>
      <c r="V789" s="296">
        <f t="shared" si="25"/>
        <v>48.142142950833318</v>
      </c>
      <c r="W789" s="287">
        <v>87</v>
      </c>
      <c r="X789" s="280">
        <v>85</v>
      </c>
      <c r="Y789" s="280">
        <v>87</v>
      </c>
      <c r="Z789" s="280">
        <v>88</v>
      </c>
      <c r="AA789" s="280">
        <v>88</v>
      </c>
      <c r="AB789" s="280">
        <v>90</v>
      </c>
      <c r="AC789" s="280">
        <v>93</v>
      </c>
      <c r="AD789" s="280">
        <v>97</v>
      </c>
      <c r="AE789" s="280">
        <v>99</v>
      </c>
      <c r="AF789" s="280">
        <v>100</v>
      </c>
      <c r="AG789" s="280">
        <v>101</v>
      </c>
      <c r="AH789" s="280">
        <v>104</v>
      </c>
    </row>
    <row r="790" spans="1:34" s="1" customFormat="1" ht="13" x14ac:dyDescent="0.25">
      <c r="A790" s="280" t="s">
        <v>1332</v>
      </c>
      <c r="B790" s="286">
        <v>442</v>
      </c>
      <c r="C790" s="286">
        <v>727.875</v>
      </c>
      <c r="D790" s="286">
        <v>1013.7500000000001</v>
      </c>
      <c r="E790" s="286">
        <v>1</v>
      </c>
      <c r="F790" s="281">
        <v>5</v>
      </c>
      <c r="G790" s="282">
        <v>80.489678562500004</v>
      </c>
      <c r="H790" s="282">
        <v>86.553458552083328</v>
      </c>
      <c r="I790" s="282">
        <v>89.97047707916667</v>
      </c>
      <c r="J790" s="282">
        <v>93.874373223333322</v>
      </c>
      <c r="K790" s="282">
        <v>92.903523108611125</v>
      </c>
      <c r="L790" s="282">
        <v>94.134546171527774</v>
      </c>
      <c r="M790" s="282">
        <v>97.376889816111117</v>
      </c>
      <c r="N790" s="282">
        <v>100.57058086527778</v>
      </c>
      <c r="O790" s="282">
        <v>103.69220576666667</v>
      </c>
      <c r="P790" s="282">
        <v>104.70467171333333</v>
      </c>
      <c r="Q790" s="282">
        <v>105.33847072479166</v>
      </c>
      <c r="R790" s="283">
        <v>105.6807033625</v>
      </c>
      <c r="S790" s="284">
        <v>1074.7999003834027</v>
      </c>
      <c r="T790" s="284">
        <v>554.81326795083328</v>
      </c>
      <c r="U790" s="296">
        <f t="shared" si="24"/>
        <v>157.01090038340249</v>
      </c>
      <c r="V790" s="296">
        <f t="shared" si="25"/>
        <v>55.019267950833296</v>
      </c>
      <c r="W790" s="287">
        <v>87</v>
      </c>
      <c r="X790" s="280">
        <v>85</v>
      </c>
      <c r="Y790" s="280">
        <v>88</v>
      </c>
      <c r="Z790" s="280">
        <v>90</v>
      </c>
      <c r="AA790" s="280">
        <v>91</v>
      </c>
      <c r="AB790" s="280">
        <v>94</v>
      </c>
      <c r="AC790" s="280">
        <v>98</v>
      </c>
      <c r="AD790" s="280">
        <v>103</v>
      </c>
      <c r="AE790" s="280">
        <v>106</v>
      </c>
      <c r="AF790" s="280">
        <v>108</v>
      </c>
      <c r="AG790" s="280">
        <v>110</v>
      </c>
      <c r="AH790" s="280">
        <v>114</v>
      </c>
    </row>
    <row r="791" spans="1:34" s="1" customFormat="1" ht="13" x14ac:dyDescent="0.25">
      <c r="A791" s="280" t="s">
        <v>1333</v>
      </c>
      <c r="B791" s="286">
        <v>442</v>
      </c>
      <c r="C791" s="286">
        <v>727.875</v>
      </c>
      <c r="D791" s="286">
        <v>1013.7500000000001</v>
      </c>
      <c r="E791" s="286">
        <v>2</v>
      </c>
      <c r="F791" s="281">
        <v>0</v>
      </c>
      <c r="G791" s="282">
        <v>80.489678562500004</v>
      </c>
      <c r="H791" s="282">
        <v>84.875093393749992</v>
      </c>
      <c r="I791" s="282">
        <v>86.201475454166669</v>
      </c>
      <c r="J791" s="282">
        <v>88.075021806666669</v>
      </c>
      <c r="K791" s="282">
        <v>85.250998775277779</v>
      </c>
      <c r="L791" s="282">
        <v>84.488921171527764</v>
      </c>
      <c r="M791" s="282">
        <v>85.117462732777767</v>
      </c>
      <c r="N791" s="282">
        <v>85.707247531944446</v>
      </c>
      <c r="O791" s="282">
        <v>85.755903683333344</v>
      </c>
      <c r="P791" s="282">
        <v>84.092275879999988</v>
      </c>
      <c r="Q791" s="282">
        <v>81.811856141458335</v>
      </c>
      <c r="R791" s="283">
        <v>79.173724195833316</v>
      </c>
      <c r="S791" s="284">
        <v>930.54998076673598</v>
      </c>
      <c r="T791" s="284">
        <v>514.00897333416663</v>
      </c>
      <c r="U791" s="296">
        <f t="shared" si="24"/>
        <v>12.76098076673577</v>
      </c>
      <c r="V791" s="296">
        <f t="shared" si="25"/>
        <v>14.214973334166643</v>
      </c>
      <c r="W791" s="287">
        <v>87</v>
      </c>
      <c r="X791" s="280">
        <v>85</v>
      </c>
      <c r="Y791" s="280">
        <v>83</v>
      </c>
      <c r="Z791" s="280">
        <v>80</v>
      </c>
      <c r="AA791" s="280">
        <v>76</v>
      </c>
      <c r="AB791" s="280">
        <v>74</v>
      </c>
      <c r="AC791" s="280">
        <v>73</v>
      </c>
      <c r="AD791" s="280">
        <v>73</v>
      </c>
      <c r="AE791" s="280">
        <v>71</v>
      </c>
      <c r="AF791" s="280">
        <v>68</v>
      </c>
      <c r="AG791" s="280">
        <v>65</v>
      </c>
      <c r="AH791" s="280">
        <v>64</v>
      </c>
    </row>
    <row r="792" spans="1:34" s="1" customFormat="1" ht="13" x14ac:dyDescent="0.25">
      <c r="A792" s="280" t="s">
        <v>1334</v>
      </c>
      <c r="B792" s="286">
        <v>442</v>
      </c>
      <c r="C792" s="286">
        <v>727.875</v>
      </c>
      <c r="D792" s="286">
        <v>1013.7500000000001</v>
      </c>
      <c r="E792" s="286">
        <v>2</v>
      </c>
      <c r="F792" s="281">
        <v>1</v>
      </c>
      <c r="G792" s="282">
        <v>80.489678562500004</v>
      </c>
      <c r="H792" s="282">
        <v>84.875093393749992</v>
      </c>
      <c r="I792" s="282">
        <v>86.646475454166676</v>
      </c>
      <c r="J792" s="282">
        <v>88.96502180666667</v>
      </c>
      <c r="K792" s="282">
        <v>86.585998775277787</v>
      </c>
      <c r="L792" s="282">
        <v>86.336296171527763</v>
      </c>
      <c r="M792" s="282">
        <v>87.477212732777787</v>
      </c>
      <c r="N792" s="282">
        <v>88.579372531944443</v>
      </c>
      <c r="O792" s="282">
        <v>89.202934933333339</v>
      </c>
      <c r="P792" s="282">
        <v>88.114213379999995</v>
      </c>
      <c r="Q792" s="282">
        <v>86.408699891458326</v>
      </c>
      <c r="R792" s="283">
        <v>84.345474195833319</v>
      </c>
      <c r="S792" s="284">
        <v>957.53679326673625</v>
      </c>
      <c r="T792" s="284">
        <v>520.88609833416672</v>
      </c>
      <c r="U792" s="296">
        <f t="shared" si="24"/>
        <v>39.747793266736039</v>
      </c>
      <c r="V792" s="296">
        <f t="shared" si="25"/>
        <v>21.092098334166735</v>
      </c>
      <c r="W792" s="287">
        <v>87</v>
      </c>
      <c r="X792" s="280">
        <v>85</v>
      </c>
      <c r="Y792" s="280">
        <v>84</v>
      </c>
      <c r="Z792" s="280">
        <v>82</v>
      </c>
      <c r="AA792" s="280">
        <v>79</v>
      </c>
      <c r="AB792" s="280">
        <v>78</v>
      </c>
      <c r="AC792" s="280">
        <v>78</v>
      </c>
      <c r="AD792" s="280">
        <v>79</v>
      </c>
      <c r="AE792" s="280">
        <v>78</v>
      </c>
      <c r="AF792" s="280">
        <v>76</v>
      </c>
      <c r="AG792" s="280">
        <v>74</v>
      </c>
      <c r="AH792" s="280">
        <v>74</v>
      </c>
    </row>
    <row r="793" spans="1:34" s="1" customFormat="1" ht="13" x14ac:dyDescent="0.25">
      <c r="A793" s="280" t="s">
        <v>1335</v>
      </c>
      <c r="B793" s="286">
        <v>442</v>
      </c>
      <c r="C793" s="286">
        <v>727.875</v>
      </c>
      <c r="D793" s="286">
        <v>1013.7500000000001</v>
      </c>
      <c r="E793" s="286">
        <v>2</v>
      </c>
      <c r="F793" s="281">
        <v>2</v>
      </c>
      <c r="G793" s="282">
        <v>80.489678562500004</v>
      </c>
      <c r="H793" s="282">
        <v>84.875093393749992</v>
      </c>
      <c r="I793" s="282">
        <v>87.09147545416667</v>
      </c>
      <c r="J793" s="282">
        <v>89.855021806666656</v>
      </c>
      <c r="K793" s="282">
        <v>87.920998775277781</v>
      </c>
      <c r="L793" s="282">
        <v>88.183671171527763</v>
      </c>
      <c r="M793" s="282">
        <v>89.836962732777778</v>
      </c>
      <c r="N793" s="282">
        <v>91.45149753194444</v>
      </c>
      <c r="O793" s="282">
        <v>92.649966183333348</v>
      </c>
      <c r="P793" s="282">
        <v>92.136150879999988</v>
      </c>
      <c r="Q793" s="282">
        <v>91.005543641458317</v>
      </c>
      <c r="R793" s="283">
        <v>89.517224195833322</v>
      </c>
      <c r="S793" s="284">
        <v>984.52360576673618</v>
      </c>
      <c r="T793" s="284">
        <v>527.7632233341667</v>
      </c>
      <c r="U793" s="296">
        <f t="shared" si="24"/>
        <v>66.734605766735967</v>
      </c>
      <c r="V793" s="296">
        <f t="shared" si="25"/>
        <v>27.969223334166713</v>
      </c>
      <c r="W793" s="287">
        <v>87</v>
      </c>
      <c r="X793" s="280">
        <v>85</v>
      </c>
      <c r="Y793" s="280">
        <v>85</v>
      </c>
      <c r="Z793" s="280">
        <v>84</v>
      </c>
      <c r="AA793" s="280">
        <v>82</v>
      </c>
      <c r="AB793" s="280">
        <v>82</v>
      </c>
      <c r="AC793" s="280">
        <v>83</v>
      </c>
      <c r="AD793" s="280">
        <v>85</v>
      </c>
      <c r="AE793" s="280">
        <v>85</v>
      </c>
      <c r="AF793" s="280">
        <v>84</v>
      </c>
      <c r="AG793" s="280">
        <v>83</v>
      </c>
      <c r="AH793" s="280">
        <v>84</v>
      </c>
    </row>
    <row r="794" spans="1:34" s="1" customFormat="1" ht="13" x14ac:dyDescent="0.25">
      <c r="A794" s="280" t="s">
        <v>1336</v>
      </c>
      <c r="B794" s="286">
        <v>442</v>
      </c>
      <c r="C794" s="286">
        <v>727.875</v>
      </c>
      <c r="D794" s="286">
        <v>1013.7500000000001</v>
      </c>
      <c r="E794" s="286">
        <v>2</v>
      </c>
      <c r="F794" s="281">
        <v>3</v>
      </c>
      <c r="G794" s="282">
        <v>80.489678562500004</v>
      </c>
      <c r="H794" s="282">
        <v>84.875093393749992</v>
      </c>
      <c r="I794" s="282">
        <v>87.536475454166677</v>
      </c>
      <c r="J794" s="282">
        <v>90.745021806666657</v>
      </c>
      <c r="K794" s="282">
        <v>89.255998775277789</v>
      </c>
      <c r="L794" s="282">
        <v>90.031046171527763</v>
      </c>
      <c r="M794" s="282">
        <v>92.196712732777783</v>
      </c>
      <c r="N794" s="282">
        <v>94.323622531944437</v>
      </c>
      <c r="O794" s="282">
        <v>96.096997433333343</v>
      </c>
      <c r="P794" s="282">
        <v>96.158088379999995</v>
      </c>
      <c r="Q794" s="282">
        <v>95.602387391458322</v>
      </c>
      <c r="R794" s="283">
        <v>94.68897419583331</v>
      </c>
      <c r="S794" s="284">
        <v>1011.5104182667362</v>
      </c>
      <c r="T794" s="284">
        <v>534.64034833416667</v>
      </c>
      <c r="U794" s="296">
        <f t="shared" si="24"/>
        <v>93.721418266736009</v>
      </c>
      <c r="V794" s="296">
        <f t="shared" si="25"/>
        <v>34.846348334166692</v>
      </c>
      <c r="W794" s="287">
        <v>87</v>
      </c>
      <c r="X794" s="280">
        <v>85</v>
      </c>
      <c r="Y794" s="280">
        <v>86</v>
      </c>
      <c r="Z794" s="280">
        <v>86</v>
      </c>
      <c r="AA794" s="280">
        <v>85</v>
      </c>
      <c r="AB794" s="280">
        <v>86</v>
      </c>
      <c r="AC794" s="280">
        <v>88</v>
      </c>
      <c r="AD794" s="280">
        <v>91</v>
      </c>
      <c r="AE794" s="280">
        <v>92</v>
      </c>
      <c r="AF794" s="280">
        <v>92</v>
      </c>
      <c r="AG794" s="280">
        <v>92</v>
      </c>
      <c r="AH794" s="280">
        <v>94</v>
      </c>
    </row>
    <row r="795" spans="1:34" s="1" customFormat="1" ht="13" x14ac:dyDescent="0.25">
      <c r="A795" s="280" t="s">
        <v>1337</v>
      </c>
      <c r="B795" s="286">
        <v>442</v>
      </c>
      <c r="C795" s="286">
        <v>727.875</v>
      </c>
      <c r="D795" s="286">
        <v>1013.7500000000001</v>
      </c>
      <c r="E795" s="286">
        <v>2</v>
      </c>
      <c r="F795" s="281">
        <v>4</v>
      </c>
      <c r="G795" s="282">
        <v>80.489678562500004</v>
      </c>
      <c r="H795" s="282">
        <v>84.875093393749992</v>
      </c>
      <c r="I795" s="282">
        <v>87.98147545416667</v>
      </c>
      <c r="J795" s="282">
        <v>91.635021806666657</v>
      </c>
      <c r="K795" s="282">
        <v>90.590998775277782</v>
      </c>
      <c r="L795" s="282">
        <v>91.878421171527762</v>
      </c>
      <c r="M795" s="282">
        <v>94.556462732777788</v>
      </c>
      <c r="N795" s="282">
        <v>97.195747531944448</v>
      </c>
      <c r="O795" s="282">
        <v>99.544028683333337</v>
      </c>
      <c r="P795" s="282">
        <v>100.18002587999999</v>
      </c>
      <c r="Q795" s="282">
        <v>100.19923114145833</v>
      </c>
      <c r="R795" s="283">
        <v>99.860724195833313</v>
      </c>
      <c r="S795" s="284">
        <v>1038.497230766736</v>
      </c>
      <c r="T795" s="284">
        <v>541.51747333416665</v>
      </c>
      <c r="U795" s="296">
        <f t="shared" si="24"/>
        <v>120.70823076673582</v>
      </c>
      <c r="V795" s="296">
        <f t="shared" si="25"/>
        <v>41.72347333416667</v>
      </c>
      <c r="W795" s="287">
        <v>87</v>
      </c>
      <c r="X795" s="280">
        <v>85</v>
      </c>
      <c r="Y795" s="280">
        <v>87</v>
      </c>
      <c r="Z795" s="280">
        <v>88</v>
      </c>
      <c r="AA795" s="280">
        <v>88</v>
      </c>
      <c r="AB795" s="280">
        <v>90</v>
      </c>
      <c r="AC795" s="280">
        <v>93</v>
      </c>
      <c r="AD795" s="280">
        <v>97</v>
      </c>
      <c r="AE795" s="280">
        <v>99</v>
      </c>
      <c r="AF795" s="280">
        <v>100</v>
      </c>
      <c r="AG795" s="280">
        <v>101</v>
      </c>
      <c r="AH795" s="280">
        <v>104</v>
      </c>
    </row>
    <row r="796" spans="1:34" s="1" customFormat="1" ht="13" x14ac:dyDescent="0.25">
      <c r="A796" s="280" t="s">
        <v>1338</v>
      </c>
      <c r="B796" s="286">
        <v>442</v>
      </c>
      <c r="C796" s="286">
        <v>727.875</v>
      </c>
      <c r="D796" s="286">
        <v>1013.7500000000001</v>
      </c>
      <c r="E796" s="286">
        <v>2</v>
      </c>
      <c r="F796" s="281">
        <v>5</v>
      </c>
      <c r="G796" s="282">
        <v>80.489678562500004</v>
      </c>
      <c r="H796" s="282">
        <v>84.875093393749992</v>
      </c>
      <c r="I796" s="282">
        <v>88.426475454166678</v>
      </c>
      <c r="J796" s="282">
        <v>92.525021806666658</v>
      </c>
      <c r="K796" s="282">
        <v>91.925998775277776</v>
      </c>
      <c r="L796" s="282">
        <v>93.725796171527762</v>
      </c>
      <c r="M796" s="282">
        <v>96.91621273277778</v>
      </c>
      <c r="N796" s="282">
        <v>100.06787253194445</v>
      </c>
      <c r="O796" s="282">
        <v>102.99105993333335</v>
      </c>
      <c r="P796" s="282">
        <v>104.20196338</v>
      </c>
      <c r="Q796" s="282">
        <v>104.79607489145832</v>
      </c>
      <c r="R796" s="283">
        <v>105.03247419583332</v>
      </c>
      <c r="S796" s="284">
        <v>1065.4840432667361</v>
      </c>
      <c r="T796" s="284">
        <v>548.39459833416663</v>
      </c>
      <c r="U796" s="296">
        <f t="shared" si="24"/>
        <v>147.69504326673587</v>
      </c>
      <c r="V796" s="296">
        <f t="shared" si="25"/>
        <v>48.600598334166648</v>
      </c>
      <c r="W796" s="287">
        <v>87</v>
      </c>
      <c r="X796" s="280">
        <v>85</v>
      </c>
      <c r="Y796" s="280">
        <v>88</v>
      </c>
      <c r="Z796" s="280">
        <v>90</v>
      </c>
      <c r="AA796" s="280">
        <v>91</v>
      </c>
      <c r="AB796" s="280">
        <v>94</v>
      </c>
      <c r="AC796" s="280">
        <v>98</v>
      </c>
      <c r="AD796" s="280">
        <v>103</v>
      </c>
      <c r="AE796" s="280">
        <v>106</v>
      </c>
      <c r="AF796" s="280">
        <v>108</v>
      </c>
      <c r="AG796" s="280">
        <v>110</v>
      </c>
      <c r="AH796" s="280">
        <v>114</v>
      </c>
    </row>
    <row r="797" spans="1:34" s="1" customFormat="1" ht="13" x14ac:dyDescent="0.25">
      <c r="A797" s="280" t="s">
        <v>1339</v>
      </c>
      <c r="B797" s="286">
        <v>442</v>
      </c>
      <c r="C797" s="286">
        <v>727.875</v>
      </c>
      <c r="D797" s="286">
        <v>1013.7500000000001</v>
      </c>
      <c r="E797" s="286">
        <v>3</v>
      </c>
      <c r="F797" s="281">
        <v>0</v>
      </c>
      <c r="G797" s="282">
        <v>80.489678562500004</v>
      </c>
      <c r="H797" s="282">
        <v>84.15804324930555</v>
      </c>
      <c r="I797" s="282">
        <v>85.096272773611105</v>
      </c>
      <c r="J797" s="282">
        <v>87.063494139999989</v>
      </c>
      <c r="K797" s="282">
        <v>84.384925303055567</v>
      </c>
      <c r="L797" s="282">
        <v>83.889198949305538</v>
      </c>
      <c r="M797" s="282">
        <v>84.630188427222222</v>
      </c>
      <c r="N797" s="282">
        <v>85.239816976388894</v>
      </c>
      <c r="O797" s="282">
        <v>85.187049516666676</v>
      </c>
      <c r="P797" s="282">
        <v>83.457275879999983</v>
      </c>
      <c r="Q797" s="282">
        <v>81.295918641458314</v>
      </c>
      <c r="R797" s="283">
        <v>78.596050584722207</v>
      </c>
      <c r="S797" s="284">
        <v>922.99823444173603</v>
      </c>
      <c r="T797" s="284">
        <v>509.22212284249997</v>
      </c>
      <c r="U797" s="296">
        <f t="shared" si="24"/>
        <v>5.2092344417358163</v>
      </c>
      <c r="V797" s="296">
        <f t="shared" si="25"/>
        <v>9.4281228424999881</v>
      </c>
      <c r="W797" s="287">
        <v>87</v>
      </c>
      <c r="X797" s="280">
        <v>85</v>
      </c>
      <c r="Y797" s="280">
        <v>83</v>
      </c>
      <c r="Z797" s="280">
        <v>80</v>
      </c>
      <c r="AA797" s="280">
        <v>76</v>
      </c>
      <c r="AB797" s="280">
        <v>74</v>
      </c>
      <c r="AC797" s="280">
        <v>73</v>
      </c>
      <c r="AD797" s="280">
        <v>73</v>
      </c>
      <c r="AE797" s="280">
        <v>71</v>
      </c>
      <c r="AF797" s="280">
        <v>68</v>
      </c>
      <c r="AG797" s="280">
        <v>65</v>
      </c>
      <c r="AH797" s="280">
        <v>64</v>
      </c>
    </row>
    <row r="798" spans="1:34" s="1" customFormat="1" ht="13" x14ac:dyDescent="0.25">
      <c r="A798" s="280" t="s">
        <v>1340</v>
      </c>
      <c r="B798" s="286">
        <v>442</v>
      </c>
      <c r="C798" s="286">
        <v>727.875</v>
      </c>
      <c r="D798" s="286">
        <v>1013.7500000000001</v>
      </c>
      <c r="E798" s="286">
        <v>3</v>
      </c>
      <c r="F798" s="281">
        <v>1</v>
      </c>
      <c r="G798" s="282">
        <v>80.489678562500004</v>
      </c>
      <c r="H798" s="282">
        <v>84.15804324930555</v>
      </c>
      <c r="I798" s="282">
        <v>85.541272773611112</v>
      </c>
      <c r="J798" s="282">
        <v>87.953494139999989</v>
      </c>
      <c r="K798" s="282">
        <v>85.719925303055575</v>
      </c>
      <c r="L798" s="282">
        <v>85.736573949305537</v>
      </c>
      <c r="M798" s="282">
        <v>86.989938427222228</v>
      </c>
      <c r="N798" s="282">
        <v>88.111941976388891</v>
      </c>
      <c r="O798" s="282">
        <v>88.634080766666671</v>
      </c>
      <c r="P798" s="282">
        <v>87.47921337999999</v>
      </c>
      <c r="Q798" s="282">
        <v>85.892762391458319</v>
      </c>
      <c r="R798" s="283">
        <v>83.76780058472221</v>
      </c>
      <c r="S798" s="284">
        <v>949.98504694173607</v>
      </c>
      <c r="T798" s="284">
        <v>516.09924784249995</v>
      </c>
      <c r="U798" s="296">
        <f t="shared" si="24"/>
        <v>32.196046941735858</v>
      </c>
      <c r="V798" s="296">
        <f t="shared" si="25"/>
        <v>16.305247842499966</v>
      </c>
      <c r="W798" s="287">
        <v>87</v>
      </c>
      <c r="X798" s="280">
        <v>85</v>
      </c>
      <c r="Y798" s="280">
        <v>84</v>
      </c>
      <c r="Z798" s="280">
        <v>82</v>
      </c>
      <c r="AA798" s="280">
        <v>79</v>
      </c>
      <c r="AB798" s="280">
        <v>78</v>
      </c>
      <c r="AC798" s="280">
        <v>78</v>
      </c>
      <c r="AD798" s="280">
        <v>79</v>
      </c>
      <c r="AE798" s="280">
        <v>78</v>
      </c>
      <c r="AF798" s="280">
        <v>76</v>
      </c>
      <c r="AG798" s="280">
        <v>74</v>
      </c>
      <c r="AH798" s="280">
        <v>74</v>
      </c>
    </row>
    <row r="799" spans="1:34" s="1" customFormat="1" ht="13" x14ac:dyDescent="0.25">
      <c r="A799" s="280" t="s">
        <v>1341</v>
      </c>
      <c r="B799" s="286">
        <v>442</v>
      </c>
      <c r="C799" s="286">
        <v>727.875</v>
      </c>
      <c r="D799" s="286">
        <v>1013.7500000000001</v>
      </c>
      <c r="E799" s="286">
        <v>3</v>
      </c>
      <c r="F799" s="281">
        <v>2</v>
      </c>
      <c r="G799" s="282">
        <v>80.489678562500004</v>
      </c>
      <c r="H799" s="282">
        <v>84.15804324930555</v>
      </c>
      <c r="I799" s="282">
        <v>85.986272773611105</v>
      </c>
      <c r="J799" s="282">
        <v>88.84349413999999</v>
      </c>
      <c r="K799" s="282">
        <v>87.054925303055569</v>
      </c>
      <c r="L799" s="282">
        <v>87.583948949305537</v>
      </c>
      <c r="M799" s="282">
        <v>89.349688427222219</v>
      </c>
      <c r="N799" s="282">
        <v>90.984066976388888</v>
      </c>
      <c r="O799" s="282">
        <v>92.081112016666665</v>
      </c>
      <c r="P799" s="282">
        <v>91.501150879999983</v>
      </c>
      <c r="Q799" s="282">
        <v>90.489606141458324</v>
      </c>
      <c r="R799" s="283">
        <v>88.939550584722213</v>
      </c>
      <c r="S799" s="284">
        <v>976.97185944173611</v>
      </c>
      <c r="T799" s="284">
        <v>522.97637284249993</v>
      </c>
      <c r="U799" s="296">
        <f t="shared" si="24"/>
        <v>59.1828594417359</v>
      </c>
      <c r="V799" s="296">
        <f t="shared" si="25"/>
        <v>23.182372842499944</v>
      </c>
      <c r="W799" s="287">
        <v>87</v>
      </c>
      <c r="X799" s="280">
        <v>85</v>
      </c>
      <c r="Y799" s="280">
        <v>85</v>
      </c>
      <c r="Z799" s="280">
        <v>84</v>
      </c>
      <c r="AA799" s="280">
        <v>82</v>
      </c>
      <c r="AB799" s="280">
        <v>82</v>
      </c>
      <c r="AC799" s="280">
        <v>83</v>
      </c>
      <c r="AD799" s="280">
        <v>85</v>
      </c>
      <c r="AE799" s="280">
        <v>85</v>
      </c>
      <c r="AF799" s="280">
        <v>84</v>
      </c>
      <c r="AG799" s="280">
        <v>83</v>
      </c>
      <c r="AH799" s="280">
        <v>84</v>
      </c>
    </row>
    <row r="800" spans="1:34" s="1" customFormat="1" ht="13" x14ac:dyDescent="0.25">
      <c r="A800" s="280" t="s">
        <v>1342</v>
      </c>
      <c r="B800" s="286">
        <v>442</v>
      </c>
      <c r="C800" s="286">
        <v>727.875</v>
      </c>
      <c r="D800" s="286">
        <v>1013.7500000000001</v>
      </c>
      <c r="E800" s="286">
        <v>3</v>
      </c>
      <c r="F800" s="281">
        <v>3</v>
      </c>
      <c r="G800" s="282">
        <v>80.489678562500004</v>
      </c>
      <c r="H800" s="282">
        <v>84.15804324930555</v>
      </c>
      <c r="I800" s="282">
        <v>86.431272773611113</v>
      </c>
      <c r="J800" s="282">
        <v>89.733494139999991</v>
      </c>
      <c r="K800" s="282">
        <v>88.389925303055577</v>
      </c>
      <c r="L800" s="282">
        <v>89.431323949305551</v>
      </c>
      <c r="M800" s="282">
        <v>91.709438427222224</v>
      </c>
      <c r="N800" s="282">
        <v>93.856191976388899</v>
      </c>
      <c r="O800" s="282">
        <v>95.528143266666675</v>
      </c>
      <c r="P800" s="282">
        <v>95.52308837999999</v>
      </c>
      <c r="Q800" s="282">
        <v>95.086449891458315</v>
      </c>
      <c r="R800" s="283">
        <v>94.111300584722201</v>
      </c>
      <c r="S800" s="284">
        <v>1003.9586719417362</v>
      </c>
      <c r="T800" s="284">
        <v>529.85349784250002</v>
      </c>
      <c r="U800" s="296">
        <f t="shared" si="24"/>
        <v>86.169671941735942</v>
      </c>
      <c r="V800" s="296">
        <f t="shared" si="25"/>
        <v>30.059497842500036</v>
      </c>
      <c r="W800" s="287">
        <v>87</v>
      </c>
      <c r="X800" s="280">
        <v>85</v>
      </c>
      <c r="Y800" s="280">
        <v>86</v>
      </c>
      <c r="Z800" s="280">
        <v>86</v>
      </c>
      <c r="AA800" s="280">
        <v>85</v>
      </c>
      <c r="AB800" s="280">
        <v>86</v>
      </c>
      <c r="AC800" s="280">
        <v>88</v>
      </c>
      <c r="AD800" s="280">
        <v>91</v>
      </c>
      <c r="AE800" s="280">
        <v>92</v>
      </c>
      <c r="AF800" s="280">
        <v>92</v>
      </c>
      <c r="AG800" s="280">
        <v>92</v>
      </c>
      <c r="AH800" s="280">
        <v>94</v>
      </c>
    </row>
    <row r="801" spans="1:34" s="1" customFormat="1" ht="13" x14ac:dyDescent="0.25">
      <c r="A801" s="280" t="s">
        <v>1343</v>
      </c>
      <c r="B801" s="286">
        <v>442</v>
      </c>
      <c r="C801" s="286">
        <v>727.875</v>
      </c>
      <c r="D801" s="286">
        <v>1013.7500000000001</v>
      </c>
      <c r="E801" s="286">
        <v>3</v>
      </c>
      <c r="F801" s="281">
        <v>4</v>
      </c>
      <c r="G801" s="282">
        <v>80.489678562500004</v>
      </c>
      <c r="H801" s="282">
        <v>84.15804324930555</v>
      </c>
      <c r="I801" s="282">
        <v>86.876272773611106</v>
      </c>
      <c r="J801" s="282">
        <v>90.623494140000005</v>
      </c>
      <c r="K801" s="282">
        <v>89.724925303055571</v>
      </c>
      <c r="L801" s="282">
        <v>91.27869894930555</v>
      </c>
      <c r="M801" s="282">
        <v>94.069188427222215</v>
      </c>
      <c r="N801" s="282">
        <v>96.728316976388896</v>
      </c>
      <c r="O801" s="282">
        <v>98.975174516666669</v>
      </c>
      <c r="P801" s="282">
        <v>99.545025879999983</v>
      </c>
      <c r="Q801" s="282">
        <v>99.68329364145832</v>
      </c>
      <c r="R801" s="283">
        <v>99.283050584722204</v>
      </c>
      <c r="S801" s="284">
        <v>1030.9454844417362</v>
      </c>
      <c r="T801" s="284">
        <v>536.7306228425</v>
      </c>
      <c r="U801" s="296">
        <f t="shared" si="24"/>
        <v>113.15648444173598</v>
      </c>
      <c r="V801" s="296">
        <f t="shared" si="25"/>
        <v>36.936622842500014</v>
      </c>
      <c r="W801" s="287">
        <v>87</v>
      </c>
      <c r="X801" s="280">
        <v>85</v>
      </c>
      <c r="Y801" s="280">
        <v>87</v>
      </c>
      <c r="Z801" s="280">
        <v>88</v>
      </c>
      <c r="AA801" s="280">
        <v>88</v>
      </c>
      <c r="AB801" s="280">
        <v>90</v>
      </c>
      <c r="AC801" s="280">
        <v>93</v>
      </c>
      <c r="AD801" s="280">
        <v>97</v>
      </c>
      <c r="AE801" s="280">
        <v>99</v>
      </c>
      <c r="AF801" s="280">
        <v>100</v>
      </c>
      <c r="AG801" s="280">
        <v>101</v>
      </c>
      <c r="AH801" s="280">
        <v>104</v>
      </c>
    </row>
    <row r="802" spans="1:34" s="1" customFormat="1" ht="13" x14ac:dyDescent="0.25">
      <c r="A802" s="280" t="s">
        <v>1344</v>
      </c>
      <c r="B802" s="286">
        <v>442</v>
      </c>
      <c r="C802" s="286">
        <v>727.875</v>
      </c>
      <c r="D802" s="286">
        <v>1013.7500000000001</v>
      </c>
      <c r="E802" s="286">
        <v>3</v>
      </c>
      <c r="F802" s="281">
        <v>5</v>
      </c>
      <c r="G802" s="282">
        <v>80.489678562500004</v>
      </c>
      <c r="H802" s="282">
        <v>84.15804324930555</v>
      </c>
      <c r="I802" s="282">
        <v>87.321272773611113</v>
      </c>
      <c r="J802" s="282">
        <v>91.513494140000006</v>
      </c>
      <c r="K802" s="282">
        <v>91.059925303055564</v>
      </c>
      <c r="L802" s="282">
        <v>93.12607394930555</v>
      </c>
      <c r="M802" s="282">
        <v>96.428938427222221</v>
      </c>
      <c r="N802" s="282">
        <v>99.600441976388893</v>
      </c>
      <c r="O802" s="282">
        <v>102.42220576666668</v>
      </c>
      <c r="P802" s="282">
        <v>103.56696337999999</v>
      </c>
      <c r="Q802" s="282">
        <v>104.28013739145833</v>
      </c>
      <c r="R802" s="283">
        <v>104.45480058472221</v>
      </c>
      <c r="S802" s="284">
        <v>1057.932296941736</v>
      </c>
      <c r="T802" s="284">
        <v>543.60774784249998</v>
      </c>
      <c r="U802" s="296">
        <f t="shared" si="24"/>
        <v>140.1432969417358</v>
      </c>
      <c r="V802" s="296">
        <f t="shared" si="25"/>
        <v>43.813747842499993</v>
      </c>
      <c r="W802" s="287">
        <v>87</v>
      </c>
      <c r="X802" s="280">
        <v>85</v>
      </c>
      <c r="Y802" s="280">
        <v>88</v>
      </c>
      <c r="Z802" s="280">
        <v>90</v>
      </c>
      <c r="AA802" s="280">
        <v>91</v>
      </c>
      <c r="AB802" s="280">
        <v>94</v>
      </c>
      <c r="AC802" s="280">
        <v>98</v>
      </c>
      <c r="AD802" s="280">
        <v>103</v>
      </c>
      <c r="AE802" s="280">
        <v>106</v>
      </c>
      <c r="AF802" s="280">
        <v>108</v>
      </c>
      <c r="AG802" s="280">
        <v>110</v>
      </c>
      <c r="AH802" s="280">
        <v>114</v>
      </c>
    </row>
    <row r="803" spans="1:34" s="1" customFormat="1" ht="13" x14ac:dyDescent="0.25">
      <c r="A803" s="280" t="s">
        <v>1345</v>
      </c>
      <c r="B803" s="286">
        <v>442</v>
      </c>
      <c r="C803" s="286">
        <v>727.875</v>
      </c>
      <c r="D803" s="286">
        <v>1013.7500000000001</v>
      </c>
      <c r="E803" s="286">
        <v>4</v>
      </c>
      <c r="F803" s="281">
        <v>0</v>
      </c>
      <c r="G803" s="282">
        <v>80.489678562500004</v>
      </c>
      <c r="H803" s="282">
        <v>83.756758527083321</v>
      </c>
      <c r="I803" s="282">
        <v>84.421586983333341</v>
      </c>
      <c r="J803" s="282">
        <v>86.183103639999985</v>
      </c>
      <c r="K803" s="282">
        <v>83.44609435861112</v>
      </c>
      <c r="L803" s="282">
        <v>83.183914671527759</v>
      </c>
      <c r="M803" s="282">
        <v>84.095509607777771</v>
      </c>
      <c r="N803" s="282">
        <v>84.807664198611093</v>
      </c>
      <c r="O803" s="282">
        <v>84.6777266</v>
      </c>
      <c r="P803" s="282">
        <v>82.888421713333329</v>
      </c>
      <c r="Q803" s="282">
        <v>80.687376974791647</v>
      </c>
      <c r="R803" s="283">
        <v>78.055859612499987</v>
      </c>
      <c r="S803" s="284">
        <v>916.20401688756931</v>
      </c>
      <c r="T803" s="284">
        <v>505.08696778833331</v>
      </c>
      <c r="U803" s="296">
        <f t="shared" si="24"/>
        <v>-1.5849831124309048</v>
      </c>
      <c r="V803" s="296">
        <f t="shared" si="25"/>
        <v>5.2929677883333284</v>
      </c>
      <c r="W803" s="287">
        <v>87</v>
      </c>
      <c r="X803" s="280">
        <v>85</v>
      </c>
      <c r="Y803" s="280">
        <v>83</v>
      </c>
      <c r="Z803" s="280">
        <v>80</v>
      </c>
      <c r="AA803" s="280">
        <v>76</v>
      </c>
      <c r="AB803" s="280">
        <v>74</v>
      </c>
      <c r="AC803" s="280">
        <v>73</v>
      </c>
      <c r="AD803" s="280">
        <v>73</v>
      </c>
      <c r="AE803" s="280">
        <v>71</v>
      </c>
      <c r="AF803" s="280">
        <v>68</v>
      </c>
      <c r="AG803" s="280">
        <v>65</v>
      </c>
      <c r="AH803" s="280">
        <v>64</v>
      </c>
    </row>
    <row r="804" spans="1:34" s="1" customFormat="1" ht="13" x14ac:dyDescent="0.25">
      <c r="A804" s="280" t="s">
        <v>1346</v>
      </c>
      <c r="B804" s="286">
        <v>442</v>
      </c>
      <c r="C804" s="286">
        <v>727.875</v>
      </c>
      <c r="D804" s="286">
        <v>1013.7500000000001</v>
      </c>
      <c r="E804" s="286">
        <v>4</v>
      </c>
      <c r="F804" s="281">
        <v>1</v>
      </c>
      <c r="G804" s="282">
        <v>80.489678562500004</v>
      </c>
      <c r="H804" s="282">
        <v>83.756758527083321</v>
      </c>
      <c r="I804" s="282">
        <v>84.866586983333335</v>
      </c>
      <c r="J804" s="282">
        <v>87.073103639999999</v>
      </c>
      <c r="K804" s="282">
        <v>84.781094358611128</v>
      </c>
      <c r="L804" s="282">
        <v>85.031289671527759</v>
      </c>
      <c r="M804" s="282">
        <v>86.455259607777762</v>
      </c>
      <c r="N804" s="282">
        <v>87.679789198611104</v>
      </c>
      <c r="O804" s="282">
        <v>88.124757849999995</v>
      </c>
      <c r="P804" s="282">
        <v>86.910359213333336</v>
      </c>
      <c r="Q804" s="282">
        <v>85.284220724791666</v>
      </c>
      <c r="R804" s="283">
        <v>83.227609612500004</v>
      </c>
      <c r="S804" s="284">
        <v>943.19082938756947</v>
      </c>
      <c r="T804" s="284">
        <v>511.96409278833329</v>
      </c>
      <c r="U804" s="296">
        <f t="shared" si="24"/>
        <v>25.401829387569251</v>
      </c>
      <c r="V804" s="296">
        <f t="shared" si="25"/>
        <v>12.170092788333307</v>
      </c>
      <c r="W804" s="287">
        <v>87</v>
      </c>
      <c r="X804" s="280">
        <v>85</v>
      </c>
      <c r="Y804" s="280">
        <v>84</v>
      </c>
      <c r="Z804" s="280">
        <v>82</v>
      </c>
      <c r="AA804" s="280">
        <v>79</v>
      </c>
      <c r="AB804" s="280">
        <v>78</v>
      </c>
      <c r="AC804" s="280">
        <v>78</v>
      </c>
      <c r="AD804" s="280">
        <v>79</v>
      </c>
      <c r="AE804" s="280">
        <v>78</v>
      </c>
      <c r="AF804" s="280">
        <v>76</v>
      </c>
      <c r="AG804" s="280">
        <v>74</v>
      </c>
      <c r="AH804" s="280">
        <v>74</v>
      </c>
    </row>
    <row r="805" spans="1:34" s="1" customFormat="1" ht="13" x14ac:dyDescent="0.25">
      <c r="A805" s="280" t="s">
        <v>1347</v>
      </c>
      <c r="B805" s="286">
        <v>442</v>
      </c>
      <c r="C805" s="286">
        <v>727.875</v>
      </c>
      <c r="D805" s="286">
        <v>1013.7500000000001</v>
      </c>
      <c r="E805" s="286">
        <v>4</v>
      </c>
      <c r="F805" s="281">
        <v>2</v>
      </c>
      <c r="G805" s="282">
        <v>80.489678562500004</v>
      </c>
      <c r="H805" s="282">
        <v>83.756758527083321</v>
      </c>
      <c r="I805" s="282">
        <v>85.311586983333342</v>
      </c>
      <c r="J805" s="282">
        <v>87.96310364</v>
      </c>
      <c r="K805" s="282">
        <v>86.116094358611122</v>
      </c>
      <c r="L805" s="282">
        <v>86.878664671527758</v>
      </c>
      <c r="M805" s="282">
        <v>88.815009607777782</v>
      </c>
      <c r="N805" s="282">
        <v>90.551914198611101</v>
      </c>
      <c r="O805" s="282">
        <v>91.571789100000004</v>
      </c>
      <c r="P805" s="282">
        <v>90.932296713333329</v>
      </c>
      <c r="Q805" s="282">
        <v>89.881064474791671</v>
      </c>
      <c r="R805" s="283">
        <v>88.399359612500007</v>
      </c>
      <c r="S805" s="284">
        <v>970.17764188756951</v>
      </c>
      <c r="T805" s="284">
        <v>518.84121778833332</v>
      </c>
      <c r="U805" s="296">
        <f t="shared" si="24"/>
        <v>52.388641887569293</v>
      </c>
      <c r="V805" s="296">
        <f t="shared" si="25"/>
        <v>19.047217788333342</v>
      </c>
      <c r="W805" s="287">
        <v>87</v>
      </c>
      <c r="X805" s="280">
        <v>85</v>
      </c>
      <c r="Y805" s="280">
        <v>85</v>
      </c>
      <c r="Z805" s="280">
        <v>84</v>
      </c>
      <c r="AA805" s="280">
        <v>82</v>
      </c>
      <c r="AB805" s="280">
        <v>82</v>
      </c>
      <c r="AC805" s="280">
        <v>83</v>
      </c>
      <c r="AD805" s="280">
        <v>85</v>
      </c>
      <c r="AE805" s="280">
        <v>85</v>
      </c>
      <c r="AF805" s="280">
        <v>84</v>
      </c>
      <c r="AG805" s="280">
        <v>83</v>
      </c>
      <c r="AH805" s="280">
        <v>84</v>
      </c>
    </row>
    <row r="806" spans="1:34" s="1" customFormat="1" ht="13" x14ac:dyDescent="0.25">
      <c r="A806" s="280" t="s">
        <v>1348</v>
      </c>
      <c r="B806" s="286">
        <v>442</v>
      </c>
      <c r="C806" s="286">
        <v>727.875</v>
      </c>
      <c r="D806" s="286">
        <v>1013.7500000000001</v>
      </c>
      <c r="E806" s="286">
        <v>4</v>
      </c>
      <c r="F806" s="281">
        <v>3</v>
      </c>
      <c r="G806" s="282">
        <v>80.489678562500004</v>
      </c>
      <c r="H806" s="282">
        <v>83.756758527083321</v>
      </c>
      <c r="I806" s="282">
        <v>85.756586983333335</v>
      </c>
      <c r="J806" s="282">
        <v>88.85310364</v>
      </c>
      <c r="K806" s="282">
        <v>87.45109435861113</v>
      </c>
      <c r="L806" s="282">
        <v>88.726039671527758</v>
      </c>
      <c r="M806" s="282">
        <v>91.174759607777787</v>
      </c>
      <c r="N806" s="282">
        <v>93.424039198611098</v>
      </c>
      <c r="O806" s="282">
        <v>95.018820350000013</v>
      </c>
      <c r="P806" s="282">
        <v>94.954234213333336</v>
      </c>
      <c r="Q806" s="282">
        <v>94.477908224791662</v>
      </c>
      <c r="R806" s="283">
        <v>93.571109612499995</v>
      </c>
      <c r="S806" s="284">
        <v>997.16445438756944</v>
      </c>
      <c r="T806" s="284">
        <v>525.7183427883333</v>
      </c>
      <c r="U806" s="296">
        <f t="shared" si="24"/>
        <v>79.375454387569221</v>
      </c>
      <c r="V806" s="296">
        <f t="shared" si="25"/>
        <v>25.92434278833332</v>
      </c>
      <c r="W806" s="287">
        <v>87</v>
      </c>
      <c r="X806" s="280">
        <v>85</v>
      </c>
      <c r="Y806" s="280">
        <v>86</v>
      </c>
      <c r="Z806" s="280">
        <v>86</v>
      </c>
      <c r="AA806" s="280">
        <v>85</v>
      </c>
      <c r="AB806" s="280">
        <v>86</v>
      </c>
      <c r="AC806" s="280">
        <v>88</v>
      </c>
      <c r="AD806" s="280">
        <v>91</v>
      </c>
      <c r="AE806" s="280">
        <v>92</v>
      </c>
      <c r="AF806" s="280">
        <v>92</v>
      </c>
      <c r="AG806" s="280">
        <v>92</v>
      </c>
      <c r="AH806" s="280">
        <v>94</v>
      </c>
    </row>
    <row r="807" spans="1:34" s="1" customFormat="1" ht="13" x14ac:dyDescent="0.25">
      <c r="A807" s="280" t="s">
        <v>1349</v>
      </c>
      <c r="B807" s="286">
        <v>442</v>
      </c>
      <c r="C807" s="286">
        <v>727.875</v>
      </c>
      <c r="D807" s="286">
        <v>1013.7500000000001</v>
      </c>
      <c r="E807" s="286">
        <v>4</v>
      </c>
      <c r="F807" s="281">
        <v>4</v>
      </c>
      <c r="G807" s="282">
        <v>80.489678562500004</v>
      </c>
      <c r="H807" s="282">
        <v>83.756758527083321</v>
      </c>
      <c r="I807" s="282">
        <v>86.201586983333343</v>
      </c>
      <c r="J807" s="282">
        <v>89.743103640000001</v>
      </c>
      <c r="K807" s="282">
        <v>88.786094358611123</v>
      </c>
      <c r="L807" s="282">
        <v>90.573414671527757</v>
      </c>
      <c r="M807" s="282">
        <v>93.534509607777778</v>
      </c>
      <c r="N807" s="282">
        <v>96.296164198611095</v>
      </c>
      <c r="O807" s="282">
        <v>98.465851600000008</v>
      </c>
      <c r="P807" s="282">
        <v>98.976171713333329</v>
      </c>
      <c r="Q807" s="282">
        <v>99.074751974791667</v>
      </c>
      <c r="R807" s="283">
        <v>98.742859612499998</v>
      </c>
      <c r="S807" s="284">
        <v>1024.1512668875694</v>
      </c>
      <c r="T807" s="284">
        <v>532.59546778833339</v>
      </c>
      <c r="U807" s="296">
        <f t="shared" si="24"/>
        <v>106.36226688756915</v>
      </c>
      <c r="V807" s="296">
        <f t="shared" si="25"/>
        <v>32.801467788333412</v>
      </c>
      <c r="W807" s="287">
        <v>87</v>
      </c>
      <c r="X807" s="280">
        <v>85</v>
      </c>
      <c r="Y807" s="280">
        <v>87</v>
      </c>
      <c r="Z807" s="280">
        <v>88</v>
      </c>
      <c r="AA807" s="280">
        <v>88</v>
      </c>
      <c r="AB807" s="280">
        <v>90</v>
      </c>
      <c r="AC807" s="280">
        <v>93</v>
      </c>
      <c r="AD807" s="280">
        <v>97</v>
      </c>
      <c r="AE807" s="280">
        <v>99</v>
      </c>
      <c r="AF807" s="280">
        <v>100</v>
      </c>
      <c r="AG807" s="280">
        <v>101</v>
      </c>
      <c r="AH807" s="280">
        <v>104</v>
      </c>
    </row>
    <row r="808" spans="1:34" s="1" customFormat="1" ht="13" x14ac:dyDescent="0.25">
      <c r="A808" s="280" t="s">
        <v>1350</v>
      </c>
      <c r="B808" s="286">
        <v>442</v>
      </c>
      <c r="C808" s="286">
        <v>727.875</v>
      </c>
      <c r="D808" s="286">
        <v>1013.7500000000001</v>
      </c>
      <c r="E808" s="286">
        <v>4</v>
      </c>
      <c r="F808" s="281">
        <v>5</v>
      </c>
      <c r="G808" s="282">
        <v>80.489678562500004</v>
      </c>
      <c r="H808" s="282">
        <v>83.756758527083321</v>
      </c>
      <c r="I808" s="282">
        <v>86.646586983333336</v>
      </c>
      <c r="J808" s="282">
        <v>90.633103640000002</v>
      </c>
      <c r="K808" s="282">
        <v>90.121094358611131</v>
      </c>
      <c r="L808" s="282">
        <v>92.420789671527771</v>
      </c>
      <c r="M808" s="282">
        <v>95.894259607777784</v>
      </c>
      <c r="N808" s="282">
        <v>99.168289198611106</v>
      </c>
      <c r="O808" s="282">
        <v>101.91288285000002</v>
      </c>
      <c r="P808" s="282">
        <v>102.99810921333334</v>
      </c>
      <c r="Q808" s="282">
        <v>103.67159572479166</v>
      </c>
      <c r="R808" s="283">
        <v>103.9146096125</v>
      </c>
      <c r="S808" s="284">
        <v>1051.1380793875696</v>
      </c>
      <c r="T808" s="284">
        <v>539.47259278833337</v>
      </c>
      <c r="U808" s="296">
        <f t="shared" si="24"/>
        <v>133.34907938756942</v>
      </c>
      <c r="V808" s="296">
        <f t="shared" si="25"/>
        <v>39.67859278833339</v>
      </c>
      <c r="W808" s="287">
        <v>87</v>
      </c>
      <c r="X808" s="280">
        <v>85</v>
      </c>
      <c r="Y808" s="280">
        <v>88</v>
      </c>
      <c r="Z808" s="280">
        <v>90</v>
      </c>
      <c r="AA808" s="280">
        <v>91</v>
      </c>
      <c r="AB808" s="280">
        <v>94</v>
      </c>
      <c r="AC808" s="280">
        <v>98</v>
      </c>
      <c r="AD808" s="280">
        <v>103</v>
      </c>
      <c r="AE808" s="280">
        <v>106</v>
      </c>
      <c r="AF808" s="280">
        <v>108</v>
      </c>
      <c r="AG808" s="280">
        <v>110</v>
      </c>
      <c r="AH808" s="280">
        <v>114</v>
      </c>
    </row>
    <row r="809" spans="1:34" s="1" customFormat="1" ht="13" x14ac:dyDescent="0.25">
      <c r="A809" s="280" t="s">
        <v>1351</v>
      </c>
      <c r="B809" s="286">
        <v>442</v>
      </c>
      <c r="C809" s="286">
        <v>727.875</v>
      </c>
      <c r="D809" s="286">
        <v>1013.7500000000001</v>
      </c>
      <c r="E809" s="286">
        <v>5</v>
      </c>
      <c r="F809" s="281">
        <v>0</v>
      </c>
      <c r="G809" s="282">
        <v>80.489678562500004</v>
      </c>
      <c r="H809" s="282">
        <v>83.509521693750003</v>
      </c>
      <c r="I809" s="282">
        <v>83.978389004166687</v>
      </c>
      <c r="J809" s="282">
        <v>85.571009314999998</v>
      </c>
      <c r="K809" s="282">
        <v>82.622645858611108</v>
      </c>
      <c r="L809" s="282">
        <v>82.37594033819444</v>
      </c>
      <c r="M809" s="282">
        <v>83.528001399444449</v>
      </c>
      <c r="N809" s="282">
        <v>84.31553919861112</v>
      </c>
      <c r="O809" s="282">
        <v>84.213382850000002</v>
      </c>
      <c r="P809" s="282">
        <v>82.367192546666672</v>
      </c>
      <c r="Q809" s="282">
        <v>80.121168641458326</v>
      </c>
      <c r="R809" s="283">
        <v>77.451286695833318</v>
      </c>
      <c r="S809" s="284">
        <v>910.05407754173609</v>
      </c>
      <c r="T809" s="284">
        <v>501.58550760916665</v>
      </c>
      <c r="U809" s="296">
        <f t="shared" si="24"/>
        <v>-7.7349224582641227</v>
      </c>
      <c r="V809" s="296">
        <f t="shared" si="25"/>
        <v>1.791507609166672</v>
      </c>
      <c r="W809" s="287">
        <v>87</v>
      </c>
      <c r="X809" s="280">
        <v>85</v>
      </c>
      <c r="Y809" s="280">
        <v>83</v>
      </c>
      <c r="Z809" s="280">
        <v>80</v>
      </c>
      <c r="AA809" s="280">
        <v>76</v>
      </c>
      <c r="AB809" s="280">
        <v>74</v>
      </c>
      <c r="AC809" s="280">
        <v>73</v>
      </c>
      <c r="AD809" s="280">
        <v>73</v>
      </c>
      <c r="AE809" s="280">
        <v>71</v>
      </c>
      <c r="AF809" s="280">
        <v>68</v>
      </c>
      <c r="AG809" s="280">
        <v>65</v>
      </c>
      <c r="AH809" s="280">
        <v>64</v>
      </c>
    </row>
    <row r="810" spans="1:34" s="1" customFormat="1" ht="13" x14ac:dyDescent="0.25">
      <c r="A810" s="280" t="s">
        <v>1352</v>
      </c>
      <c r="B810" s="286">
        <v>442</v>
      </c>
      <c r="C810" s="286">
        <v>727.875</v>
      </c>
      <c r="D810" s="286">
        <v>1013.7500000000001</v>
      </c>
      <c r="E810" s="286">
        <v>5</v>
      </c>
      <c r="F810" s="281">
        <v>1</v>
      </c>
      <c r="G810" s="282">
        <v>80.489678562500004</v>
      </c>
      <c r="H810" s="282">
        <v>83.509521693750003</v>
      </c>
      <c r="I810" s="282">
        <v>84.423389004166694</v>
      </c>
      <c r="J810" s="282">
        <v>86.461009314999998</v>
      </c>
      <c r="K810" s="282">
        <v>83.95764585861113</v>
      </c>
      <c r="L810" s="282">
        <v>84.223315338194425</v>
      </c>
      <c r="M810" s="282">
        <v>85.88775139944444</v>
      </c>
      <c r="N810" s="282">
        <v>87.187664198611117</v>
      </c>
      <c r="O810" s="282">
        <v>87.660414099999997</v>
      </c>
      <c r="P810" s="282">
        <v>86.389130046666679</v>
      </c>
      <c r="Q810" s="282">
        <v>84.718012391458331</v>
      </c>
      <c r="R810" s="283">
        <v>82.623036695833321</v>
      </c>
      <c r="S810" s="284">
        <v>937.04089004173613</v>
      </c>
      <c r="T810" s="284">
        <v>508.46263260916663</v>
      </c>
      <c r="U810" s="296">
        <f t="shared" si="24"/>
        <v>19.251890041735919</v>
      </c>
      <c r="V810" s="296">
        <f t="shared" si="25"/>
        <v>8.6686326091666501</v>
      </c>
      <c r="W810" s="287">
        <v>87</v>
      </c>
      <c r="X810" s="280">
        <v>85</v>
      </c>
      <c r="Y810" s="280">
        <v>84</v>
      </c>
      <c r="Z810" s="280">
        <v>82</v>
      </c>
      <c r="AA810" s="280">
        <v>79</v>
      </c>
      <c r="AB810" s="280">
        <v>78</v>
      </c>
      <c r="AC810" s="280">
        <v>78</v>
      </c>
      <c r="AD810" s="280">
        <v>79</v>
      </c>
      <c r="AE810" s="280">
        <v>78</v>
      </c>
      <c r="AF810" s="280">
        <v>76</v>
      </c>
      <c r="AG810" s="280">
        <v>74</v>
      </c>
      <c r="AH810" s="280">
        <v>74</v>
      </c>
    </row>
    <row r="811" spans="1:34" s="1" customFormat="1" ht="13" x14ac:dyDescent="0.25">
      <c r="A811" s="280" t="s">
        <v>1353</v>
      </c>
      <c r="B811" s="286">
        <v>442</v>
      </c>
      <c r="C811" s="286">
        <v>727.875</v>
      </c>
      <c r="D811" s="286">
        <v>1013.7500000000001</v>
      </c>
      <c r="E811" s="286">
        <v>5</v>
      </c>
      <c r="F811" s="281">
        <v>2</v>
      </c>
      <c r="G811" s="282">
        <v>80.489678562500004</v>
      </c>
      <c r="H811" s="282">
        <v>83.509521693750003</v>
      </c>
      <c r="I811" s="282">
        <v>84.868389004166687</v>
      </c>
      <c r="J811" s="282">
        <v>87.351009314999999</v>
      </c>
      <c r="K811" s="282">
        <v>85.292645858611124</v>
      </c>
      <c r="L811" s="282">
        <v>86.070690338194424</v>
      </c>
      <c r="M811" s="282">
        <v>88.247501399444445</v>
      </c>
      <c r="N811" s="282">
        <v>90.059789198611099</v>
      </c>
      <c r="O811" s="282">
        <v>91.107445350000006</v>
      </c>
      <c r="P811" s="282">
        <v>90.411067546666644</v>
      </c>
      <c r="Q811" s="282">
        <v>89.314856141458321</v>
      </c>
      <c r="R811" s="283">
        <v>87.794786695833309</v>
      </c>
      <c r="S811" s="284">
        <v>964.02770254173618</v>
      </c>
      <c r="T811" s="284">
        <v>515.33975760916667</v>
      </c>
      <c r="U811" s="296">
        <f t="shared" si="24"/>
        <v>46.238702541735961</v>
      </c>
      <c r="V811" s="296">
        <f t="shared" si="25"/>
        <v>15.545757609166685</v>
      </c>
      <c r="W811" s="287">
        <v>87</v>
      </c>
      <c r="X811" s="280">
        <v>85</v>
      </c>
      <c r="Y811" s="280">
        <v>85</v>
      </c>
      <c r="Z811" s="280">
        <v>84</v>
      </c>
      <c r="AA811" s="280">
        <v>82</v>
      </c>
      <c r="AB811" s="280">
        <v>82</v>
      </c>
      <c r="AC811" s="280">
        <v>83</v>
      </c>
      <c r="AD811" s="280">
        <v>85</v>
      </c>
      <c r="AE811" s="280">
        <v>85</v>
      </c>
      <c r="AF811" s="280">
        <v>84</v>
      </c>
      <c r="AG811" s="280">
        <v>83</v>
      </c>
      <c r="AH811" s="280">
        <v>84</v>
      </c>
    </row>
    <row r="812" spans="1:34" s="1" customFormat="1" ht="13" x14ac:dyDescent="0.25">
      <c r="A812" s="280" t="s">
        <v>1354</v>
      </c>
      <c r="B812" s="286">
        <v>442</v>
      </c>
      <c r="C812" s="286">
        <v>727.875</v>
      </c>
      <c r="D812" s="286">
        <v>1013.7500000000001</v>
      </c>
      <c r="E812" s="286">
        <v>5</v>
      </c>
      <c r="F812" s="281">
        <v>3</v>
      </c>
      <c r="G812" s="282">
        <v>80.489678562500004</v>
      </c>
      <c r="H812" s="282">
        <v>83.509521693750003</v>
      </c>
      <c r="I812" s="282">
        <v>85.31338900416668</v>
      </c>
      <c r="J812" s="282">
        <v>88.241009314999999</v>
      </c>
      <c r="K812" s="282">
        <v>86.627645858611132</v>
      </c>
      <c r="L812" s="282">
        <v>87.918065338194424</v>
      </c>
      <c r="M812" s="282">
        <v>90.607251399444422</v>
      </c>
      <c r="N812" s="282">
        <v>92.931914198611096</v>
      </c>
      <c r="O812" s="282">
        <v>94.554476600000015</v>
      </c>
      <c r="P812" s="282">
        <v>94.433005046666651</v>
      </c>
      <c r="Q812" s="282">
        <v>93.911699891458326</v>
      </c>
      <c r="R812" s="283">
        <v>92.966536695833312</v>
      </c>
      <c r="S812" s="284">
        <v>991.01451504173599</v>
      </c>
      <c r="T812" s="284">
        <v>522.21688260916665</v>
      </c>
      <c r="U812" s="296">
        <f t="shared" si="24"/>
        <v>73.225515041735775</v>
      </c>
      <c r="V812" s="296">
        <f t="shared" si="25"/>
        <v>22.422882609166663</v>
      </c>
      <c r="W812" s="287">
        <v>87</v>
      </c>
      <c r="X812" s="280">
        <v>85</v>
      </c>
      <c r="Y812" s="280">
        <v>86</v>
      </c>
      <c r="Z812" s="280">
        <v>86</v>
      </c>
      <c r="AA812" s="280">
        <v>85</v>
      </c>
      <c r="AB812" s="280">
        <v>86</v>
      </c>
      <c r="AC812" s="280">
        <v>88</v>
      </c>
      <c r="AD812" s="280">
        <v>91</v>
      </c>
      <c r="AE812" s="280">
        <v>92</v>
      </c>
      <c r="AF812" s="280">
        <v>92</v>
      </c>
      <c r="AG812" s="280">
        <v>92</v>
      </c>
      <c r="AH812" s="280">
        <v>94</v>
      </c>
    </row>
    <row r="813" spans="1:34" s="1" customFormat="1" ht="13" x14ac:dyDescent="0.25">
      <c r="A813" s="280" t="s">
        <v>1355</v>
      </c>
      <c r="B813" s="286">
        <v>442</v>
      </c>
      <c r="C813" s="286">
        <v>727.875</v>
      </c>
      <c r="D813" s="286">
        <v>1013.7500000000001</v>
      </c>
      <c r="E813" s="286">
        <v>5</v>
      </c>
      <c r="F813" s="281">
        <v>4</v>
      </c>
      <c r="G813" s="282">
        <v>80.489678562500004</v>
      </c>
      <c r="H813" s="282">
        <v>83.509521693750003</v>
      </c>
      <c r="I813" s="282">
        <v>85.758389004166688</v>
      </c>
      <c r="J813" s="282">
        <v>89.131009315</v>
      </c>
      <c r="K813" s="282">
        <v>87.962645858611126</v>
      </c>
      <c r="L813" s="282">
        <v>89.765440338194423</v>
      </c>
      <c r="M813" s="282">
        <v>92.967001399444428</v>
      </c>
      <c r="N813" s="282">
        <v>95.804039198611093</v>
      </c>
      <c r="O813" s="282">
        <v>98.00150785000001</v>
      </c>
      <c r="P813" s="282">
        <v>98.454942546666643</v>
      </c>
      <c r="Q813" s="282">
        <v>98.508543641458317</v>
      </c>
      <c r="R813" s="283">
        <v>98.138286695833315</v>
      </c>
      <c r="S813" s="284">
        <v>1018.0013275417363</v>
      </c>
      <c r="T813" s="284">
        <v>529.09400760916674</v>
      </c>
      <c r="U813" s="296">
        <f t="shared" si="24"/>
        <v>100.21232754173604</v>
      </c>
      <c r="V813" s="296">
        <f t="shared" si="25"/>
        <v>29.300007609166755</v>
      </c>
      <c r="W813" s="287">
        <v>87</v>
      </c>
      <c r="X813" s="280">
        <v>85</v>
      </c>
      <c r="Y813" s="280">
        <v>87</v>
      </c>
      <c r="Z813" s="280">
        <v>88</v>
      </c>
      <c r="AA813" s="280">
        <v>88</v>
      </c>
      <c r="AB813" s="280">
        <v>90</v>
      </c>
      <c r="AC813" s="280">
        <v>93</v>
      </c>
      <c r="AD813" s="280">
        <v>97</v>
      </c>
      <c r="AE813" s="280">
        <v>99</v>
      </c>
      <c r="AF813" s="280">
        <v>100</v>
      </c>
      <c r="AG813" s="280">
        <v>101</v>
      </c>
      <c r="AH813" s="280">
        <v>104</v>
      </c>
    </row>
    <row r="814" spans="1:34" s="1" customFormat="1" ht="13" x14ac:dyDescent="0.25">
      <c r="A814" s="280" t="s">
        <v>1356</v>
      </c>
      <c r="B814" s="286">
        <v>442</v>
      </c>
      <c r="C814" s="286">
        <v>727.875</v>
      </c>
      <c r="D814" s="286">
        <v>1013.7500000000001</v>
      </c>
      <c r="E814" s="286">
        <v>5</v>
      </c>
      <c r="F814" s="281">
        <v>5</v>
      </c>
      <c r="G814" s="282">
        <v>80.489678562500004</v>
      </c>
      <c r="H814" s="282">
        <v>83.509521693750003</v>
      </c>
      <c r="I814" s="282">
        <v>86.203389004166681</v>
      </c>
      <c r="J814" s="282">
        <v>90.021009315000001</v>
      </c>
      <c r="K814" s="282">
        <v>89.297645858611133</v>
      </c>
      <c r="L814" s="282">
        <v>91.612815338194423</v>
      </c>
      <c r="M814" s="282">
        <v>95.326751399444433</v>
      </c>
      <c r="N814" s="282">
        <v>98.676164198611104</v>
      </c>
      <c r="O814" s="282">
        <v>101.44853910000002</v>
      </c>
      <c r="P814" s="282">
        <v>102.47688004666665</v>
      </c>
      <c r="Q814" s="282">
        <v>103.10538739145832</v>
      </c>
      <c r="R814" s="283">
        <v>103.31003669583332</v>
      </c>
      <c r="S814" s="284">
        <v>1044.9881400417362</v>
      </c>
      <c r="T814" s="284">
        <v>535.97113260916672</v>
      </c>
      <c r="U814" s="296">
        <f t="shared" si="24"/>
        <v>127.19914004173597</v>
      </c>
      <c r="V814" s="296">
        <f t="shared" si="25"/>
        <v>36.177132609166733</v>
      </c>
      <c r="W814" s="287">
        <v>87</v>
      </c>
      <c r="X814" s="280">
        <v>85</v>
      </c>
      <c r="Y814" s="280">
        <v>88</v>
      </c>
      <c r="Z814" s="280">
        <v>90</v>
      </c>
      <c r="AA814" s="280">
        <v>91</v>
      </c>
      <c r="AB814" s="280">
        <v>94</v>
      </c>
      <c r="AC814" s="280">
        <v>98</v>
      </c>
      <c r="AD814" s="280">
        <v>103</v>
      </c>
      <c r="AE814" s="280">
        <v>106</v>
      </c>
      <c r="AF814" s="280">
        <v>108</v>
      </c>
      <c r="AG814" s="280">
        <v>110</v>
      </c>
      <c r="AH814" s="280">
        <v>114</v>
      </c>
    </row>
  </sheetData>
  <autoFilter ref="A2:AH81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B27"/>
  <sheetViews>
    <sheetView workbookViewId="0">
      <selection activeCell="E37" sqref="E37"/>
    </sheetView>
  </sheetViews>
  <sheetFormatPr baseColWidth="10" defaultRowHeight="12.5" x14ac:dyDescent="0.25"/>
  <sheetData>
    <row r="1" spans="1:2" x14ac:dyDescent="0.25">
      <c r="A1" s="261">
        <v>43579</v>
      </c>
    </row>
    <row r="2" spans="1:2" x14ac:dyDescent="0.25">
      <c r="B2" t="s">
        <v>527</v>
      </c>
    </row>
    <row r="3" spans="1:2" x14ac:dyDescent="0.25">
      <c r="B3" t="s">
        <v>528</v>
      </c>
    </row>
    <row r="4" spans="1:2" x14ac:dyDescent="0.25">
      <c r="B4" t="s">
        <v>529</v>
      </c>
    </row>
    <row r="6" spans="1:2" x14ac:dyDescent="0.25">
      <c r="A6" s="261">
        <v>43620</v>
      </c>
    </row>
    <row r="7" spans="1:2" x14ac:dyDescent="0.25">
      <c r="B7" t="s">
        <v>533</v>
      </c>
    </row>
    <row r="9" spans="1:2" x14ac:dyDescent="0.25">
      <c r="A9" s="261">
        <v>43623</v>
      </c>
    </row>
    <row r="10" spans="1:2" x14ac:dyDescent="0.25">
      <c r="B10" t="s">
        <v>539</v>
      </c>
    </row>
    <row r="11" spans="1:2" x14ac:dyDescent="0.25">
      <c r="B11" t="s">
        <v>537</v>
      </c>
    </row>
    <row r="13" spans="1:2" x14ac:dyDescent="0.25">
      <c r="A13" s="261">
        <v>43628</v>
      </c>
    </row>
    <row r="14" spans="1:2" x14ac:dyDescent="0.25">
      <c r="B14" s="274" t="s">
        <v>542</v>
      </c>
    </row>
    <row r="16" spans="1:2" x14ac:dyDescent="0.25">
      <c r="A16" s="261">
        <v>43635</v>
      </c>
    </row>
    <row r="17" spans="1:2" x14ac:dyDescent="0.25">
      <c r="B17" t="s">
        <v>543</v>
      </c>
    </row>
    <row r="18" spans="1:2" x14ac:dyDescent="0.25">
      <c r="B18" t="s">
        <v>541</v>
      </c>
    </row>
    <row r="20" spans="1:2" x14ac:dyDescent="0.25">
      <c r="A20" s="261">
        <v>43650</v>
      </c>
    </row>
    <row r="21" spans="1:2" x14ac:dyDescent="0.25">
      <c r="B21" t="s">
        <v>1361</v>
      </c>
    </row>
    <row r="23" spans="1:2" x14ac:dyDescent="0.25">
      <c r="A23" s="261">
        <v>43661</v>
      </c>
    </row>
    <row r="24" spans="1:2" x14ac:dyDescent="0.25">
      <c r="B24" t="s">
        <v>3611</v>
      </c>
    </row>
    <row r="26" spans="1:2" x14ac:dyDescent="0.25">
      <c r="A26" s="261">
        <v>43689</v>
      </c>
    </row>
    <row r="27" spans="1:2" x14ac:dyDescent="0.25">
      <c r="B27" t="s">
        <v>3613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Q6:R35"/>
  <sheetViews>
    <sheetView workbookViewId="0">
      <selection activeCell="Q11" sqref="Q11"/>
    </sheetView>
  </sheetViews>
  <sheetFormatPr baseColWidth="10" defaultRowHeight="12.5" x14ac:dyDescent="0.25"/>
  <sheetData>
    <row r="6" spans="17:18" ht="13" x14ac:dyDescent="0.25">
      <c r="Q6" s="129" t="s">
        <v>458</v>
      </c>
      <c r="R6" s="111"/>
    </row>
    <row r="7" spans="17:18" ht="13" x14ac:dyDescent="0.25">
      <c r="Q7" s="128" t="s">
        <v>459</v>
      </c>
      <c r="R7" s="111"/>
    </row>
    <row r="8" spans="17:18" ht="13" x14ac:dyDescent="0.25">
      <c r="Q8" s="128" t="s">
        <v>460</v>
      </c>
      <c r="R8" s="111"/>
    </row>
    <row r="9" spans="17:18" ht="13" x14ac:dyDescent="0.25">
      <c r="Q9" s="220" t="s">
        <v>461</v>
      </c>
      <c r="R9" s="111"/>
    </row>
    <row r="10" spans="17:18" ht="13" x14ac:dyDescent="0.25">
      <c r="Q10" s="128" t="s">
        <v>462</v>
      </c>
      <c r="R10" s="111"/>
    </row>
    <row r="35" spans="17:17" x14ac:dyDescent="0.25">
      <c r="Q35" t="s">
        <v>457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CK285"/>
  <sheetViews>
    <sheetView zoomScale="80" zoomScaleNormal="80" workbookViewId="0">
      <pane xSplit="1" ySplit="1" topLeftCell="B218" activePane="bottomRight" state="frozen"/>
      <selection activeCell="AL25" sqref="AL25"/>
      <selection pane="topRight" activeCell="AL25" sqref="AL25"/>
      <selection pane="bottomLeft" activeCell="AL25" sqref="AL25"/>
      <selection pane="bottomRight" activeCell="A219" sqref="A219:XFD219"/>
    </sheetView>
  </sheetViews>
  <sheetFormatPr baseColWidth="10" defaultRowHeight="12.5" x14ac:dyDescent="0.25"/>
  <cols>
    <col min="1" max="1" width="29.453125" style="146" customWidth="1"/>
    <col min="2" max="5" width="10.90625" style="146"/>
    <col min="6" max="14" width="10.90625" style="146" customWidth="1"/>
    <col min="15" max="23" width="10.90625" style="167" customWidth="1"/>
    <col min="24" max="46" width="10.90625" customWidth="1"/>
    <col min="47" max="62" width="6.1796875" customWidth="1"/>
    <col min="63" max="63" width="10.90625" customWidth="1"/>
    <col min="64" max="64" width="10.90625" style="133"/>
  </cols>
  <sheetData>
    <row r="1" spans="1:89" ht="39" x14ac:dyDescent="0.25">
      <c r="A1" s="17" t="s">
        <v>0</v>
      </c>
      <c r="B1" s="17" t="s">
        <v>195</v>
      </c>
      <c r="C1" s="17" t="s">
        <v>202</v>
      </c>
      <c r="D1" s="17" t="s">
        <v>188</v>
      </c>
      <c r="E1" s="17" t="s">
        <v>210</v>
      </c>
      <c r="F1" s="17" t="s">
        <v>171</v>
      </c>
      <c r="G1" s="17" t="s">
        <v>232</v>
      </c>
      <c r="H1" s="17" t="s">
        <v>233</v>
      </c>
      <c r="I1" s="18" t="s">
        <v>185</v>
      </c>
      <c r="J1" s="18" t="s">
        <v>196</v>
      </c>
      <c r="K1" s="18" t="s">
        <v>197</v>
      </c>
      <c r="L1" s="18" t="s">
        <v>198</v>
      </c>
      <c r="M1" s="18" t="s">
        <v>200</v>
      </c>
      <c r="N1" s="18" t="s">
        <v>226</v>
      </c>
      <c r="O1" s="181" t="s">
        <v>272</v>
      </c>
      <c r="P1" s="182" t="s">
        <v>297</v>
      </c>
      <c r="Q1" s="182" t="s">
        <v>273</v>
      </c>
      <c r="R1" s="182" t="s">
        <v>291</v>
      </c>
      <c r="S1" s="182" t="s">
        <v>294</v>
      </c>
      <c r="T1" s="183" t="s">
        <v>298</v>
      </c>
      <c r="U1" s="182" t="s">
        <v>295</v>
      </c>
      <c r="V1" s="184" t="s">
        <v>296</v>
      </c>
      <c r="W1" s="184" t="s">
        <v>307</v>
      </c>
      <c r="X1" s="23" t="s">
        <v>246</v>
      </c>
      <c r="Y1" s="23" t="s">
        <v>247</v>
      </c>
      <c r="Z1" s="23" t="s">
        <v>248</v>
      </c>
      <c r="AA1" s="23" t="s">
        <v>249</v>
      </c>
      <c r="AB1" s="23" t="s">
        <v>250</v>
      </c>
      <c r="AC1" s="23" t="s">
        <v>251</v>
      </c>
      <c r="AD1" s="23" t="s">
        <v>243</v>
      </c>
      <c r="AE1" s="23" t="s">
        <v>252</v>
      </c>
      <c r="AF1" s="23" t="s">
        <v>241</v>
      </c>
      <c r="AG1" s="23" t="s">
        <v>242</v>
      </c>
      <c r="AH1" s="30" t="s">
        <v>266</v>
      </c>
      <c r="AI1" s="23" t="s">
        <v>274</v>
      </c>
      <c r="AJ1" s="26" t="s">
        <v>256</v>
      </c>
      <c r="AK1" s="26" t="s">
        <v>257</v>
      </c>
      <c r="AL1" s="26" t="s">
        <v>258</v>
      </c>
      <c r="AM1" s="26" t="s">
        <v>259</v>
      </c>
      <c r="AN1" s="26" t="s">
        <v>260</v>
      </c>
      <c r="AO1" s="26" t="s">
        <v>261</v>
      </c>
      <c r="AP1" s="26" t="s">
        <v>262</v>
      </c>
      <c r="AQ1" s="107" t="s">
        <v>263</v>
      </c>
      <c r="AR1" s="26" t="s">
        <v>267</v>
      </c>
      <c r="AS1" s="26" t="s">
        <v>264</v>
      </c>
      <c r="AT1" s="26" t="s">
        <v>387</v>
      </c>
      <c r="AU1" s="19">
        <v>2002</v>
      </c>
      <c r="AV1" s="19">
        <v>2003</v>
      </c>
      <c r="AW1" s="19">
        <v>2004</v>
      </c>
      <c r="AX1" s="19">
        <v>2005</v>
      </c>
      <c r="AY1" s="19">
        <v>2006</v>
      </c>
      <c r="AZ1" s="19">
        <v>2007</v>
      </c>
      <c r="BA1" s="19">
        <v>2008</v>
      </c>
      <c r="BB1" s="19">
        <v>2009</v>
      </c>
      <c r="BC1" s="19">
        <v>2010</v>
      </c>
      <c r="BD1" s="19">
        <v>2011</v>
      </c>
      <c r="BE1" s="19">
        <v>2012</v>
      </c>
      <c r="BF1" s="19">
        <v>2013</v>
      </c>
      <c r="BG1" s="19">
        <v>2014</v>
      </c>
      <c r="BH1" s="19">
        <v>2015</v>
      </c>
      <c r="BI1" s="19">
        <v>2016</v>
      </c>
      <c r="BJ1" s="19">
        <v>2017</v>
      </c>
      <c r="BK1" s="19">
        <v>2018</v>
      </c>
      <c r="BL1" s="130">
        <v>2019</v>
      </c>
      <c r="BM1" s="19">
        <v>2020</v>
      </c>
      <c r="BN1" s="19">
        <v>2021</v>
      </c>
      <c r="BO1" s="19">
        <v>2022</v>
      </c>
      <c r="BP1" s="19">
        <v>2023</v>
      </c>
      <c r="BQ1" s="19">
        <v>2024</v>
      </c>
      <c r="BR1" s="19">
        <v>2025</v>
      </c>
      <c r="BS1" s="19">
        <v>2026</v>
      </c>
      <c r="BT1" s="19">
        <v>2027</v>
      </c>
      <c r="BU1" s="19">
        <v>2028</v>
      </c>
      <c r="BV1" s="19">
        <v>2029</v>
      </c>
      <c r="BW1" s="19">
        <v>2030</v>
      </c>
      <c r="BX1" s="19">
        <v>2031</v>
      </c>
      <c r="BY1" s="55">
        <v>2019</v>
      </c>
      <c r="BZ1" s="55">
        <v>2020</v>
      </c>
      <c r="CA1" s="55">
        <v>2021</v>
      </c>
      <c r="CB1" s="55">
        <v>2022</v>
      </c>
      <c r="CC1" s="55">
        <v>2023</v>
      </c>
      <c r="CD1" s="55">
        <v>2024</v>
      </c>
      <c r="CE1" s="55">
        <v>2025</v>
      </c>
      <c r="CF1" s="55">
        <v>2026</v>
      </c>
      <c r="CG1" s="55">
        <v>2027</v>
      </c>
      <c r="CH1" s="55">
        <v>2028</v>
      </c>
      <c r="CI1" s="55">
        <v>2029</v>
      </c>
      <c r="CJ1" s="55">
        <v>2030</v>
      </c>
      <c r="CK1" s="55">
        <v>2031</v>
      </c>
    </row>
    <row r="2" spans="1:89" ht="13" x14ac:dyDescent="0.3">
      <c r="A2" s="135" t="s">
        <v>165</v>
      </c>
      <c r="B2" s="134">
        <v>231181</v>
      </c>
      <c r="C2" s="135" t="s">
        <v>201</v>
      </c>
      <c r="D2" s="136">
        <v>26701</v>
      </c>
      <c r="E2" s="136">
        <v>50099</v>
      </c>
      <c r="F2" s="135" t="s">
        <v>172</v>
      </c>
      <c r="G2" s="135">
        <v>2013</v>
      </c>
      <c r="H2" s="135" t="s">
        <v>134</v>
      </c>
      <c r="I2" s="137">
        <v>891</v>
      </c>
      <c r="J2" s="137">
        <v>0</v>
      </c>
      <c r="K2" s="137">
        <v>0</v>
      </c>
      <c r="L2" s="137">
        <v>0</v>
      </c>
      <c r="M2" s="137">
        <v>0</v>
      </c>
      <c r="N2" s="137">
        <v>1</v>
      </c>
      <c r="O2" s="138">
        <v>0</v>
      </c>
      <c r="P2" s="147">
        <v>794922</v>
      </c>
      <c r="Q2" s="139">
        <v>1</v>
      </c>
      <c r="R2" s="139">
        <v>0</v>
      </c>
      <c r="S2" s="139">
        <v>0</v>
      </c>
      <c r="T2" s="140"/>
      <c r="U2" s="139">
        <v>0</v>
      </c>
      <c r="V2" s="141"/>
      <c r="W2" s="141">
        <v>1</v>
      </c>
      <c r="X2" s="24"/>
      <c r="Y2" s="24"/>
      <c r="Z2" s="24"/>
      <c r="AA2" s="24"/>
      <c r="AB2" s="24"/>
      <c r="AC2" s="24"/>
      <c r="AD2" s="24"/>
      <c r="AE2" s="24"/>
      <c r="AF2" s="24">
        <v>41334</v>
      </c>
      <c r="AG2" s="24"/>
      <c r="AH2" s="31">
        <v>43922</v>
      </c>
      <c r="AI2" s="46" t="str">
        <f t="shared" ref="AI2:AI18" si="0">IF(YEAR(E2)&lt;2018,YEAR(E2),"")</f>
        <v/>
      </c>
      <c r="AJ2" s="27"/>
      <c r="AK2" s="27"/>
      <c r="AL2" s="27"/>
      <c r="AM2" s="27"/>
      <c r="AN2" s="27"/>
      <c r="AO2" s="27"/>
      <c r="AP2" s="27"/>
      <c r="AQ2" s="29" t="str">
        <f>IF(AND(AD2&lt;&gt;"",AF2="",AG2=""),DATE(YEAR(AD2)+Menu!$E$10,MONTH(AD2)+Menu!$E$11,1),"")</f>
        <v/>
      </c>
      <c r="AR2" s="29">
        <f t="shared" ref="AR2:AR18" si="1">IF(AF2&lt;&gt;0,AF2,AQ2)</f>
        <v>41334</v>
      </c>
      <c r="AS2" s="27" t="str">
        <f>IF(AND(AR2&lt;&gt;"",AH2="",AG2=""),DATE(YEAR(AR2)+Menu!$E$13,MONTH(AR2)+Menu!$E$14,1),"")</f>
        <v/>
      </c>
      <c r="AT2" s="27"/>
      <c r="AU2" s="15" t="s">
        <v>138</v>
      </c>
      <c r="AV2" s="15" t="s">
        <v>138</v>
      </c>
      <c r="AW2" s="16" t="s">
        <v>138</v>
      </c>
      <c r="AX2" s="16" t="s">
        <v>138</v>
      </c>
      <c r="AY2" s="16" t="s">
        <v>138</v>
      </c>
      <c r="AZ2" s="16" t="s">
        <v>138</v>
      </c>
      <c r="BA2" s="16" t="s">
        <v>138</v>
      </c>
      <c r="BB2" s="16" t="s">
        <v>138</v>
      </c>
      <c r="BC2" s="16" t="s">
        <v>138</v>
      </c>
      <c r="BD2" s="16" t="s">
        <v>138</v>
      </c>
      <c r="BE2" s="16" t="s">
        <v>138</v>
      </c>
      <c r="BF2" s="15" t="s">
        <v>134</v>
      </c>
      <c r="BG2" s="15" t="s">
        <v>134</v>
      </c>
      <c r="BH2" s="15" t="s">
        <v>134</v>
      </c>
      <c r="BI2" s="15" t="s">
        <v>134</v>
      </c>
      <c r="BJ2" s="15" t="s">
        <v>134</v>
      </c>
      <c r="BK2" s="15" t="s">
        <v>134</v>
      </c>
      <c r="BL2" s="131" t="s">
        <v>134</v>
      </c>
      <c r="BM2" t="s">
        <v>135</v>
      </c>
      <c r="BN2" t="s">
        <v>135</v>
      </c>
      <c r="BO2" t="s">
        <v>135</v>
      </c>
      <c r="BP2" t="s">
        <v>135</v>
      </c>
      <c r="BQ2" t="s">
        <v>135</v>
      </c>
      <c r="BR2" t="s">
        <v>135</v>
      </c>
      <c r="BS2" t="s">
        <v>135</v>
      </c>
      <c r="BT2" t="s">
        <v>135</v>
      </c>
      <c r="BU2" t="s">
        <v>135</v>
      </c>
      <c r="BV2" t="s">
        <v>135</v>
      </c>
      <c r="BW2" t="s">
        <v>135</v>
      </c>
      <c r="BX2" t="s">
        <v>135</v>
      </c>
      <c r="BY2" s="56">
        <v>794922</v>
      </c>
      <c r="BZ2" s="56">
        <v>836800.125</v>
      </c>
      <c r="CA2" s="56">
        <v>892637.625</v>
      </c>
      <c r="CB2" s="56">
        <v>948475.125</v>
      </c>
      <c r="CC2" s="56">
        <v>1000375</v>
      </c>
      <c r="CD2" s="56">
        <v>1000375</v>
      </c>
      <c r="CE2" s="56">
        <v>1000375</v>
      </c>
      <c r="CF2" s="56">
        <v>1000375</v>
      </c>
      <c r="CG2" s="56">
        <v>1000375</v>
      </c>
      <c r="CH2" s="56">
        <v>1000375</v>
      </c>
      <c r="CI2" s="56">
        <v>1000375</v>
      </c>
      <c r="CJ2" s="56">
        <v>1000375</v>
      </c>
      <c r="CK2" s="56">
        <v>1000375</v>
      </c>
    </row>
    <row r="3" spans="1:89" ht="13" x14ac:dyDescent="0.3">
      <c r="A3" s="135" t="s">
        <v>1</v>
      </c>
      <c r="B3" s="134">
        <v>104385</v>
      </c>
      <c r="C3" s="135" t="s">
        <v>201</v>
      </c>
      <c r="D3" s="136">
        <v>21233</v>
      </c>
      <c r="E3" s="136">
        <v>44985</v>
      </c>
      <c r="F3" s="135" t="s">
        <v>173</v>
      </c>
      <c r="G3" s="135"/>
      <c r="H3" s="135"/>
      <c r="I3" s="137">
        <v>1066</v>
      </c>
      <c r="J3" s="137">
        <v>0</v>
      </c>
      <c r="K3" s="137">
        <v>0</v>
      </c>
      <c r="L3" s="137">
        <v>0</v>
      </c>
      <c r="M3" s="137">
        <v>0</v>
      </c>
      <c r="N3" s="137">
        <v>1</v>
      </c>
      <c r="O3" s="138">
        <v>1</v>
      </c>
      <c r="P3" s="147">
        <v>293279</v>
      </c>
      <c r="Q3" s="139">
        <v>1</v>
      </c>
      <c r="R3" s="139">
        <v>0</v>
      </c>
      <c r="S3" s="139">
        <v>0</v>
      </c>
      <c r="T3" s="140"/>
      <c r="U3" s="139">
        <f>-SUM(U247,U248)*MONTH(E3)/12</f>
        <v>-51299.9375</v>
      </c>
      <c r="V3" s="141">
        <v>2023</v>
      </c>
      <c r="W3" s="141">
        <v>1</v>
      </c>
      <c r="X3" s="24"/>
      <c r="Y3" s="24">
        <v>38530</v>
      </c>
      <c r="Z3" s="24"/>
      <c r="AA3" s="24"/>
      <c r="AB3" s="24">
        <v>39168</v>
      </c>
      <c r="AC3" s="24"/>
      <c r="AD3" s="24"/>
      <c r="AE3" s="24"/>
      <c r="AF3" s="24"/>
      <c r="AG3" s="24"/>
      <c r="AH3" s="31"/>
      <c r="AI3" s="46" t="str">
        <f t="shared" si="0"/>
        <v/>
      </c>
      <c r="AJ3" s="27"/>
      <c r="AK3" s="27"/>
      <c r="AL3" s="27"/>
      <c r="AM3" s="27"/>
      <c r="AN3" s="27"/>
      <c r="AO3" s="27"/>
      <c r="AP3" s="27"/>
      <c r="AQ3" s="29" t="str">
        <f>IF(AND(AD3&lt;&gt;"",AF3="",AG3=""),DATE(YEAR(AD3)+Menu!$E$10,MONTH(AD3)+Menu!$E$11,1),"")</f>
        <v/>
      </c>
      <c r="AR3" s="29" t="str">
        <f t="shared" si="1"/>
        <v/>
      </c>
      <c r="AS3" s="27" t="str">
        <f>IF(AND(AR3&lt;&gt;"",AH3="",AG3=""),DATE(YEAR(AR3)+Menu!$E$13,MONTH(AR3)+Menu!$E$14,1),"")</f>
        <v/>
      </c>
      <c r="AT3" s="27"/>
      <c r="AU3" s="15" t="s">
        <v>138</v>
      </c>
      <c r="AV3" s="15" t="s">
        <v>138</v>
      </c>
      <c r="AW3" s="15" t="s">
        <v>138</v>
      </c>
      <c r="AX3" s="16" t="s">
        <v>129</v>
      </c>
      <c r="AY3" s="16" t="s">
        <v>129</v>
      </c>
      <c r="AZ3" s="16" t="s">
        <v>131</v>
      </c>
      <c r="BA3" s="16" t="s">
        <v>131</v>
      </c>
      <c r="BB3" s="16" t="s">
        <v>131</v>
      </c>
      <c r="BC3" s="16" t="s">
        <v>131</v>
      </c>
      <c r="BD3" s="16" t="s">
        <v>131</v>
      </c>
      <c r="BE3" s="16" t="s">
        <v>131</v>
      </c>
      <c r="BF3" s="16" t="s">
        <v>131</v>
      </c>
      <c r="BG3" s="16" t="s">
        <v>131</v>
      </c>
      <c r="BH3" s="16" t="s">
        <v>131</v>
      </c>
      <c r="BI3" s="16" t="s">
        <v>131</v>
      </c>
      <c r="BJ3" s="15" t="s">
        <v>131</v>
      </c>
      <c r="BK3" s="15" t="s">
        <v>131</v>
      </c>
      <c r="BL3" s="131" t="s">
        <v>131</v>
      </c>
      <c r="BM3" t="s">
        <v>131</v>
      </c>
      <c r="BN3" t="s">
        <v>131</v>
      </c>
      <c r="BO3" t="s">
        <v>131</v>
      </c>
      <c r="BP3" t="s">
        <v>131</v>
      </c>
      <c r="BQ3" t="s">
        <v>138</v>
      </c>
      <c r="BR3" t="s">
        <v>138</v>
      </c>
      <c r="BS3" t="s">
        <v>138</v>
      </c>
      <c r="BT3" t="s">
        <v>138</v>
      </c>
      <c r="BU3" t="s">
        <v>138</v>
      </c>
      <c r="BV3" t="s">
        <v>138</v>
      </c>
      <c r="BW3" t="s">
        <v>138</v>
      </c>
      <c r="BX3" t="s">
        <v>138</v>
      </c>
      <c r="BY3" s="56">
        <v>293279</v>
      </c>
      <c r="BZ3" s="56">
        <v>293279</v>
      </c>
      <c r="CA3" s="56">
        <v>293279</v>
      </c>
      <c r="CB3" s="56">
        <v>293279</v>
      </c>
      <c r="CC3" s="56">
        <v>48879.833333333336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</v>
      </c>
      <c r="CK3" s="56">
        <v>0</v>
      </c>
    </row>
    <row r="4" spans="1:89" ht="13" x14ac:dyDescent="0.3">
      <c r="A4" s="135" t="s">
        <v>203</v>
      </c>
      <c r="B4" s="142">
        <v>240724</v>
      </c>
      <c r="C4" s="135" t="s">
        <v>200</v>
      </c>
      <c r="D4" s="136">
        <v>30473</v>
      </c>
      <c r="E4" s="136">
        <v>53873</v>
      </c>
      <c r="F4" s="135" t="s">
        <v>172</v>
      </c>
      <c r="G4" s="135">
        <v>2014</v>
      </c>
      <c r="H4" s="135" t="s">
        <v>133</v>
      </c>
      <c r="I4" s="137">
        <v>833</v>
      </c>
      <c r="J4" s="137">
        <v>0</v>
      </c>
      <c r="K4" s="137">
        <v>0</v>
      </c>
      <c r="L4" s="137">
        <v>0</v>
      </c>
      <c r="M4" s="137">
        <v>1</v>
      </c>
      <c r="N4" s="137">
        <v>0</v>
      </c>
      <c r="O4" s="138">
        <v>0</v>
      </c>
      <c r="P4" s="147">
        <v>516933</v>
      </c>
      <c r="Q4" s="139">
        <v>1</v>
      </c>
      <c r="R4" s="139">
        <v>0</v>
      </c>
      <c r="S4" s="139">
        <v>0</v>
      </c>
      <c r="T4" s="140"/>
      <c r="U4" s="139">
        <v>0</v>
      </c>
      <c r="V4" s="141"/>
      <c r="W4" s="141">
        <v>1</v>
      </c>
      <c r="X4" s="24"/>
      <c r="Y4" s="24"/>
      <c r="Z4" s="24"/>
      <c r="AA4" s="24"/>
      <c r="AB4" s="24"/>
      <c r="AC4" s="24"/>
      <c r="AD4" s="24">
        <v>41791</v>
      </c>
      <c r="AE4" s="24"/>
      <c r="AF4" s="24"/>
      <c r="AG4" s="24"/>
      <c r="AH4" s="31"/>
      <c r="AI4" s="46" t="str">
        <f t="shared" si="0"/>
        <v/>
      </c>
      <c r="AJ4" s="27"/>
      <c r="AK4" s="27"/>
      <c r="AL4" s="27"/>
      <c r="AM4" s="27"/>
      <c r="AN4" s="27"/>
      <c r="AO4" s="27"/>
      <c r="AP4" s="28"/>
      <c r="AQ4" s="29">
        <v>44409</v>
      </c>
      <c r="AR4" s="29">
        <f t="shared" si="1"/>
        <v>44409</v>
      </c>
      <c r="AS4" s="27">
        <f>IF(AND(AR4&lt;&gt;"",AH4="",AG4=""),DATE(YEAR(AR4)+Menu!$E$13,MONTH(AR4)+Menu!$E$14,1),"")</f>
        <v>46874</v>
      </c>
      <c r="AT4" s="27"/>
      <c r="AU4" s="16" t="s">
        <v>138</v>
      </c>
      <c r="AV4" s="16" t="s">
        <v>138</v>
      </c>
      <c r="AW4" s="16" t="s">
        <v>138</v>
      </c>
      <c r="AX4" s="16" t="s">
        <v>138</v>
      </c>
      <c r="AY4" s="16" t="s">
        <v>138</v>
      </c>
      <c r="AZ4" s="16" t="s">
        <v>138</v>
      </c>
      <c r="BA4" s="16" t="s">
        <v>138</v>
      </c>
      <c r="BB4" s="16" t="s">
        <v>138</v>
      </c>
      <c r="BC4" s="16" t="s">
        <v>138</v>
      </c>
      <c r="BD4" s="16" t="s">
        <v>138</v>
      </c>
      <c r="BE4" s="16" t="s">
        <v>138</v>
      </c>
      <c r="BF4" s="16" t="s">
        <v>138</v>
      </c>
      <c r="BG4" s="16" t="s">
        <v>133</v>
      </c>
      <c r="BH4" s="16" t="s">
        <v>133</v>
      </c>
      <c r="BI4" s="16" t="s">
        <v>133</v>
      </c>
      <c r="BJ4" s="15" t="s">
        <v>133</v>
      </c>
      <c r="BK4" s="15" t="s">
        <v>133</v>
      </c>
      <c r="BL4" s="131" t="s">
        <v>133</v>
      </c>
      <c r="BM4" t="s">
        <v>133</v>
      </c>
      <c r="BN4" t="s">
        <v>134</v>
      </c>
      <c r="BO4" t="s">
        <v>134</v>
      </c>
      <c r="BP4" t="s">
        <v>134</v>
      </c>
      <c r="BQ4" t="s">
        <v>134</v>
      </c>
      <c r="BR4" t="s">
        <v>134</v>
      </c>
      <c r="BS4" t="s">
        <v>134</v>
      </c>
      <c r="BT4" t="s">
        <v>134</v>
      </c>
      <c r="BU4" t="s">
        <v>135</v>
      </c>
      <c r="BV4" t="s">
        <v>135</v>
      </c>
      <c r="BW4" t="s">
        <v>135</v>
      </c>
      <c r="BX4" t="s">
        <v>135</v>
      </c>
      <c r="BY4" s="56">
        <v>516933</v>
      </c>
      <c r="BZ4" s="56">
        <v>516933</v>
      </c>
      <c r="CA4" s="56">
        <v>602039.25</v>
      </c>
      <c r="CB4" s="56">
        <v>602039.25</v>
      </c>
      <c r="CC4" s="56">
        <v>602039.25</v>
      </c>
      <c r="CD4" s="56">
        <v>602039.25</v>
      </c>
      <c r="CE4" s="56">
        <v>721188</v>
      </c>
      <c r="CF4" s="56">
        <v>721188</v>
      </c>
      <c r="CG4" s="56">
        <v>721188</v>
      </c>
      <c r="CH4" s="56">
        <v>758413</v>
      </c>
      <c r="CI4" s="56">
        <v>814250.5</v>
      </c>
      <c r="CJ4" s="56">
        <v>870088</v>
      </c>
      <c r="CK4" s="56">
        <v>925925.5</v>
      </c>
    </row>
    <row r="5" spans="1:89" ht="13" x14ac:dyDescent="0.3">
      <c r="A5" s="135" t="s">
        <v>140</v>
      </c>
      <c r="B5" s="143">
        <v>169199</v>
      </c>
      <c r="C5" s="135" t="s">
        <v>196</v>
      </c>
      <c r="D5" s="136">
        <v>28846</v>
      </c>
      <c r="E5" s="136">
        <v>52596</v>
      </c>
      <c r="F5" s="135" t="s">
        <v>173</v>
      </c>
      <c r="G5" s="135">
        <v>2008</v>
      </c>
      <c r="H5" s="135" t="s">
        <v>133</v>
      </c>
      <c r="I5" s="137">
        <v>433</v>
      </c>
      <c r="J5" s="137">
        <v>1</v>
      </c>
      <c r="K5" s="137">
        <v>0</v>
      </c>
      <c r="L5" s="137">
        <v>0</v>
      </c>
      <c r="M5" s="137">
        <v>0</v>
      </c>
      <c r="N5" s="137">
        <v>0</v>
      </c>
      <c r="O5" s="138">
        <v>0</v>
      </c>
      <c r="P5" s="147">
        <v>732521</v>
      </c>
      <c r="Q5" s="139">
        <v>1</v>
      </c>
      <c r="R5" s="139">
        <v>1</v>
      </c>
      <c r="S5" s="139">
        <v>0</v>
      </c>
      <c r="T5" s="140"/>
      <c r="U5" s="139">
        <v>0</v>
      </c>
      <c r="V5" s="141"/>
      <c r="W5" s="141">
        <v>1</v>
      </c>
      <c r="X5" s="24"/>
      <c r="Y5" s="24"/>
      <c r="Z5" s="24"/>
      <c r="AA5" s="24"/>
      <c r="AB5" s="24"/>
      <c r="AC5" s="24"/>
      <c r="AD5" s="24">
        <v>39722</v>
      </c>
      <c r="AE5" s="24"/>
      <c r="AF5" s="24">
        <v>41730</v>
      </c>
      <c r="AG5" s="24"/>
      <c r="AH5" s="31">
        <v>44105</v>
      </c>
      <c r="AI5" s="46" t="str">
        <f t="shared" si="0"/>
        <v/>
      </c>
      <c r="AJ5" s="27"/>
      <c r="AK5" s="27"/>
      <c r="AL5" s="27"/>
      <c r="AM5" s="27"/>
      <c r="AN5" s="27"/>
      <c r="AO5" s="27"/>
      <c r="AP5" s="27"/>
      <c r="AQ5" s="29" t="str">
        <f>IF(AND(AD5&lt;&gt;"",AF5="",AG5=""),DATE(YEAR(AD5)+Menu!$E$10,MONTH(AD5)+Menu!$E$11,1),"")</f>
        <v/>
      </c>
      <c r="AR5" s="29">
        <f t="shared" si="1"/>
        <v>41730</v>
      </c>
      <c r="AS5" s="27" t="str">
        <f>IF(AND(AR5&lt;&gt;"",AH5="",AG5=""),DATE(YEAR(AR5)+Menu!$E$13,MONTH(AR5)+Menu!$E$14,1),"")</f>
        <v/>
      </c>
      <c r="AT5" s="27"/>
      <c r="AU5" s="15" t="s">
        <v>138</v>
      </c>
      <c r="AV5" s="15" t="s">
        <v>138</v>
      </c>
      <c r="AW5" s="16" t="s">
        <v>138</v>
      </c>
      <c r="AX5" s="15" t="s">
        <v>138</v>
      </c>
      <c r="AY5" s="15" t="s">
        <v>138</v>
      </c>
      <c r="AZ5" s="15" t="s">
        <v>138</v>
      </c>
      <c r="BA5" s="16" t="s">
        <v>133</v>
      </c>
      <c r="BB5" s="16" t="s">
        <v>133</v>
      </c>
      <c r="BC5" s="16" t="s">
        <v>133</v>
      </c>
      <c r="BD5" s="16" t="s">
        <v>133</v>
      </c>
      <c r="BE5" s="16" t="s">
        <v>133</v>
      </c>
      <c r="BF5" s="16" t="s">
        <v>133</v>
      </c>
      <c r="BG5" s="16" t="s">
        <v>134</v>
      </c>
      <c r="BH5" s="16" t="s">
        <v>134</v>
      </c>
      <c r="BI5" s="16" t="s">
        <v>134</v>
      </c>
      <c r="BJ5" s="15" t="s">
        <v>134</v>
      </c>
      <c r="BK5" s="15" t="s">
        <v>134</v>
      </c>
      <c r="BL5" s="131" t="s">
        <v>134</v>
      </c>
      <c r="BM5" t="s">
        <v>135</v>
      </c>
      <c r="BN5" t="s">
        <v>135</v>
      </c>
      <c r="BO5" t="s">
        <v>135</v>
      </c>
      <c r="BP5" t="s">
        <v>135</v>
      </c>
      <c r="BQ5" t="s">
        <v>135</v>
      </c>
      <c r="BR5" t="s">
        <v>135</v>
      </c>
      <c r="BS5" t="s">
        <v>135</v>
      </c>
      <c r="BT5" t="s">
        <v>135</v>
      </c>
      <c r="BU5" t="s">
        <v>135</v>
      </c>
      <c r="BV5" t="s">
        <v>135</v>
      </c>
      <c r="BW5" t="s">
        <v>135</v>
      </c>
      <c r="BX5" t="s">
        <v>135</v>
      </c>
      <c r="BY5" s="56">
        <v>732521</v>
      </c>
      <c r="BZ5" s="56">
        <v>746480.375</v>
      </c>
      <c r="CA5" s="56">
        <v>802317.875</v>
      </c>
      <c r="CB5" s="56">
        <v>858155.375</v>
      </c>
      <c r="CC5" s="56">
        <v>913992.875</v>
      </c>
      <c r="CD5" s="56">
        <v>969830.375</v>
      </c>
      <c r="CE5" s="56">
        <v>1000375</v>
      </c>
      <c r="CF5" s="56">
        <v>1000375</v>
      </c>
      <c r="CG5" s="56">
        <v>1000375</v>
      </c>
      <c r="CH5" s="56">
        <v>1000375</v>
      </c>
      <c r="CI5" s="56">
        <v>1000375</v>
      </c>
      <c r="CJ5" s="56">
        <v>1000375</v>
      </c>
      <c r="CK5" s="56">
        <v>1000375</v>
      </c>
    </row>
    <row r="6" spans="1:89" ht="13" x14ac:dyDescent="0.3">
      <c r="A6" s="135" t="s">
        <v>2</v>
      </c>
      <c r="B6" s="143">
        <v>104417</v>
      </c>
      <c r="C6" s="135" t="s">
        <v>197</v>
      </c>
      <c r="D6" s="136">
        <v>20152</v>
      </c>
      <c r="E6" s="136">
        <v>43921</v>
      </c>
      <c r="F6" s="135" t="s">
        <v>173</v>
      </c>
      <c r="G6" s="135"/>
      <c r="H6" s="135"/>
      <c r="I6" s="137">
        <v>332</v>
      </c>
      <c r="J6" s="137">
        <v>0</v>
      </c>
      <c r="K6" s="137">
        <v>1</v>
      </c>
      <c r="L6" s="137">
        <v>0</v>
      </c>
      <c r="M6" s="137">
        <v>0</v>
      </c>
      <c r="N6" s="137">
        <v>0</v>
      </c>
      <c r="O6" s="138">
        <v>0</v>
      </c>
      <c r="P6" s="147">
        <f>918185-P31-P56</f>
        <v>630869.82499999995</v>
      </c>
      <c r="Q6" s="139">
        <v>1</v>
      </c>
      <c r="R6" s="139">
        <v>1</v>
      </c>
      <c r="S6" s="139">
        <v>0</v>
      </c>
      <c r="T6" s="140"/>
      <c r="U6" s="139">
        <f>-SUM(U224,U225,U226)*3/12</f>
        <v>-111742.05</v>
      </c>
      <c r="V6" s="141">
        <v>2020</v>
      </c>
      <c r="W6" s="141">
        <v>1</v>
      </c>
      <c r="X6" s="24"/>
      <c r="Y6" s="24"/>
      <c r="Z6" s="24"/>
      <c r="AA6" s="24"/>
      <c r="AB6" s="24">
        <v>34423</v>
      </c>
      <c r="AC6" s="24"/>
      <c r="AD6" s="24"/>
      <c r="AE6" s="24"/>
      <c r="AF6" s="24"/>
      <c r="AG6" s="24">
        <v>37987</v>
      </c>
      <c r="AH6" s="31"/>
      <c r="AI6" s="46" t="str">
        <f t="shared" si="0"/>
        <v/>
      </c>
      <c r="AJ6" s="27"/>
      <c r="AK6" s="27"/>
      <c r="AL6" s="27"/>
      <c r="AM6" s="27"/>
      <c r="AN6" s="27"/>
      <c r="AO6" s="27"/>
      <c r="AP6" s="27"/>
      <c r="AQ6" s="29" t="str">
        <f>IF(AND(AD6&lt;&gt;"",AF6="",AG6=""),DATE(YEAR(AD6)+Menu!$E$10,MONTH(AD6)+Menu!$E$11,1),"")</f>
        <v/>
      </c>
      <c r="AR6" s="29" t="str">
        <f t="shared" si="1"/>
        <v/>
      </c>
      <c r="AS6" s="27" t="str">
        <f>IF(AND(AR6&lt;&gt;"",AH6="",AG6=""),DATE(YEAR(AR6)+Menu!$E$13,MONTH(AR6)+Menu!$E$14,1),"")</f>
        <v/>
      </c>
      <c r="AT6" s="27"/>
      <c r="AU6" s="15" t="s">
        <v>131</v>
      </c>
      <c r="AV6" s="15" t="s">
        <v>131</v>
      </c>
      <c r="AW6" s="16" t="s">
        <v>135</v>
      </c>
      <c r="AX6" s="15" t="s">
        <v>135</v>
      </c>
      <c r="AY6" s="15" t="s">
        <v>135</v>
      </c>
      <c r="AZ6" s="15" t="s">
        <v>135</v>
      </c>
      <c r="BA6" s="16" t="s">
        <v>135</v>
      </c>
      <c r="BB6" s="16" t="s">
        <v>135</v>
      </c>
      <c r="BC6" s="16" t="s">
        <v>135</v>
      </c>
      <c r="BD6" s="16" t="s">
        <v>135</v>
      </c>
      <c r="BE6" s="16" t="s">
        <v>135</v>
      </c>
      <c r="BF6" s="16" t="s">
        <v>135</v>
      </c>
      <c r="BG6" s="16" t="s">
        <v>135</v>
      </c>
      <c r="BH6" s="16" t="s">
        <v>135</v>
      </c>
      <c r="BI6" s="16" t="s">
        <v>135</v>
      </c>
      <c r="BJ6" s="15" t="s">
        <v>135</v>
      </c>
      <c r="BK6" s="15" t="s">
        <v>135</v>
      </c>
      <c r="BL6" s="131" t="s">
        <v>135</v>
      </c>
      <c r="BM6" t="s">
        <v>138</v>
      </c>
      <c r="BN6" t="s">
        <v>138</v>
      </c>
      <c r="BO6" t="s">
        <v>138</v>
      </c>
      <c r="BP6" t="s">
        <v>138</v>
      </c>
      <c r="BQ6" t="s">
        <v>138</v>
      </c>
      <c r="BR6" t="s">
        <v>138</v>
      </c>
      <c r="BS6" t="s">
        <v>138</v>
      </c>
      <c r="BT6" t="s">
        <v>138</v>
      </c>
      <c r="BU6" t="s">
        <v>138</v>
      </c>
      <c r="BV6" t="s">
        <v>138</v>
      </c>
      <c r="BW6" t="s">
        <v>138</v>
      </c>
      <c r="BX6" t="s">
        <v>138</v>
      </c>
      <c r="BY6" s="56">
        <v>630869.82499999995</v>
      </c>
      <c r="BZ6" s="56">
        <v>45975.406249999985</v>
      </c>
      <c r="CA6" s="56">
        <v>0</v>
      </c>
      <c r="CB6" s="56">
        <v>0</v>
      </c>
      <c r="CC6" s="56">
        <v>0</v>
      </c>
      <c r="CD6" s="56">
        <v>0</v>
      </c>
      <c r="CE6" s="56">
        <v>0</v>
      </c>
      <c r="CF6" s="56">
        <v>0</v>
      </c>
      <c r="CG6" s="56">
        <v>0</v>
      </c>
      <c r="CH6" s="56">
        <v>0</v>
      </c>
      <c r="CI6" s="56">
        <v>0</v>
      </c>
      <c r="CJ6" s="56">
        <v>0</v>
      </c>
      <c r="CK6" s="56">
        <v>0</v>
      </c>
    </row>
    <row r="7" spans="1:89" ht="13" x14ac:dyDescent="0.3">
      <c r="A7" s="135" t="s">
        <v>3</v>
      </c>
      <c r="B7" s="134">
        <v>100192</v>
      </c>
      <c r="C7" s="135" t="s">
        <v>198</v>
      </c>
      <c r="D7" s="136">
        <v>25544</v>
      </c>
      <c r="E7" s="136">
        <v>49309</v>
      </c>
      <c r="F7" s="135" t="s">
        <v>173</v>
      </c>
      <c r="G7" s="135">
        <v>2009</v>
      </c>
      <c r="H7" s="135" t="s">
        <v>135</v>
      </c>
      <c r="I7" s="137">
        <v>1047</v>
      </c>
      <c r="J7" s="137">
        <v>0</v>
      </c>
      <c r="K7" s="137">
        <v>0</v>
      </c>
      <c r="L7" s="137">
        <v>1</v>
      </c>
      <c r="M7" s="137">
        <v>0</v>
      </c>
      <c r="N7" s="137">
        <v>0</v>
      </c>
      <c r="O7" s="138">
        <v>0</v>
      </c>
      <c r="P7" s="147">
        <v>1055290</v>
      </c>
      <c r="Q7" s="139">
        <v>1</v>
      </c>
      <c r="R7" s="139">
        <v>1</v>
      </c>
      <c r="S7" s="139">
        <v>0</v>
      </c>
      <c r="T7" s="140"/>
      <c r="U7" s="139">
        <v>0</v>
      </c>
      <c r="V7" s="141"/>
      <c r="W7" s="141">
        <v>1</v>
      </c>
      <c r="X7" s="24"/>
      <c r="Y7" s="24"/>
      <c r="Z7" s="24"/>
      <c r="AA7" s="24"/>
      <c r="AB7" s="24"/>
      <c r="AC7" s="24"/>
      <c r="AD7" s="24"/>
      <c r="AE7" s="24"/>
      <c r="AF7" s="24"/>
      <c r="AG7" s="24">
        <v>39814</v>
      </c>
      <c r="AH7" s="31"/>
      <c r="AI7" s="46" t="str">
        <f t="shared" si="0"/>
        <v/>
      </c>
      <c r="AJ7" s="27"/>
      <c r="AK7" s="27"/>
      <c r="AL7" s="27"/>
      <c r="AM7" s="27"/>
      <c r="AN7" s="27"/>
      <c r="AO7" s="27"/>
      <c r="AP7" s="27"/>
      <c r="AQ7" s="29" t="str">
        <f>IF(AND(AD7&lt;&gt;"",AF7="",AG7=""),DATE(YEAR(AD7)+Menu!$E$10,MONTH(AD7)+Menu!$E$11,1),"")</f>
        <v/>
      </c>
      <c r="AR7" s="29" t="str">
        <f t="shared" si="1"/>
        <v/>
      </c>
      <c r="AS7" s="27" t="str">
        <f>IF(AND(AR7&lt;&gt;"",AH7="",AG7=""),DATE(YEAR(AR7)+Menu!$E$13,MONTH(AR7)+Menu!$E$14,1),"")</f>
        <v/>
      </c>
      <c r="AT7" s="27"/>
      <c r="AU7" s="15" t="s">
        <v>138</v>
      </c>
      <c r="AV7" s="15" t="s">
        <v>138</v>
      </c>
      <c r="AW7" s="16" t="s">
        <v>138</v>
      </c>
      <c r="AX7" s="15" t="s">
        <v>138</v>
      </c>
      <c r="AY7" s="15" t="s">
        <v>138</v>
      </c>
      <c r="AZ7" s="15" t="s">
        <v>138</v>
      </c>
      <c r="BA7" s="15" t="s">
        <v>138</v>
      </c>
      <c r="BB7" s="16" t="s">
        <v>135</v>
      </c>
      <c r="BC7" s="16" t="s">
        <v>135</v>
      </c>
      <c r="BD7" s="16" t="s">
        <v>135</v>
      </c>
      <c r="BE7" s="16" t="s">
        <v>135</v>
      </c>
      <c r="BF7" s="16" t="s">
        <v>135</v>
      </c>
      <c r="BG7" s="16" t="s">
        <v>135</v>
      </c>
      <c r="BH7" s="16" t="s">
        <v>135</v>
      </c>
      <c r="BI7" s="16" t="s">
        <v>135</v>
      </c>
      <c r="BJ7" s="15" t="s">
        <v>135</v>
      </c>
      <c r="BK7" s="15" t="s">
        <v>135</v>
      </c>
      <c r="BL7" s="131" t="s">
        <v>135</v>
      </c>
      <c r="BM7" t="s">
        <v>135</v>
      </c>
      <c r="BN7" t="s">
        <v>135</v>
      </c>
      <c r="BO7" t="s">
        <v>135</v>
      </c>
      <c r="BP7" t="s">
        <v>135</v>
      </c>
      <c r="BQ7" t="s">
        <v>135</v>
      </c>
      <c r="BR7" t="s">
        <v>135</v>
      </c>
      <c r="BS7" t="s">
        <v>135</v>
      </c>
      <c r="BT7" t="s">
        <v>135</v>
      </c>
      <c r="BU7" t="s">
        <v>135</v>
      </c>
      <c r="BV7" t="s">
        <v>135</v>
      </c>
      <c r="BW7" t="s">
        <v>135</v>
      </c>
      <c r="BX7" t="s">
        <v>135</v>
      </c>
      <c r="BY7" s="56">
        <v>1055290</v>
      </c>
      <c r="BZ7" s="56">
        <v>1000375</v>
      </c>
      <c r="CA7" s="56">
        <v>1000375</v>
      </c>
      <c r="CB7" s="56">
        <v>1000375</v>
      </c>
      <c r="CC7" s="56">
        <v>1000375</v>
      </c>
      <c r="CD7" s="56">
        <v>1000375</v>
      </c>
      <c r="CE7" s="56">
        <v>1000375</v>
      </c>
      <c r="CF7" s="56">
        <v>1000375</v>
      </c>
      <c r="CG7" s="56">
        <v>1000375</v>
      </c>
      <c r="CH7" s="56">
        <v>1000375</v>
      </c>
      <c r="CI7" s="56">
        <v>1000375</v>
      </c>
      <c r="CJ7" s="56">
        <v>1000375</v>
      </c>
      <c r="CK7" s="56">
        <v>1000375</v>
      </c>
    </row>
    <row r="8" spans="1:89" ht="13" x14ac:dyDescent="0.3">
      <c r="A8" s="135" t="s">
        <v>223</v>
      </c>
      <c r="B8" s="142">
        <v>270858</v>
      </c>
      <c r="C8" s="135" t="s">
        <v>200</v>
      </c>
      <c r="D8" s="136">
        <v>30788</v>
      </c>
      <c r="E8" s="136">
        <v>54178</v>
      </c>
      <c r="F8" s="135" t="s">
        <v>172</v>
      </c>
      <c r="G8" s="135">
        <v>2017</v>
      </c>
      <c r="H8" s="135" t="s">
        <v>133</v>
      </c>
      <c r="I8" s="137">
        <v>838</v>
      </c>
      <c r="J8" s="137">
        <v>0</v>
      </c>
      <c r="K8" s="137">
        <v>0</v>
      </c>
      <c r="L8" s="137">
        <v>0</v>
      </c>
      <c r="M8" s="137">
        <v>1</v>
      </c>
      <c r="N8" s="137">
        <v>0</v>
      </c>
      <c r="O8" s="138">
        <v>0</v>
      </c>
      <c r="P8" s="147">
        <v>445136</v>
      </c>
      <c r="Q8" s="139">
        <v>1</v>
      </c>
      <c r="R8" s="139">
        <v>0</v>
      </c>
      <c r="S8" s="139">
        <v>0</v>
      </c>
      <c r="T8" s="140"/>
      <c r="U8" s="139">
        <v>0</v>
      </c>
      <c r="V8" s="141"/>
      <c r="W8" s="141">
        <v>1</v>
      </c>
      <c r="X8" s="24"/>
      <c r="Y8" s="24"/>
      <c r="Z8" s="24"/>
      <c r="AA8" s="24"/>
      <c r="AB8" s="24"/>
      <c r="AC8" s="24"/>
      <c r="AD8" s="24">
        <v>42736</v>
      </c>
      <c r="AE8" s="24"/>
      <c r="AF8" s="24"/>
      <c r="AG8" s="24"/>
      <c r="AH8" s="31"/>
      <c r="AI8" s="46" t="str">
        <f t="shared" si="0"/>
        <v/>
      </c>
      <c r="AJ8" s="27"/>
      <c r="AK8" s="27"/>
      <c r="AL8" s="27"/>
      <c r="AM8" s="27"/>
      <c r="AN8" s="27"/>
      <c r="AO8" s="27"/>
      <c r="AP8" s="27"/>
      <c r="AQ8" s="29">
        <f>IF(AND(AD8&lt;&gt;"",AF8="",AG8=""),DATE(YEAR(AD8)+Menu!$E$10,MONTH(AD8)+Menu!$E$11,1),"")</f>
        <v>45200</v>
      </c>
      <c r="AR8" s="29">
        <f t="shared" si="1"/>
        <v>45200</v>
      </c>
      <c r="AS8" s="27">
        <f>IF(AND(AR8&lt;&gt;"",AH8="",AG8=""),DATE(YEAR(AR8)+Menu!$E$13,MONTH(AR8)+Menu!$E$14,1),"")</f>
        <v>47665</v>
      </c>
      <c r="AT8" s="27"/>
      <c r="AU8" s="15" t="s">
        <v>138</v>
      </c>
      <c r="AV8" s="15" t="s">
        <v>138</v>
      </c>
      <c r="AW8" s="15" t="s">
        <v>138</v>
      </c>
      <c r="AX8" s="15" t="s">
        <v>138</v>
      </c>
      <c r="AY8" s="15" t="s">
        <v>138</v>
      </c>
      <c r="AZ8" s="15" t="s">
        <v>138</v>
      </c>
      <c r="BA8" s="15" t="s">
        <v>138</v>
      </c>
      <c r="BB8" s="15" t="s">
        <v>138</v>
      </c>
      <c r="BC8" s="15" t="s">
        <v>138</v>
      </c>
      <c r="BD8" s="15" t="s">
        <v>138</v>
      </c>
      <c r="BE8" s="15" t="s">
        <v>138</v>
      </c>
      <c r="BF8" s="15" t="s">
        <v>138</v>
      </c>
      <c r="BG8" s="15" t="s">
        <v>138</v>
      </c>
      <c r="BH8" s="15" t="s">
        <v>138</v>
      </c>
      <c r="BI8" s="15" t="s">
        <v>138</v>
      </c>
      <c r="BJ8" s="15" t="s">
        <v>133</v>
      </c>
      <c r="BK8" s="15" t="s">
        <v>133</v>
      </c>
      <c r="BL8" s="131" t="s">
        <v>133</v>
      </c>
      <c r="BM8" t="s">
        <v>133</v>
      </c>
      <c r="BN8" t="s">
        <v>133</v>
      </c>
      <c r="BO8" t="s">
        <v>133</v>
      </c>
      <c r="BP8" t="s">
        <v>134</v>
      </c>
      <c r="BQ8" t="s">
        <v>134</v>
      </c>
      <c r="BR8" t="s">
        <v>134</v>
      </c>
      <c r="BS8" t="s">
        <v>134</v>
      </c>
      <c r="BT8" t="s">
        <v>134</v>
      </c>
      <c r="BU8" t="s">
        <v>134</v>
      </c>
      <c r="BV8" t="s">
        <v>134</v>
      </c>
      <c r="BW8" t="s">
        <v>135</v>
      </c>
      <c r="BX8" t="s">
        <v>135</v>
      </c>
      <c r="BY8" s="56">
        <v>445136</v>
      </c>
      <c r="BZ8" s="56">
        <v>512511</v>
      </c>
      <c r="CA8" s="56">
        <v>512511</v>
      </c>
      <c r="CB8" s="56">
        <v>512511</v>
      </c>
      <c r="CC8" s="56">
        <v>564680.25</v>
      </c>
      <c r="CD8" s="56">
        <v>564680.25</v>
      </c>
      <c r="CE8" s="56">
        <v>564680.25</v>
      </c>
      <c r="CF8" s="56">
        <v>564680.25</v>
      </c>
      <c r="CG8" s="56">
        <v>721188</v>
      </c>
      <c r="CH8" s="56">
        <v>721188</v>
      </c>
      <c r="CI8" s="56">
        <v>721188</v>
      </c>
      <c r="CJ8" s="56">
        <v>749106.75</v>
      </c>
      <c r="CK8" s="56">
        <v>804944.25</v>
      </c>
    </row>
    <row r="9" spans="1:89" ht="13" x14ac:dyDescent="0.3">
      <c r="A9" s="135" t="s">
        <v>214</v>
      </c>
      <c r="B9" s="144">
        <v>109297</v>
      </c>
      <c r="C9" s="135" t="s">
        <v>198</v>
      </c>
      <c r="D9" s="136">
        <v>26297</v>
      </c>
      <c r="E9" s="136">
        <v>50040</v>
      </c>
      <c r="F9" s="135" t="s">
        <v>173</v>
      </c>
      <c r="G9" s="135">
        <v>2015</v>
      </c>
      <c r="H9" s="135" t="s">
        <v>134</v>
      </c>
      <c r="I9" s="137">
        <v>1054</v>
      </c>
      <c r="J9" s="137">
        <v>0</v>
      </c>
      <c r="K9" s="137">
        <v>0</v>
      </c>
      <c r="L9" s="137">
        <v>1</v>
      </c>
      <c r="M9" s="137">
        <v>0</v>
      </c>
      <c r="N9" s="137">
        <v>0</v>
      </c>
      <c r="O9" s="138">
        <v>0</v>
      </c>
      <c r="P9" s="147">
        <v>246274</v>
      </c>
      <c r="Q9" s="139">
        <v>1</v>
      </c>
      <c r="R9" s="139">
        <v>1</v>
      </c>
      <c r="S9" s="139">
        <v>500000</v>
      </c>
      <c r="T9" s="140">
        <v>45658</v>
      </c>
      <c r="U9" s="139">
        <v>0</v>
      </c>
      <c r="V9" s="141"/>
      <c r="W9" s="141">
        <v>1</v>
      </c>
      <c r="X9" s="24"/>
      <c r="Y9" s="24"/>
      <c r="Z9" s="24"/>
      <c r="AA9" s="24"/>
      <c r="AB9" s="24"/>
      <c r="AC9" s="24"/>
      <c r="AD9" s="24"/>
      <c r="AE9" s="24"/>
      <c r="AF9" s="24">
        <v>42005</v>
      </c>
      <c r="AG9" s="24"/>
      <c r="AH9" s="31">
        <v>44470</v>
      </c>
      <c r="AI9" s="46" t="str">
        <f t="shared" si="0"/>
        <v/>
      </c>
      <c r="AJ9" s="27"/>
      <c r="AK9" s="27"/>
      <c r="AL9" s="27"/>
      <c r="AM9" s="27"/>
      <c r="AN9" s="27"/>
      <c r="AO9" s="27"/>
      <c r="AP9" s="27"/>
      <c r="AQ9" s="29" t="str">
        <f>IF(AND(AD9&lt;&gt;"",AF9="",AG9=""),DATE(YEAR(AD9)+Menu!$E$10,MONTH(AD9)+Menu!$E$11,1),"")</f>
        <v/>
      </c>
      <c r="AR9" s="29">
        <f t="shared" si="1"/>
        <v>42005</v>
      </c>
      <c r="AS9" s="27" t="str">
        <f>IF(AND(AR9&lt;&gt;"",AH9="",AG9=""),DATE(YEAR(AR9)+Menu!$E$13,MONTH(AR9)+Menu!$E$14,1),"")</f>
        <v/>
      </c>
      <c r="AT9" s="27"/>
      <c r="AU9" s="15" t="s">
        <v>138</v>
      </c>
      <c r="AV9" s="15" t="s">
        <v>138</v>
      </c>
      <c r="AW9" s="15" t="s">
        <v>138</v>
      </c>
      <c r="AX9" s="15" t="s">
        <v>138</v>
      </c>
      <c r="AY9" s="15" t="s">
        <v>138</v>
      </c>
      <c r="AZ9" s="15" t="s">
        <v>138</v>
      </c>
      <c r="BA9" s="15" t="s">
        <v>138</v>
      </c>
      <c r="BB9" s="15" t="s">
        <v>138</v>
      </c>
      <c r="BC9" s="15" t="s">
        <v>138</v>
      </c>
      <c r="BD9" s="15" t="s">
        <v>138</v>
      </c>
      <c r="BE9" s="15" t="s">
        <v>138</v>
      </c>
      <c r="BF9" s="15" t="s">
        <v>138</v>
      </c>
      <c r="BG9" s="15" t="s">
        <v>138</v>
      </c>
      <c r="BH9" s="16" t="s">
        <v>134</v>
      </c>
      <c r="BI9" s="16" t="s">
        <v>134</v>
      </c>
      <c r="BJ9" s="15" t="s">
        <v>134</v>
      </c>
      <c r="BK9" s="15" t="s">
        <v>134</v>
      </c>
      <c r="BL9" s="131" t="s">
        <v>134</v>
      </c>
      <c r="BM9" t="s">
        <v>134</v>
      </c>
      <c r="BN9" t="s">
        <v>135</v>
      </c>
      <c r="BO9" t="s">
        <v>135</v>
      </c>
      <c r="BP9" t="s">
        <v>135</v>
      </c>
      <c r="BQ9" t="s">
        <v>135</v>
      </c>
      <c r="BR9" t="s">
        <v>135</v>
      </c>
      <c r="BS9" t="s">
        <v>135</v>
      </c>
      <c r="BT9" t="s">
        <v>135</v>
      </c>
      <c r="BU9" t="s">
        <v>135</v>
      </c>
      <c r="BV9" t="s">
        <v>135</v>
      </c>
      <c r="BW9" t="s">
        <v>135</v>
      </c>
      <c r="BX9" t="s">
        <v>135</v>
      </c>
      <c r="BY9" s="56">
        <v>246274</v>
      </c>
      <c r="BZ9" s="56">
        <v>721188</v>
      </c>
      <c r="CA9" s="56">
        <v>735147.375</v>
      </c>
      <c r="CB9" s="56">
        <v>790984.875</v>
      </c>
      <c r="CC9" s="56">
        <v>846822.375</v>
      </c>
      <c r="CD9" s="56">
        <v>902659.875</v>
      </c>
      <c r="CE9" s="56">
        <v>1000375</v>
      </c>
      <c r="CF9" s="56">
        <v>1000375</v>
      </c>
      <c r="CG9" s="56">
        <v>1000375</v>
      </c>
      <c r="CH9" s="56">
        <v>1000375</v>
      </c>
      <c r="CI9" s="56">
        <v>1000375</v>
      </c>
      <c r="CJ9" s="56">
        <v>1000375</v>
      </c>
      <c r="CK9" s="56">
        <v>1000375</v>
      </c>
    </row>
    <row r="10" spans="1:89" ht="13" x14ac:dyDescent="0.3">
      <c r="A10" s="135" t="s">
        <v>4</v>
      </c>
      <c r="B10" s="134">
        <v>115671</v>
      </c>
      <c r="C10" s="135" t="s">
        <v>198</v>
      </c>
      <c r="D10" s="136">
        <v>26151</v>
      </c>
      <c r="E10" s="136">
        <v>49552</v>
      </c>
      <c r="F10" s="135" t="s">
        <v>172</v>
      </c>
      <c r="G10" s="135"/>
      <c r="H10" s="135"/>
      <c r="I10" s="137">
        <v>339</v>
      </c>
      <c r="J10" s="137">
        <v>0</v>
      </c>
      <c r="K10" s="137">
        <v>1</v>
      </c>
      <c r="L10" s="137">
        <v>1</v>
      </c>
      <c r="M10" s="137">
        <v>0</v>
      </c>
      <c r="N10" s="137">
        <v>0</v>
      </c>
      <c r="O10" s="138">
        <v>0</v>
      </c>
      <c r="P10" s="147">
        <v>1026691</v>
      </c>
      <c r="Q10" s="139">
        <v>1</v>
      </c>
      <c r="R10" s="139">
        <v>1</v>
      </c>
      <c r="S10" s="139">
        <v>0</v>
      </c>
      <c r="T10" s="140"/>
      <c r="U10" s="139">
        <v>0</v>
      </c>
      <c r="V10" s="141"/>
      <c r="W10" s="141">
        <v>1</v>
      </c>
      <c r="X10" s="24"/>
      <c r="Y10" s="24"/>
      <c r="Z10" s="24"/>
      <c r="AA10" s="24">
        <v>37591</v>
      </c>
      <c r="AB10" s="24"/>
      <c r="AC10" s="24"/>
      <c r="AD10" s="24"/>
      <c r="AE10" s="24"/>
      <c r="AF10" s="24">
        <v>38718</v>
      </c>
      <c r="AG10" s="24">
        <v>41730</v>
      </c>
      <c r="AH10" s="31"/>
      <c r="AI10" s="46" t="str">
        <f t="shared" si="0"/>
        <v/>
      </c>
      <c r="AJ10" s="27"/>
      <c r="AK10" s="27"/>
      <c r="AL10" s="27"/>
      <c r="AM10" s="27"/>
      <c r="AN10" s="27"/>
      <c r="AO10" s="27"/>
      <c r="AP10" s="27"/>
      <c r="AQ10" s="29" t="str">
        <f>IF(AND(AD10&lt;&gt;"",AF10="",AG10=""),DATE(YEAR(AD10)+Menu!$E$10,MONTH(AD10)+Menu!$E$11,1),"")</f>
        <v/>
      </c>
      <c r="AR10" s="29">
        <f t="shared" si="1"/>
        <v>38718</v>
      </c>
      <c r="AS10" s="27" t="str">
        <f>IF(AND(AR10&lt;&gt;"",AH10="",AG10=""),DATE(YEAR(AR10)+Menu!$E$13,MONTH(AR10)+Menu!$E$14,1),"")</f>
        <v/>
      </c>
      <c r="AT10" s="27"/>
      <c r="AU10" s="16" t="s">
        <v>130</v>
      </c>
      <c r="AV10" s="16" t="s">
        <v>130</v>
      </c>
      <c r="AW10" s="16" t="s">
        <v>130</v>
      </c>
      <c r="AX10" s="16" t="s">
        <v>130</v>
      </c>
      <c r="AY10" s="16" t="s">
        <v>134</v>
      </c>
      <c r="AZ10" s="16" t="s">
        <v>134</v>
      </c>
      <c r="BA10" s="16" t="s">
        <v>134</v>
      </c>
      <c r="BB10" s="16" t="s">
        <v>134</v>
      </c>
      <c r="BC10" s="16" t="s">
        <v>134</v>
      </c>
      <c r="BD10" s="16" t="s">
        <v>134</v>
      </c>
      <c r="BE10" s="16" t="s">
        <v>134</v>
      </c>
      <c r="BF10" s="16" t="s">
        <v>134</v>
      </c>
      <c r="BG10" s="16" t="s">
        <v>135</v>
      </c>
      <c r="BH10" s="16" t="s">
        <v>135</v>
      </c>
      <c r="BI10" s="16" t="s">
        <v>135</v>
      </c>
      <c r="BJ10" s="15" t="s">
        <v>135</v>
      </c>
      <c r="BK10" s="15" t="s">
        <v>135</v>
      </c>
      <c r="BL10" s="131" t="s">
        <v>135</v>
      </c>
      <c r="BM10" t="s">
        <v>135</v>
      </c>
      <c r="BN10" t="s">
        <v>135</v>
      </c>
      <c r="BO10" t="s">
        <v>135</v>
      </c>
      <c r="BP10" t="s">
        <v>135</v>
      </c>
      <c r="BQ10" t="s">
        <v>135</v>
      </c>
      <c r="BR10" t="s">
        <v>135</v>
      </c>
      <c r="BS10" t="s">
        <v>135</v>
      </c>
      <c r="BT10" t="s">
        <v>135</v>
      </c>
      <c r="BU10" t="s">
        <v>135</v>
      </c>
      <c r="BV10" t="s">
        <v>135</v>
      </c>
      <c r="BW10" t="s">
        <v>135</v>
      </c>
      <c r="BX10" t="s">
        <v>135</v>
      </c>
      <c r="BY10" s="56">
        <v>1026691</v>
      </c>
      <c r="BZ10" s="56">
        <v>1000375</v>
      </c>
      <c r="CA10" s="56">
        <v>1000375</v>
      </c>
      <c r="CB10" s="56">
        <v>1000375</v>
      </c>
      <c r="CC10" s="56">
        <v>1000375</v>
      </c>
      <c r="CD10" s="56">
        <v>1000375</v>
      </c>
      <c r="CE10" s="56">
        <v>1000375</v>
      </c>
      <c r="CF10" s="56">
        <v>1000375</v>
      </c>
      <c r="CG10" s="56">
        <v>1000375</v>
      </c>
      <c r="CH10" s="56">
        <v>1000375</v>
      </c>
      <c r="CI10" s="56">
        <v>1000375</v>
      </c>
      <c r="CJ10" s="56">
        <v>1000375</v>
      </c>
      <c r="CK10" s="56">
        <v>1000375</v>
      </c>
    </row>
    <row r="11" spans="1:89" ht="13" x14ac:dyDescent="0.3">
      <c r="A11" s="145" t="s">
        <v>5</v>
      </c>
      <c r="B11" s="134">
        <v>104561</v>
      </c>
      <c r="C11" s="135" t="s">
        <v>198</v>
      </c>
      <c r="D11" s="136">
        <v>19774</v>
      </c>
      <c r="E11" s="136">
        <v>43524</v>
      </c>
      <c r="F11" s="135" t="s">
        <v>173</v>
      </c>
      <c r="G11" s="135"/>
      <c r="H11" s="135"/>
      <c r="I11" s="137">
        <v>1016</v>
      </c>
      <c r="J11" s="137">
        <v>0</v>
      </c>
      <c r="K11" s="137">
        <v>0</v>
      </c>
      <c r="L11" s="137">
        <v>1</v>
      </c>
      <c r="M11" s="137">
        <v>0</v>
      </c>
      <c r="N11" s="137">
        <v>0</v>
      </c>
      <c r="O11" s="138">
        <v>0</v>
      </c>
      <c r="P11" s="147">
        <v>192871</v>
      </c>
      <c r="Q11" s="139">
        <v>1</v>
      </c>
      <c r="R11" s="139">
        <v>1</v>
      </c>
      <c r="S11" s="139">
        <v>0</v>
      </c>
      <c r="T11" s="140"/>
      <c r="U11" s="139">
        <f>-SUM(U140,U234)*MONTH(E11)/12</f>
        <v>0</v>
      </c>
      <c r="V11" s="141">
        <v>2019</v>
      </c>
      <c r="W11" s="141">
        <v>1</v>
      </c>
      <c r="X11" s="24"/>
      <c r="Y11" s="24"/>
      <c r="Z11" s="24"/>
      <c r="AA11" s="24"/>
      <c r="AB11" s="24"/>
      <c r="AC11" s="24"/>
      <c r="AD11" s="24"/>
      <c r="AE11" s="24"/>
      <c r="AF11" s="24">
        <v>34820</v>
      </c>
      <c r="AG11" s="24">
        <v>35916</v>
      </c>
      <c r="AH11" s="31"/>
      <c r="AI11" s="46" t="str">
        <f t="shared" si="0"/>
        <v/>
      </c>
      <c r="AJ11" s="27"/>
      <c r="AK11" s="27"/>
      <c r="AL11" s="27"/>
      <c r="AM11" s="27"/>
      <c r="AN11" s="27"/>
      <c r="AO11" s="27"/>
      <c r="AP11" s="27"/>
      <c r="AQ11" s="29" t="str">
        <f>IF(AND(AD11&lt;&gt;"",AF11="",AG11=""),DATE(YEAR(AD11)+Menu!$E$10,MONTH(AD11)+Menu!$E$11,1),"")</f>
        <v/>
      </c>
      <c r="AR11" s="29">
        <f t="shared" si="1"/>
        <v>34820</v>
      </c>
      <c r="AS11" s="27" t="str">
        <f>IF(AND(AR11&lt;&gt;"",AH11="",AG11=""),DATE(YEAR(AR11)+Menu!$E$13,MONTH(AR11)+Menu!$E$14,1),"")</f>
        <v/>
      </c>
      <c r="AT11" s="27"/>
      <c r="AU11" s="16" t="s">
        <v>135</v>
      </c>
      <c r="AV11" s="16" t="s">
        <v>135</v>
      </c>
      <c r="AW11" s="16" t="s">
        <v>135</v>
      </c>
      <c r="AX11" s="16" t="s">
        <v>135</v>
      </c>
      <c r="AY11" s="16" t="s">
        <v>135</v>
      </c>
      <c r="AZ11" s="16" t="s">
        <v>135</v>
      </c>
      <c r="BA11" s="16" t="s">
        <v>135</v>
      </c>
      <c r="BB11" s="16" t="s">
        <v>135</v>
      </c>
      <c r="BC11" s="16" t="s">
        <v>135</v>
      </c>
      <c r="BD11" s="16" t="s">
        <v>135</v>
      </c>
      <c r="BE11" s="16" t="s">
        <v>135</v>
      </c>
      <c r="BF11" s="16" t="s">
        <v>135</v>
      </c>
      <c r="BG11" s="16" t="s">
        <v>135</v>
      </c>
      <c r="BH11" s="16" t="s">
        <v>135</v>
      </c>
      <c r="BI11" s="16" t="s">
        <v>135</v>
      </c>
      <c r="BJ11" s="15" t="s">
        <v>135</v>
      </c>
      <c r="BK11" s="15" t="s">
        <v>135</v>
      </c>
      <c r="BL11" s="131" t="s">
        <v>138</v>
      </c>
      <c r="BM11" t="s">
        <v>138</v>
      </c>
      <c r="BN11" t="s">
        <v>138</v>
      </c>
      <c r="BO11" t="s">
        <v>138</v>
      </c>
      <c r="BP11" t="s">
        <v>138</v>
      </c>
      <c r="BQ11" t="s">
        <v>138</v>
      </c>
      <c r="BR11" t="s">
        <v>138</v>
      </c>
      <c r="BS11" t="s">
        <v>138</v>
      </c>
      <c r="BT11" t="s">
        <v>138</v>
      </c>
      <c r="BU11" t="s">
        <v>138</v>
      </c>
      <c r="BV11" t="s">
        <v>138</v>
      </c>
      <c r="BW11" t="s">
        <v>138</v>
      </c>
      <c r="BX11" t="s">
        <v>138</v>
      </c>
      <c r="BY11" s="56">
        <v>192871</v>
      </c>
      <c r="BZ11" s="56">
        <v>0</v>
      </c>
      <c r="CA11" s="56">
        <v>0</v>
      </c>
      <c r="CB11" s="56">
        <v>0</v>
      </c>
      <c r="CC11" s="56">
        <v>0</v>
      </c>
      <c r="CD11" s="56">
        <v>0</v>
      </c>
      <c r="CE11" s="56">
        <v>0</v>
      </c>
      <c r="CF11" s="56">
        <v>0</v>
      </c>
      <c r="CG11" s="56">
        <v>0</v>
      </c>
      <c r="CH11" s="56">
        <v>0</v>
      </c>
      <c r="CI11" s="56">
        <v>0</v>
      </c>
      <c r="CJ11" s="56">
        <v>0</v>
      </c>
      <c r="CK11" s="56">
        <v>0</v>
      </c>
    </row>
    <row r="12" spans="1:89" ht="13" x14ac:dyDescent="0.3">
      <c r="A12" s="135" t="s">
        <v>6</v>
      </c>
      <c r="B12" s="134">
        <v>110635</v>
      </c>
      <c r="C12" s="135" t="s">
        <v>198</v>
      </c>
      <c r="D12" s="136">
        <v>25363</v>
      </c>
      <c r="E12" s="136">
        <v>49125</v>
      </c>
      <c r="F12" s="135" t="s">
        <v>173</v>
      </c>
      <c r="G12" s="135"/>
      <c r="H12" s="135"/>
      <c r="I12" s="137">
        <v>1035</v>
      </c>
      <c r="J12" s="137">
        <v>0</v>
      </c>
      <c r="K12" s="137">
        <v>0</v>
      </c>
      <c r="L12" s="137">
        <v>1</v>
      </c>
      <c r="M12" s="137">
        <v>0</v>
      </c>
      <c r="N12" s="137">
        <v>0</v>
      </c>
      <c r="O12" s="138">
        <v>2</v>
      </c>
      <c r="P12" s="147">
        <v>0</v>
      </c>
      <c r="Q12" s="139">
        <v>1</v>
      </c>
      <c r="R12" s="139">
        <v>0</v>
      </c>
      <c r="S12" s="139">
        <v>0</v>
      </c>
      <c r="T12" s="140"/>
      <c r="U12" s="139">
        <f>159380*1.225*W12</f>
        <v>97620.25</v>
      </c>
      <c r="V12" s="141">
        <v>2028</v>
      </c>
      <c r="W12" s="141">
        <v>0.5</v>
      </c>
      <c r="X12" s="24"/>
      <c r="Y12" s="24">
        <v>41015</v>
      </c>
      <c r="Z12" s="24"/>
      <c r="AA12" s="24"/>
      <c r="AB12" s="24"/>
      <c r="AC12" s="24"/>
      <c r="AD12" s="24"/>
      <c r="AE12" s="24"/>
      <c r="AF12" s="24"/>
      <c r="AG12" s="24"/>
      <c r="AH12" s="31"/>
      <c r="AI12" s="46" t="str">
        <f t="shared" si="0"/>
        <v/>
      </c>
      <c r="AJ12" s="27"/>
      <c r="AK12" s="27"/>
      <c r="AL12" s="27"/>
      <c r="AM12" s="27"/>
      <c r="AN12" s="27"/>
      <c r="AO12" s="27"/>
      <c r="AP12" s="27"/>
      <c r="AQ12" s="29" t="str">
        <f>IF(AND(AD12&lt;&gt;"",AF12="",AG12=""),DATE(YEAR(AD12)+Menu!$E$10,MONTH(AD12)+Menu!$E$11,1),"")</f>
        <v/>
      </c>
      <c r="AR12" s="29" t="str">
        <f t="shared" si="1"/>
        <v/>
      </c>
      <c r="AS12" s="27" t="str">
        <f>IF(AND(AR12&lt;&gt;"",AH12="",AG12=""),DATE(YEAR(AR12)+Menu!$E$13,MONTH(AR12)+Menu!$E$14,1),"")</f>
        <v/>
      </c>
      <c r="AT12" s="27"/>
      <c r="AU12" s="15" t="s">
        <v>138</v>
      </c>
      <c r="AV12" s="15" t="s">
        <v>138</v>
      </c>
      <c r="AW12" s="16" t="s">
        <v>138</v>
      </c>
      <c r="AX12" s="15" t="s">
        <v>138</v>
      </c>
      <c r="AY12" s="15" t="s">
        <v>138</v>
      </c>
      <c r="AZ12" s="15" t="s">
        <v>138</v>
      </c>
      <c r="BA12" s="15" t="s">
        <v>138</v>
      </c>
      <c r="BB12" s="15" t="s">
        <v>138</v>
      </c>
      <c r="BC12" s="15" t="s">
        <v>138</v>
      </c>
      <c r="BD12" s="15" t="s">
        <v>138</v>
      </c>
      <c r="BE12" s="16" t="s">
        <v>129</v>
      </c>
      <c r="BF12" s="16" t="s">
        <v>129</v>
      </c>
      <c r="BG12" s="16" t="s">
        <v>129</v>
      </c>
      <c r="BH12" s="16" t="s">
        <v>129</v>
      </c>
      <c r="BI12" s="16" t="s">
        <v>129</v>
      </c>
      <c r="BJ12" s="15" t="s">
        <v>129</v>
      </c>
      <c r="BK12" s="15" t="s">
        <v>129</v>
      </c>
      <c r="BL12" s="131" t="s">
        <v>129</v>
      </c>
      <c r="BM12" t="s">
        <v>129</v>
      </c>
      <c r="BN12" t="s">
        <v>129</v>
      </c>
      <c r="BO12" t="s">
        <v>129</v>
      </c>
      <c r="BP12" t="s">
        <v>129</v>
      </c>
      <c r="BQ12" t="s">
        <v>129</v>
      </c>
      <c r="BR12" t="s">
        <v>129</v>
      </c>
      <c r="BS12" t="s">
        <v>129</v>
      </c>
      <c r="BT12" t="s">
        <v>129</v>
      </c>
      <c r="BU12" t="s">
        <v>129</v>
      </c>
      <c r="BV12" t="s">
        <v>129</v>
      </c>
      <c r="BW12" t="s">
        <v>129</v>
      </c>
      <c r="BX12" t="s">
        <v>129</v>
      </c>
      <c r="BY12" s="56">
        <v>0</v>
      </c>
      <c r="BZ12" s="56">
        <v>0</v>
      </c>
      <c r="CA12" s="56">
        <v>0</v>
      </c>
      <c r="CB12" s="56">
        <v>0</v>
      </c>
      <c r="CC12" s="56">
        <v>0</v>
      </c>
      <c r="CD12" s="56">
        <v>0</v>
      </c>
      <c r="CE12" s="56">
        <v>0</v>
      </c>
      <c r="CF12" s="56">
        <v>0</v>
      </c>
      <c r="CG12" s="56">
        <v>0</v>
      </c>
      <c r="CH12" s="56">
        <v>97620.25</v>
      </c>
      <c r="CI12" s="56">
        <v>97620.25</v>
      </c>
      <c r="CJ12" s="56">
        <v>97620.25</v>
      </c>
      <c r="CK12" s="56">
        <v>97620.25</v>
      </c>
    </row>
    <row r="13" spans="1:89" ht="13" x14ac:dyDescent="0.3">
      <c r="A13" s="135" t="s">
        <v>440</v>
      </c>
      <c r="B13" s="134">
        <v>110635</v>
      </c>
      <c r="C13" s="135" t="s">
        <v>198</v>
      </c>
      <c r="D13" s="136">
        <v>25363</v>
      </c>
      <c r="E13" s="136">
        <v>49125</v>
      </c>
      <c r="F13" s="135" t="s">
        <v>173</v>
      </c>
      <c r="G13" s="135"/>
      <c r="H13" s="135"/>
      <c r="I13" s="137">
        <v>1035</v>
      </c>
      <c r="J13" s="137">
        <v>0</v>
      </c>
      <c r="K13" s="137">
        <v>0</v>
      </c>
      <c r="L13" s="137">
        <v>1</v>
      </c>
      <c r="M13" s="137">
        <v>0</v>
      </c>
      <c r="N13" s="137">
        <v>0</v>
      </c>
      <c r="O13" s="138">
        <v>2</v>
      </c>
      <c r="P13" s="147">
        <f>159380*1.225*W13</f>
        <v>97620.25</v>
      </c>
      <c r="Q13" s="139">
        <v>1</v>
      </c>
      <c r="R13" s="139">
        <v>0</v>
      </c>
      <c r="S13" s="139">
        <v>0</v>
      </c>
      <c r="T13" s="140"/>
      <c r="U13" s="139">
        <v>0</v>
      </c>
      <c r="V13" s="141"/>
      <c r="W13" s="141">
        <v>0.5</v>
      </c>
      <c r="X13" s="24"/>
      <c r="Y13" s="24">
        <v>41015</v>
      </c>
      <c r="Z13" s="24"/>
      <c r="AA13" s="24"/>
      <c r="AB13" s="24"/>
      <c r="AC13" s="24"/>
      <c r="AD13" s="24"/>
      <c r="AE13" s="24"/>
      <c r="AF13" s="24"/>
      <c r="AG13" s="24"/>
      <c r="AH13" s="31"/>
      <c r="AI13" s="46" t="str">
        <f>IF(YEAR(E13)&lt;2018,YEAR(E13),"")</f>
        <v/>
      </c>
      <c r="AJ13" s="27"/>
      <c r="AK13" s="27"/>
      <c r="AL13" s="27"/>
      <c r="AM13" s="27"/>
      <c r="AN13" s="27"/>
      <c r="AO13" s="27"/>
      <c r="AP13" s="27"/>
      <c r="AQ13" s="29" t="str">
        <f>IF(AND(AD13&lt;&gt;"",AF13="",AG13=""),DATE(YEAR(AD13)+Menu!$E$10,MONTH(AD13)+Menu!$E$11,1),"")</f>
        <v/>
      </c>
      <c r="AR13" s="29" t="str">
        <f>IF(AF13&lt;&gt;0,AF13,AQ13)</f>
        <v/>
      </c>
      <c r="AS13" s="27" t="str">
        <f>IF(AND(AR13&lt;&gt;"",AH13="",AG13=""),DATE(YEAR(AR13)+Menu!$E$13,MONTH(AR13)+Menu!$E$14,1),"")</f>
        <v/>
      </c>
      <c r="AT13" s="27"/>
      <c r="AU13" s="15" t="s">
        <v>138</v>
      </c>
      <c r="AV13" s="15" t="s">
        <v>138</v>
      </c>
      <c r="AW13" s="16" t="s">
        <v>138</v>
      </c>
      <c r="AX13" s="15" t="s">
        <v>138</v>
      </c>
      <c r="AY13" s="15" t="s">
        <v>138</v>
      </c>
      <c r="AZ13" s="15" t="s">
        <v>138</v>
      </c>
      <c r="BA13" s="15" t="s">
        <v>138</v>
      </c>
      <c r="BB13" s="15" t="s">
        <v>138</v>
      </c>
      <c r="BC13" s="15" t="s">
        <v>138</v>
      </c>
      <c r="BD13" s="15" t="s">
        <v>138</v>
      </c>
      <c r="BE13" s="16" t="s">
        <v>129</v>
      </c>
      <c r="BF13" s="16" t="s">
        <v>129</v>
      </c>
      <c r="BG13" s="16" t="s">
        <v>129</v>
      </c>
      <c r="BH13" s="16" t="s">
        <v>129</v>
      </c>
      <c r="BI13" s="16" t="s">
        <v>129</v>
      </c>
      <c r="BJ13" s="15" t="s">
        <v>129</v>
      </c>
      <c r="BK13" s="15" t="s">
        <v>129</v>
      </c>
      <c r="BL13" s="131" t="s">
        <v>129</v>
      </c>
      <c r="BM13" t="s">
        <v>129</v>
      </c>
      <c r="BN13" t="s">
        <v>129</v>
      </c>
      <c r="BO13" t="s">
        <v>129</v>
      </c>
      <c r="BP13" t="s">
        <v>129</v>
      </c>
      <c r="BQ13" t="s">
        <v>129</v>
      </c>
      <c r="BR13" t="s">
        <v>129</v>
      </c>
      <c r="BS13" t="s">
        <v>129</v>
      </c>
      <c r="BT13" t="s">
        <v>129</v>
      </c>
      <c r="BU13" t="s">
        <v>129</v>
      </c>
      <c r="BV13" t="s">
        <v>129</v>
      </c>
      <c r="BW13" t="s">
        <v>129</v>
      </c>
      <c r="BX13" t="s">
        <v>129</v>
      </c>
      <c r="BY13" s="56">
        <v>97620.25</v>
      </c>
      <c r="BZ13" s="56">
        <v>97620.25</v>
      </c>
      <c r="CA13" s="56">
        <v>97620.25</v>
      </c>
      <c r="CB13" s="56">
        <v>97620.25</v>
      </c>
      <c r="CC13" s="56">
        <v>97620.25</v>
      </c>
      <c r="CD13" s="56">
        <v>97620.25</v>
      </c>
      <c r="CE13" s="56">
        <v>97620.25</v>
      </c>
      <c r="CF13" s="56">
        <v>97620.25</v>
      </c>
      <c r="CG13" s="56">
        <v>97620.25</v>
      </c>
      <c r="CH13" s="56">
        <v>97620.25</v>
      </c>
      <c r="CI13" s="56">
        <v>97620.25</v>
      </c>
      <c r="CJ13" s="56">
        <v>97620.25</v>
      </c>
      <c r="CK13" s="56">
        <v>97620.25</v>
      </c>
    </row>
    <row r="14" spans="1:89" ht="13" x14ac:dyDescent="0.3">
      <c r="A14" s="135" t="s">
        <v>7</v>
      </c>
      <c r="B14" s="134">
        <v>169253</v>
      </c>
      <c r="C14" s="135" t="s">
        <v>198</v>
      </c>
      <c r="D14" s="136">
        <v>20949</v>
      </c>
      <c r="E14" s="136">
        <v>44712</v>
      </c>
      <c r="F14" s="135" t="s">
        <v>173</v>
      </c>
      <c r="G14" s="135">
        <v>2009</v>
      </c>
      <c r="H14" s="135" t="s">
        <v>135</v>
      </c>
      <c r="I14" s="137">
        <v>1051</v>
      </c>
      <c r="J14" s="137">
        <v>0</v>
      </c>
      <c r="K14" s="137">
        <v>0</v>
      </c>
      <c r="L14" s="137">
        <v>1</v>
      </c>
      <c r="M14" s="137">
        <v>0</v>
      </c>
      <c r="N14" s="137">
        <v>0</v>
      </c>
      <c r="O14" s="138">
        <v>0</v>
      </c>
      <c r="P14" s="147">
        <v>9500</v>
      </c>
      <c r="Q14" s="139">
        <v>1</v>
      </c>
      <c r="R14" s="139">
        <v>1</v>
      </c>
      <c r="S14" s="139">
        <v>0</v>
      </c>
      <c r="T14" s="140"/>
      <c r="U14" s="139">
        <v>0</v>
      </c>
      <c r="V14" s="141"/>
      <c r="W14" s="141">
        <v>0</v>
      </c>
      <c r="X14" s="24"/>
      <c r="Y14" s="24"/>
      <c r="Z14" s="24"/>
      <c r="AA14" s="24"/>
      <c r="AB14" s="24"/>
      <c r="AC14" s="24"/>
      <c r="AD14" s="24"/>
      <c r="AE14" s="24"/>
      <c r="AF14" s="24"/>
      <c r="AG14" s="24">
        <v>40057</v>
      </c>
      <c r="AH14" s="31"/>
      <c r="AI14" s="46" t="str">
        <f t="shared" si="0"/>
        <v/>
      </c>
      <c r="AJ14" s="27"/>
      <c r="AK14" s="27"/>
      <c r="AL14" s="27"/>
      <c r="AM14" s="27"/>
      <c r="AN14" s="27"/>
      <c r="AO14" s="27"/>
      <c r="AP14" s="27"/>
      <c r="AQ14" s="29" t="str">
        <f>IF(AND(AD14&lt;&gt;"",AF14="",AG14=""),DATE(YEAR(AD14)+Menu!$E$10,MONTH(AD14)+Menu!$E$11,1),"")</f>
        <v/>
      </c>
      <c r="AR14" s="29" t="str">
        <f t="shared" si="1"/>
        <v/>
      </c>
      <c r="AS14" s="27" t="str">
        <f>IF(AND(AR14&lt;&gt;"",AH14="",AG14=""),DATE(YEAR(AR14)+Menu!$E$13,MONTH(AR14)+Menu!$E$14,1),"")</f>
        <v/>
      </c>
      <c r="AT14" s="27"/>
      <c r="AU14" s="15" t="s">
        <v>138</v>
      </c>
      <c r="AV14" s="15" t="s">
        <v>138</v>
      </c>
      <c r="AW14" s="16" t="s">
        <v>138</v>
      </c>
      <c r="AX14" s="15" t="s">
        <v>138</v>
      </c>
      <c r="AY14" s="15" t="s">
        <v>138</v>
      </c>
      <c r="AZ14" s="15" t="s">
        <v>138</v>
      </c>
      <c r="BA14" s="15" t="s">
        <v>138</v>
      </c>
      <c r="BB14" s="16" t="s">
        <v>135</v>
      </c>
      <c r="BC14" s="16" t="s">
        <v>135</v>
      </c>
      <c r="BD14" s="16" t="s">
        <v>135</v>
      </c>
      <c r="BE14" s="16" t="s">
        <v>135</v>
      </c>
      <c r="BF14" s="16" t="s">
        <v>135</v>
      </c>
      <c r="BG14" s="16" t="s">
        <v>135</v>
      </c>
      <c r="BH14" s="16" t="s">
        <v>135</v>
      </c>
      <c r="BI14" s="16" t="s">
        <v>135</v>
      </c>
      <c r="BJ14" s="15" t="s">
        <v>135</v>
      </c>
      <c r="BK14" s="15" t="s">
        <v>135</v>
      </c>
      <c r="BL14" s="131" t="s">
        <v>135</v>
      </c>
      <c r="BM14" t="s">
        <v>135</v>
      </c>
      <c r="BN14" t="s">
        <v>135</v>
      </c>
      <c r="BO14" t="s">
        <v>138</v>
      </c>
      <c r="BP14" t="s">
        <v>138</v>
      </c>
      <c r="BQ14" t="s">
        <v>138</v>
      </c>
      <c r="BR14" t="s">
        <v>138</v>
      </c>
      <c r="BS14" t="s">
        <v>138</v>
      </c>
      <c r="BT14" t="s">
        <v>138</v>
      </c>
      <c r="BU14" t="s">
        <v>138</v>
      </c>
      <c r="BV14" t="s">
        <v>138</v>
      </c>
      <c r="BW14" t="s">
        <v>138</v>
      </c>
      <c r="BX14" t="s">
        <v>138</v>
      </c>
      <c r="BY14" s="56">
        <v>9500</v>
      </c>
      <c r="BZ14" s="56">
        <v>0</v>
      </c>
      <c r="CA14" s="56">
        <v>0</v>
      </c>
      <c r="CB14" s="56">
        <v>0</v>
      </c>
      <c r="CC14" s="56">
        <v>0</v>
      </c>
      <c r="CD14" s="56">
        <v>0</v>
      </c>
      <c r="CE14" s="56">
        <v>0</v>
      </c>
      <c r="CF14" s="56">
        <v>0</v>
      </c>
      <c r="CG14" s="56">
        <v>0</v>
      </c>
      <c r="CH14" s="56">
        <v>0</v>
      </c>
      <c r="CI14" s="56">
        <v>0</v>
      </c>
      <c r="CJ14" s="56">
        <v>0</v>
      </c>
      <c r="CK14" s="56">
        <v>0</v>
      </c>
    </row>
    <row r="15" spans="1:89" ht="13" x14ac:dyDescent="0.3">
      <c r="A15" s="47" t="s">
        <v>8</v>
      </c>
      <c r="B15" s="48">
        <v>104596</v>
      </c>
      <c r="C15" s="47" t="s">
        <v>197</v>
      </c>
      <c r="D15" s="49">
        <v>19101</v>
      </c>
      <c r="E15" s="49">
        <v>42855</v>
      </c>
      <c r="F15" s="47" t="s">
        <v>173</v>
      </c>
      <c r="G15" s="47"/>
      <c r="H15" s="47"/>
      <c r="I15" s="40">
        <v>360</v>
      </c>
      <c r="J15" s="41">
        <v>0</v>
      </c>
      <c r="K15" s="41">
        <v>1</v>
      </c>
      <c r="L15" s="41">
        <v>0</v>
      </c>
      <c r="M15" s="41">
        <v>0</v>
      </c>
      <c r="N15" s="41">
        <v>0</v>
      </c>
      <c r="O15" s="138">
        <v>0</v>
      </c>
      <c r="P15" s="147">
        <v>0</v>
      </c>
      <c r="Q15" s="139">
        <v>0</v>
      </c>
      <c r="R15" s="139">
        <v>0</v>
      </c>
      <c r="S15" s="139">
        <v>0</v>
      </c>
      <c r="T15" s="140"/>
      <c r="U15" s="139">
        <v>0</v>
      </c>
      <c r="V15" s="141"/>
      <c r="W15" s="141">
        <v>0</v>
      </c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31"/>
      <c r="AI15" s="46">
        <f t="shared" si="0"/>
        <v>2017</v>
      </c>
      <c r="AJ15" s="27"/>
      <c r="AK15" s="27"/>
      <c r="AL15" s="27"/>
      <c r="AM15" s="27"/>
      <c r="AN15" s="27"/>
      <c r="AO15" s="27"/>
      <c r="AP15" s="27"/>
      <c r="AQ15" s="29" t="str">
        <f>IF(AND(AD15&lt;&gt;"",AF15="",AG15=""),DATE(YEAR(AD15)+Menu!$E$10,MONTH(AD15)+Menu!$E$11,1),"")</f>
        <v/>
      </c>
      <c r="AR15" s="29" t="str">
        <f t="shared" si="1"/>
        <v/>
      </c>
      <c r="AS15" s="27" t="str">
        <f>IF(AND(AR15&lt;&gt;"",AH15="",AG15=""),DATE(YEAR(AR15)+Menu!$E$13,MONTH(AR15)+Menu!$E$14,1),"")</f>
        <v/>
      </c>
      <c r="AT15" s="27"/>
      <c r="AU15" s="16" t="s">
        <v>135</v>
      </c>
      <c r="AV15" s="16" t="s">
        <v>135</v>
      </c>
      <c r="AW15" s="16" t="s">
        <v>135</v>
      </c>
      <c r="AX15" s="16" t="s">
        <v>135</v>
      </c>
      <c r="AY15" s="16" t="s">
        <v>135</v>
      </c>
      <c r="AZ15" s="16" t="s">
        <v>135</v>
      </c>
      <c r="BA15" s="16" t="s">
        <v>135</v>
      </c>
      <c r="BB15" s="16" t="s">
        <v>135</v>
      </c>
      <c r="BC15" s="16" t="s">
        <v>135</v>
      </c>
      <c r="BD15" s="16" t="s">
        <v>135</v>
      </c>
      <c r="BE15" s="16" t="s">
        <v>135</v>
      </c>
      <c r="BF15" s="16" t="s">
        <v>135</v>
      </c>
      <c r="BG15" s="16" t="s">
        <v>135</v>
      </c>
      <c r="BH15" s="16" t="s">
        <v>135</v>
      </c>
      <c r="BI15" s="16" t="s">
        <v>135</v>
      </c>
      <c r="BJ15" s="15" t="s">
        <v>136</v>
      </c>
      <c r="BK15" s="15" t="s">
        <v>136</v>
      </c>
      <c r="BL15" s="131"/>
      <c r="BY15" s="56">
        <v>0</v>
      </c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</row>
    <row r="16" spans="1:89" ht="13" x14ac:dyDescent="0.3">
      <c r="A16" s="42" t="s">
        <v>9</v>
      </c>
      <c r="B16" s="43">
        <v>167538</v>
      </c>
      <c r="C16" s="42" t="s">
        <v>199</v>
      </c>
      <c r="D16" s="44">
        <v>21402</v>
      </c>
      <c r="E16" s="44">
        <v>45169</v>
      </c>
      <c r="F16" s="42" t="s">
        <v>173</v>
      </c>
      <c r="G16" s="47"/>
      <c r="H16" s="47"/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1">
        <v>0</v>
      </c>
      <c r="O16" s="138">
        <v>0</v>
      </c>
      <c r="P16" s="147">
        <v>0</v>
      </c>
      <c r="Q16" s="139">
        <v>0</v>
      </c>
      <c r="R16" s="139">
        <v>0</v>
      </c>
      <c r="S16" s="139">
        <v>0</v>
      </c>
      <c r="T16" s="140"/>
      <c r="U16" s="139">
        <v>0</v>
      </c>
      <c r="V16" s="141"/>
      <c r="W16" s="141">
        <v>0</v>
      </c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31"/>
      <c r="AI16" s="46" t="str">
        <f t="shared" si="0"/>
        <v/>
      </c>
      <c r="AJ16" s="27"/>
      <c r="AK16" s="27"/>
      <c r="AL16" s="27"/>
      <c r="AM16" s="27"/>
      <c r="AN16" s="27"/>
      <c r="AO16" s="27"/>
      <c r="AP16" s="27"/>
      <c r="AQ16" s="29" t="str">
        <f>IF(AND(AD16&lt;&gt;"",AF16="",AG16=""),DATE(YEAR(AD16)+Menu!$E$10,MONTH(AD16)+Menu!$E$11,1),"")</f>
        <v/>
      </c>
      <c r="AR16" s="29" t="str">
        <f t="shared" si="1"/>
        <v/>
      </c>
      <c r="AS16" s="27" t="str">
        <f>IF(AND(AR16&lt;&gt;"",AH16="",AG16=""),DATE(YEAR(AR16)+Menu!$E$13,MONTH(AR16)+Menu!$E$14,1),"")</f>
        <v/>
      </c>
      <c r="AT16" s="27"/>
      <c r="AU16" s="15" t="s">
        <v>138</v>
      </c>
      <c r="AV16" s="15" t="s">
        <v>138</v>
      </c>
      <c r="AW16" s="16" t="s">
        <v>138</v>
      </c>
      <c r="AX16" s="15" t="s">
        <v>138</v>
      </c>
      <c r="AY16" s="15" t="s">
        <v>138</v>
      </c>
      <c r="AZ16" s="15" t="s">
        <v>138</v>
      </c>
      <c r="BA16" s="15" t="s">
        <v>138</v>
      </c>
      <c r="BB16" s="16" t="s">
        <v>129</v>
      </c>
      <c r="BC16" s="16" t="s">
        <v>137</v>
      </c>
      <c r="BD16" s="16" t="s">
        <v>137</v>
      </c>
      <c r="BE16" s="16" t="s">
        <v>137</v>
      </c>
      <c r="BF16" s="16" t="s">
        <v>137</v>
      </c>
      <c r="BG16" s="16" t="s">
        <v>137</v>
      </c>
      <c r="BH16" s="16" t="s">
        <v>137</v>
      </c>
      <c r="BI16" s="16" t="s">
        <v>137</v>
      </c>
      <c r="BJ16" s="15" t="s">
        <v>137</v>
      </c>
      <c r="BK16" s="15" t="s">
        <v>137</v>
      </c>
      <c r="BL16" s="131" t="s">
        <v>137</v>
      </c>
      <c r="BM16" t="s">
        <v>137</v>
      </c>
      <c r="BN16" t="s">
        <v>137</v>
      </c>
      <c r="BO16" t="s">
        <v>137</v>
      </c>
      <c r="BP16" t="s">
        <v>137</v>
      </c>
      <c r="BQ16" t="s">
        <v>138</v>
      </c>
      <c r="BR16" t="s">
        <v>138</v>
      </c>
      <c r="BS16" t="s">
        <v>138</v>
      </c>
      <c r="BT16" t="s">
        <v>138</v>
      </c>
      <c r="BU16" t="s">
        <v>138</v>
      </c>
      <c r="BV16" t="s">
        <v>138</v>
      </c>
      <c r="BW16" t="s">
        <v>138</v>
      </c>
      <c r="BX16" t="s">
        <v>138</v>
      </c>
      <c r="BY16" s="56">
        <v>0</v>
      </c>
      <c r="BZ16" s="56">
        <v>0</v>
      </c>
      <c r="CA16" s="56">
        <v>0</v>
      </c>
      <c r="CB16" s="56">
        <v>0</v>
      </c>
      <c r="CC16" s="56">
        <v>0</v>
      </c>
      <c r="CD16" s="56">
        <v>0</v>
      </c>
      <c r="CE16" s="56">
        <v>0</v>
      </c>
      <c r="CF16" s="56">
        <v>0</v>
      </c>
      <c r="CG16" s="56">
        <v>0</v>
      </c>
      <c r="CH16" s="56">
        <v>0</v>
      </c>
      <c r="CI16" s="56">
        <v>0</v>
      </c>
      <c r="CJ16" s="56">
        <v>0</v>
      </c>
      <c r="CK16" s="56">
        <v>0</v>
      </c>
    </row>
    <row r="17" spans="1:89" ht="13" x14ac:dyDescent="0.3">
      <c r="A17" s="180" t="s">
        <v>10</v>
      </c>
      <c r="B17" s="48">
        <v>111182</v>
      </c>
      <c r="C17" s="47" t="s">
        <v>197</v>
      </c>
      <c r="D17" s="49">
        <v>20105</v>
      </c>
      <c r="E17" s="49">
        <v>43861</v>
      </c>
      <c r="F17" s="47" t="s">
        <v>173</v>
      </c>
      <c r="G17" s="47"/>
      <c r="H17" s="47"/>
      <c r="I17" s="41">
        <v>343</v>
      </c>
      <c r="J17" s="41">
        <v>0</v>
      </c>
      <c r="K17" s="41">
        <v>1</v>
      </c>
      <c r="L17" s="41">
        <v>0</v>
      </c>
      <c r="M17" s="41">
        <v>1</v>
      </c>
      <c r="N17" s="41">
        <v>0</v>
      </c>
      <c r="O17" s="138">
        <v>0</v>
      </c>
      <c r="P17" s="147">
        <f>961210-P79-P227</f>
        <v>961210</v>
      </c>
      <c r="Q17" s="139">
        <v>1</v>
      </c>
      <c r="R17" s="139">
        <v>1</v>
      </c>
      <c r="S17" s="139">
        <v>0</v>
      </c>
      <c r="T17" s="140"/>
      <c r="U17" s="139">
        <f>1*23423*1.225</f>
        <v>28693.175000000003</v>
      </c>
      <c r="V17" s="141">
        <v>2020</v>
      </c>
      <c r="W17" s="141">
        <v>1</v>
      </c>
      <c r="X17" s="24"/>
      <c r="Y17" s="24"/>
      <c r="Z17" s="24"/>
      <c r="AA17" s="24"/>
      <c r="AB17" s="24"/>
      <c r="AC17" s="24"/>
      <c r="AD17" s="24"/>
      <c r="AE17" s="24"/>
      <c r="AF17" s="24"/>
      <c r="AG17" s="24">
        <v>35247</v>
      </c>
      <c r="AH17" s="31"/>
      <c r="AI17" s="46" t="str">
        <f t="shared" si="0"/>
        <v/>
      </c>
      <c r="AJ17" s="27"/>
      <c r="AK17" s="27"/>
      <c r="AL17" s="27"/>
      <c r="AM17" s="27"/>
      <c r="AN17" s="27"/>
      <c r="AO17" s="27"/>
      <c r="AP17" s="27"/>
      <c r="AQ17" s="29" t="str">
        <f>IF(AND(AD17&lt;&gt;"",AF17="",AG17=""),DATE(YEAR(AD17)+Menu!$E$10,MONTH(AD17)+Menu!$E$11,1),"")</f>
        <v/>
      </c>
      <c r="AR17" s="29" t="str">
        <f t="shared" si="1"/>
        <v/>
      </c>
      <c r="AS17" s="27" t="str">
        <f>IF(AND(AR17&lt;&gt;"",AH17="",AG17=""),DATE(YEAR(AR17)+Menu!$E$13,MONTH(AR17)+Menu!$E$14,1),"")</f>
        <v/>
      </c>
      <c r="AT17" s="27"/>
      <c r="AU17" s="16" t="s">
        <v>135</v>
      </c>
      <c r="AV17" s="16" t="s">
        <v>135</v>
      </c>
      <c r="AW17" s="16" t="s">
        <v>135</v>
      </c>
      <c r="AX17" s="16" t="s">
        <v>135</v>
      </c>
      <c r="AY17" s="16" t="s">
        <v>135</v>
      </c>
      <c r="AZ17" s="16" t="s">
        <v>135</v>
      </c>
      <c r="BA17" s="16" t="s">
        <v>135</v>
      </c>
      <c r="BB17" s="16" t="s">
        <v>135</v>
      </c>
      <c r="BC17" s="16" t="s">
        <v>135</v>
      </c>
      <c r="BD17" s="16" t="s">
        <v>135</v>
      </c>
      <c r="BE17" s="16" t="s">
        <v>135</v>
      </c>
      <c r="BF17" s="16" t="s">
        <v>135</v>
      </c>
      <c r="BG17" s="16" t="s">
        <v>135</v>
      </c>
      <c r="BH17" s="16" t="s">
        <v>135</v>
      </c>
      <c r="BI17" s="16" t="s">
        <v>135</v>
      </c>
      <c r="BJ17" s="15" t="s">
        <v>135</v>
      </c>
      <c r="BK17" s="15" t="s">
        <v>135</v>
      </c>
      <c r="BL17" s="131" t="s">
        <v>135</v>
      </c>
      <c r="BM17" t="s">
        <v>138</v>
      </c>
      <c r="BN17" t="s">
        <v>138</v>
      </c>
      <c r="BO17" t="s">
        <v>138</v>
      </c>
      <c r="BP17" t="s">
        <v>138</v>
      </c>
      <c r="BQ17" t="s">
        <v>138</v>
      </c>
      <c r="BR17" t="s">
        <v>138</v>
      </c>
      <c r="BS17" t="s">
        <v>138</v>
      </c>
      <c r="BT17" t="s">
        <v>138</v>
      </c>
      <c r="BU17" t="s">
        <v>138</v>
      </c>
      <c r="BV17" t="s">
        <v>138</v>
      </c>
      <c r="BW17" t="s">
        <v>138</v>
      </c>
      <c r="BX17" t="s">
        <v>138</v>
      </c>
      <c r="BY17" s="56">
        <v>961210</v>
      </c>
      <c r="BZ17" s="56">
        <v>108794.00833333333</v>
      </c>
      <c r="CA17" s="56">
        <v>0</v>
      </c>
      <c r="CB17" s="56">
        <v>0</v>
      </c>
      <c r="CC17" s="56">
        <v>0</v>
      </c>
      <c r="CD17" s="56">
        <v>0</v>
      </c>
      <c r="CE17" s="56">
        <v>0</v>
      </c>
      <c r="CF17" s="56">
        <v>0</v>
      </c>
      <c r="CG17" s="56">
        <v>0</v>
      </c>
      <c r="CH17" s="56">
        <v>0</v>
      </c>
      <c r="CI17" s="56">
        <v>0</v>
      </c>
      <c r="CJ17" s="56">
        <v>0</v>
      </c>
      <c r="CK17" s="56">
        <v>0</v>
      </c>
    </row>
    <row r="18" spans="1:89" ht="13" x14ac:dyDescent="0.3">
      <c r="A18" s="135" t="s">
        <v>230</v>
      </c>
      <c r="B18" s="48">
        <v>104610</v>
      </c>
      <c r="C18" s="47" t="s">
        <v>200</v>
      </c>
      <c r="D18" s="49">
        <v>23442</v>
      </c>
      <c r="E18" s="49">
        <v>47208</v>
      </c>
      <c r="F18" s="47" t="s">
        <v>173</v>
      </c>
      <c r="G18" s="47"/>
      <c r="H18" s="47"/>
      <c r="I18" s="41">
        <v>490</v>
      </c>
      <c r="J18" s="41">
        <v>0</v>
      </c>
      <c r="K18" s="41">
        <v>0</v>
      </c>
      <c r="L18" s="41">
        <v>0</v>
      </c>
      <c r="M18" s="41">
        <v>1</v>
      </c>
      <c r="N18" s="41">
        <v>0</v>
      </c>
      <c r="O18" s="138">
        <v>2</v>
      </c>
      <c r="P18" s="147">
        <v>0</v>
      </c>
      <c r="Q18" s="139">
        <v>0</v>
      </c>
      <c r="R18" s="139">
        <v>0</v>
      </c>
      <c r="S18" s="139">
        <v>0</v>
      </c>
      <c r="T18" s="140"/>
      <c r="U18" s="139">
        <v>0</v>
      </c>
      <c r="V18" s="141"/>
      <c r="W18" s="141">
        <v>1</v>
      </c>
      <c r="X18" s="24"/>
      <c r="Y18" s="24">
        <v>42464</v>
      </c>
      <c r="Z18" s="24"/>
      <c r="AA18" s="24"/>
      <c r="AB18" s="24"/>
      <c r="AC18" s="24"/>
      <c r="AD18" s="24"/>
      <c r="AE18" s="24"/>
      <c r="AF18" s="24"/>
      <c r="AG18" s="24"/>
      <c r="AH18" s="31"/>
      <c r="AI18" s="46" t="str">
        <f t="shared" si="0"/>
        <v/>
      </c>
      <c r="AJ18" s="27"/>
      <c r="AK18" s="27"/>
      <c r="AL18" s="27"/>
      <c r="AM18" s="27"/>
      <c r="AN18" s="27"/>
      <c r="AO18" s="27"/>
      <c r="AP18" s="27"/>
      <c r="AQ18" s="29" t="str">
        <f>IF(AND(AD18&lt;&gt;"",AF18="",AG18=""),DATE(YEAR(AD18)+Menu!$E$10,MONTH(AD18)+Menu!$E$11,1),"")</f>
        <v/>
      </c>
      <c r="AR18" s="29" t="str">
        <f t="shared" si="1"/>
        <v/>
      </c>
      <c r="AS18" s="27" t="str">
        <f>IF(AND(AR18&lt;&gt;"",AH18="",AG18=""),DATE(YEAR(AR18)+Menu!$E$13,MONTH(AR18)+Menu!$E$14,1),"")</f>
        <v/>
      </c>
      <c r="AT18" s="27"/>
      <c r="AU18" s="15" t="s">
        <v>138</v>
      </c>
      <c r="AV18" s="15" t="s">
        <v>138</v>
      </c>
      <c r="AW18" s="15" t="s">
        <v>138</v>
      </c>
      <c r="AX18" s="15" t="s">
        <v>138</v>
      </c>
      <c r="AY18" s="15" t="s">
        <v>138</v>
      </c>
      <c r="AZ18" s="15" t="s">
        <v>138</v>
      </c>
      <c r="BA18" s="15" t="s">
        <v>138</v>
      </c>
      <c r="BB18" s="15" t="s">
        <v>138</v>
      </c>
      <c r="BC18" s="15" t="s">
        <v>138</v>
      </c>
      <c r="BD18" s="15" t="s">
        <v>138</v>
      </c>
      <c r="BE18" s="15" t="s">
        <v>138</v>
      </c>
      <c r="BF18" s="15" t="s">
        <v>138</v>
      </c>
      <c r="BG18" s="15" t="s">
        <v>138</v>
      </c>
      <c r="BH18" s="15" t="s">
        <v>138</v>
      </c>
      <c r="BI18" s="16" t="s">
        <v>129</v>
      </c>
      <c r="BJ18" s="15" t="s">
        <v>129</v>
      </c>
      <c r="BK18" s="15" t="s">
        <v>129</v>
      </c>
      <c r="BL18" s="131" t="s">
        <v>129</v>
      </c>
      <c r="BM18" t="s">
        <v>129</v>
      </c>
      <c r="BN18" t="s">
        <v>129</v>
      </c>
      <c r="BO18" t="s">
        <v>129</v>
      </c>
      <c r="BP18" t="s">
        <v>129</v>
      </c>
      <c r="BQ18" t="s">
        <v>129</v>
      </c>
      <c r="BR18" t="s">
        <v>129</v>
      </c>
      <c r="BS18" t="s">
        <v>129</v>
      </c>
      <c r="BT18" t="s">
        <v>129</v>
      </c>
      <c r="BU18" t="s">
        <v>129</v>
      </c>
      <c r="BV18" t="s">
        <v>129</v>
      </c>
      <c r="BW18" t="s">
        <v>138</v>
      </c>
      <c r="BX18" t="s">
        <v>138</v>
      </c>
      <c r="BY18" s="56">
        <v>0</v>
      </c>
      <c r="BZ18" s="56">
        <v>0</v>
      </c>
      <c r="CA18" s="56">
        <v>0</v>
      </c>
      <c r="CB18" s="56">
        <v>0</v>
      </c>
      <c r="CC18" s="56">
        <v>0</v>
      </c>
      <c r="CD18" s="56">
        <v>0</v>
      </c>
      <c r="CE18" s="56">
        <v>0</v>
      </c>
      <c r="CF18" s="56">
        <v>0</v>
      </c>
      <c r="CG18" s="56">
        <v>0</v>
      </c>
      <c r="CH18" s="56">
        <v>0</v>
      </c>
      <c r="CI18" s="56">
        <v>0</v>
      </c>
      <c r="CJ18" s="56">
        <v>0</v>
      </c>
      <c r="CK18" s="56">
        <v>0</v>
      </c>
    </row>
    <row r="19" spans="1:89" ht="13" x14ac:dyDescent="0.3">
      <c r="A19" s="135" t="s">
        <v>313</v>
      </c>
      <c r="B19" s="48">
        <v>104610</v>
      </c>
      <c r="C19" s="47" t="s">
        <v>200</v>
      </c>
      <c r="D19" s="49">
        <v>43101</v>
      </c>
      <c r="E19" s="49">
        <v>73050</v>
      </c>
      <c r="F19" s="47" t="s">
        <v>173</v>
      </c>
      <c r="G19" s="47"/>
      <c r="H19" s="47"/>
      <c r="I19" s="41">
        <v>490</v>
      </c>
      <c r="J19" s="41">
        <v>0</v>
      </c>
      <c r="K19" s="41">
        <v>0</v>
      </c>
      <c r="L19" s="41">
        <v>0</v>
      </c>
      <c r="M19" s="41">
        <v>1</v>
      </c>
      <c r="N19" s="41">
        <v>0</v>
      </c>
      <c r="O19" s="138">
        <v>2</v>
      </c>
      <c r="P19" s="147">
        <v>580834</v>
      </c>
      <c r="Q19" s="139">
        <v>1</v>
      </c>
      <c r="R19" s="139">
        <v>0</v>
      </c>
      <c r="S19" s="139">
        <v>0</v>
      </c>
      <c r="T19" s="140"/>
      <c r="U19" s="139">
        <v>0</v>
      </c>
      <c r="V19" s="141"/>
      <c r="W19" s="141">
        <v>1</v>
      </c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31"/>
      <c r="AI19" s="46"/>
      <c r="AJ19" s="27"/>
      <c r="AK19" s="27"/>
      <c r="AL19" s="27"/>
      <c r="AM19" s="27"/>
      <c r="AN19" s="27"/>
      <c r="AO19" s="27"/>
      <c r="AP19" s="27"/>
      <c r="AQ19" s="29"/>
      <c r="AR19" s="29"/>
      <c r="AS19" s="27"/>
      <c r="AT19" s="27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6"/>
      <c r="BJ19" s="15"/>
      <c r="BK19" s="15" t="s">
        <v>279</v>
      </c>
      <c r="BL19" s="131" t="s">
        <v>279</v>
      </c>
      <c r="BM19" t="s">
        <v>279</v>
      </c>
      <c r="BN19" t="s">
        <v>279</v>
      </c>
      <c r="BO19" t="s">
        <v>279</v>
      </c>
      <c r="BP19" t="s">
        <v>279</v>
      </c>
      <c r="BQ19" t="s">
        <v>279</v>
      </c>
      <c r="BR19" t="s">
        <v>279</v>
      </c>
      <c r="BS19" t="s">
        <v>279</v>
      </c>
      <c r="BT19" t="s">
        <v>279</v>
      </c>
      <c r="BU19" t="s">
        <v>279</v>
      </c>
      <c r="BV19" t="s">
        <v>279</v>
      </c>
      <c r="BW19" t="s">
        <v>279</v>
      </c>
      <c r="BX19" t="s">
        <v>279</v>
      </c>
      <c r="BY19" s="56">
        <v>580834</v>
      </c>
      <c r="BZ19" s="56">
        <v>580834</v>
      </c>
      <c r="CA19" s="56">
        <v>580834</v>
      </c>
      <c r="CB19" s="56">
        <v>580834</v>
      </c>
      <c r="CC19" s="56">
        <v>580834</v>
      </c>
      <c r="CD19" s="56">
        <v>580834</v>
      </c>
      <c r="CE19" s="56">
        <v>580834</v>
      </c>
      <c r="CF19" s="56">
        <v>580834</v>
      </c>
      <c r="CG19" s="56">
        <v>580834</v>
      </c>
      <c r="CH19" s="56">
        <v>580834</v>
      </c>
      <c r="CI19" s="56">
        <v>580834</v>
      </c>
      <c r="CJ19" s="56">
        <v>580834</v>
      </c>
      <c r="CK19" s="56">
        <v>580834</v>
      </c>
    </row>
    <row r="20" spans="1:89" ht="13" x14ac:dyDescent="0.3">
      <c r="A20" s="135" t="s">
        <v>314</v>
      </c>
      <c r="B20" s="48">
        <v>104610</v>
      </c>
      <c r="C20" s="47" t="s">
        <v>200</v>
      </c>
      <c r="D20" s="49">
        <v>43101</v>
      </c>
      <c r="E20" s="49">
        <v>73050</v>
      </c>
      <c r="F20" s="47" t="s">
        <v>173</v>
      </c>
      <c r="G20" s="47"/>
      <c r="H20" s="47"/>
      <c r="I20" s="41">
        <v>491</v>
      </c>
      <c r="J20" s="41">
        <v>0</v>
      </c>
      <c r="K20" s="41">
        <v>0</v>
      </c>
      <c r="L20" s="41">
        <v>0</v>
      </c>
      <c r="M20" s="41">
        <v>1</v>
      </c>
      <c r="N20" s="41">
        <v>0</v>
      </c>
      <c r="O20" s="138">
        <v>2</v>
      </c>
      <c r="P20" s="147">
        <v>71000</v>
      </c>
      <c r="Q20" s="139">
        <v>1</v>
      </c>
      <c r="R20" s="139">
        <v>0</v>
      </c>
      <c r="S20" s="139">
        <v>0</v>
      </c>
      <c r="T20" s="140"/>
      <c r="U20" s="139">
        <v>0</v>
      </c>
      <c r="V20" s="141"/>
      <c r="W20" s="141">
        <v>1</v>
      </c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31"/>
      <c r="AI20" s="46"/>
      <c r="AJ20" s="27"/>
      <c r="AK20" s="27"/>
      <c r="AL20" s="27"/>
      <c r="AM20" s="27"/>
      <c r="AN20" s="27"/>
      <c r="AO20" s="27"/>
      <c r="AP20" s="27"/>
      <c r="AQ20" s="29"/>
      <c r="AR20" s="29"/>
      <c r="AS20" s="27"/>
      <c r="AT20" s="27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6"/>
      <c r="BJ20" s="15"/>
      <c r="BK20" s="15" t="s">
        <v>279</v>
      </c>
      <c r="BL20" s="131" t="s">
        <v>279</v>
      </c>
      <c r="BM20" t="s">
        <v>279</v>
      </c>
      <c r="BN20" t="s">
        <v>279</v>
      </c>
      <c r="BO20" t="s">
        <v>279</v>
      </c>
      <c r="BP20" t="s">
        <v>279</v>
      </c>
      <c r="BQ20" t="s">
        <v>279</v>
      </c>
      <c r="BR20" t="s">
        <v>279</v>
      </c>
      <c r="BS20" t="s">
        <v>279</v>
      </c>
      <c r="BT20" t="s">
        <v>279</v>
      </c>
      <c r="BU20" t="s">
        <v>279</v>
      </c>
      <c r="BV20" t="s">
        <v>279</v>
      </c>
      <c r="BW20" t="s">
        <v>279</v>
      </c>
      <c r="BX20" t="s">
        <v>279</v>
      </c>
      <c r="BY20" s="56">
        <v>71000</v>
      </c>
      <c r="BZ20" s="56">
        <v>71000</v>
      </c>
      <c r="CA20" s="56">
        <v>71000</v>
      </c>
      <c r="CB20" s="56">
        <v>71000</v>
      </c>
      <c r="CC20" s="56">
        <v>71000</v>
      </c>
      <c r="CD20" s="56">
        <v>71000</v>
      </c>
      <c r="CE20" s="56">
        <v>71000</v>
      </c>
      <c r="CF20" s="56">
        <v>71000</v>
      </c>
      <c r="CG20" s="56">
        <v>71000</v>
      </c>
      <c r="CH20" s="56">
        <v>71000</v>
      </c>
      <c r="CI20" s="56">
        <v>71000</v>
      </c>
      <c r="CJ20" s="56">
        <v>71000</v>
      </c>
      <c r="CK20" s="56">
        <v>71000</v>
      </c>
    </row>
    <row r="21" spans="1:89" ht="13" x14ac:dyDescent="0.3">
      <c r="A21" s="135" t="s">
        <v>315</v>
      </c>
      <c r="B21" s="48">
        <v>104610</v>
      </c>
      <c r="C21" s="47" t="s">
        <v>200</v>
      </c>
      <c r="D21" s="49">
        <v>43101</v>
      </c>
      <c r="E21" s="49">
        <v>73050</v>
      </c>
      <c r="F21" s="47" t="s">
        <v>173</v>
      </c>
      <c r="G21" s="47"/>
      <c r="H21" s="47"/>
      <c r="I21" s="41">
        <v>492</v>
      </c>
      <c r="J21" s="41">
        <v>0</v>
      </c>
      <c r="K21" s="41">
        <v>0</v>
      </c>
      <c r="L21" s="41">
        <v>0</v>
      </c>
      <c r="M21" s="41">
        <v>1</v>
      </c>
      <c r="N21" s="41">
        <v>0</v>
      </c>
      <c r="O21" s="138">
        <v>2</v>
      </c>
      <c r="P21" s="147">
        <v>42000</v>
      </c>
      <c r="Q21" s="139">
        <v>1</v>
      </c>
      <c r="R21" s="139">
        <v>0</v>
      </c>
      <c r="S21" s="139">
        <v>0</v>
      </c>
      <c r="T21" s="140"/>
      <c r="U21" s="139">
        <v>0</v>
      </c>
      <c r="V21" s="141"/>
      <c r="W21" s="141">
        <v>1</v>
      </c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31"/>
      <c r="AI21" s="46"/>
      <c r="AJ21" s="27"/>
      <c r="AK21" s="27"/>
      <c r="AL21" s="27"/>
      <c r="AM21" s="27"/>
      <c r="AN21" s="27"/>
      <c r="AO21" s="27"/>
      <c r="AP21" s="27"/>
      <c r="AQ21" s="29"/>
      <c r="AR21" s="29"/>
      <c r="AS21" s="27"/>
      <c r="AT21" s="27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6"/>
      <c r="BJ21" s="15"/>
      <c r="BK21" s="15" t="s">
        <v>279</v>
      </c>
      <c r="BL21" s="131" t="s">
        <v>279</v>
      </c>
      <c r="BM21" t="s">
        <v>279</v>
      </c>
      <c r="BN21" t="s">
        <v>279</v>
      </c>
      <c r="BO21" t="s">
        <v>279</v>
      </c>
      <c r="BP21" t="s">
        <v>279</v>
      </c>
      <c r="BQ21" t="s">
        <v>279</v>
      </c>
      <c r="BR21" t="s">
        <v>279</v>
      </c>
      <c r="BS21" t="s">
        <v>279</v>
      </c>
      <c r="BT21" t="s">
        <v>279</v>
      </c>
      <c r="BU21" t="s">
        <v>279</v>
      </c>
      <c r="BV21" t="s">
        <v>279</v>
      </c>
      <c r="BW21" t="s">
        <v>279</v>
      </c>
      <c r="BX21" t="s">
        <v>279</v>
      </c>
      <c r="BY21" s="56">
        <v>42000</v>
      </c>
      <c r="BZ21" s="56">
        <v>42000</v>
      </c>
      <c r="CA21" s="56">
        <v>42000</v>
      </c>
      <c r="CB21" s="56">
        <v>42000</v>
      </c>
      <c r="CC21" s="56">
        <v>42000</v>
      </c>
      <c r="CD21" s="56">
        <v>42000</v>
      </c>
      <c r="CE21" s="56">
        <v>42000</v>
      </c>
      <c r="CF21" s="56">
        <v>42000</v>
      </c>
      <c r="CG21" s="56">
        <v>42000</v>
      </c>
      <c r="CH21" s="56">
        <v>42000</v>
      </c>
      <c r="CI21" s="56">
        <v>42000</v>
      </c>
      <c r="CJ21" s="56">
        <v>42000</v>
      </c>
      <c r="CK21" s="56">
        <v>42000</v>
      </c>
    </row>
    <row r="22" spans="1:89" ht="13" x14ac:dyDescent="0.3">
      <c r="A22" s="135" t="s">
        <v>435</v>
      </c>
      <c r="B22" s="48">
        <v>104610</v>
      </c>
      <c r="C22" s="47" t="s">
        <v>200</v>
      </c>
      <c r="D22" s="49">
        <v>43101</v>
      </c>
      <c r="E22" s="49">
        <v>73050</v>
      </c>
      <c r="F22" s="47" t="s">
        <v>173</v>
      </c>
      <c r="G22" s="47"/>
      <c r="H22" s="47"/>
      <c r="I22" s="41">
        <v>493</v>
      </c>
      <c r="J22" s="41">
        <v>0</v>
      </c>
      <c r="K22" s="41">
        <v>0</v>
      </c>
      <c r="L22" s="41">
        <v>0</v>
      </c>
      <c r="M22" s="41">
        <v>1</v>
      </c>
      <c r="N22" s="41">
        <v>0</v>
      </c>
      <c r="O22" s="138">
        <v>2</v>
      </c>
      <c r="P22" s="147">
        <v>15000</v>
      </c>
      <c r="Q22" s="139">
        <v>1</v>
      </c>
      <c r="R22" s="139">
        <v>0</v>
      </c>
      <c r="S22" s="139">
        <v>0</v>
      </c>
      <c r="T22" s="140"/>
      <c r="U22" s="139">
        <v>0</v>
      </c>
      <c r="V22" s="141"/>
      <c r="W22" s="141">
        <v>1</v>
      </c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31"/>
      <c r="AI22" s="46"/>
      <c r="AJ22" s="27"/>
      <c r="AK22" s="27"/>
      <c r="AL22" s="27"/>
      <c r="AM22" s="27"/>
      <c r="AN22" s="27"/>
      <c r="AO22" s="27"/>
      <c r="AP22" s="27"/>
      <c r="AQ22" s="29"/>
      <c r="AR22" s="29"/>
      <c r="AS22" s="27"/>
      <c r="AT22" s="27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6"/>
      <c r="BJ22" s="15"/>
      <c r="BK22" s="15" t="s">
        <v>279</v>
      </c>
      <c r="BL22" s="131" t="s">
        <v>279</v>
      </c>
      <c r="BM22" t="s">
        <v>279</v>
      </c>
      <c r="BN22" t="s">
        <v>279</v>
      </c>
      <c r="BO22" t="s">
        <v>279</v>
      </c>
      <c r="BP22" t="s">
        <v>279</v>
      </c>
      <c r="BQ22" t="s">
        <v>279</v>
      </c>
      <c r="BR22" t="s">
        <v>279</v>
      </c>
      <c r="BS22" t="s">
        <v>279</v>
      </c>
      <c r="BT22" t="s">
        <v>279</v>
      </c>
      <c r="BU22" t="s">
        <v>279</v>
      </c>
      <c r="BV22" t="s">
        <v>279</v>
      </c>
      <c r="BW22" t="s">
        <v>279</v>
      </c>
      <c r="BX22" t="s">
        <v>279</v>
      </c>
      <c r="BY22" s="56">
        <v>15000</v>
      </c>
      <c r="BZ22" s="56">
        <v>15000</v>
      </c>
      <c r="CA22" s="56">
        <v>15000</v>
      </c>
      <c r="CB22" s="56">
        <v>15000</v>
      </c>
      <c r="CC22" s="56">
        <v>15000</v>
      </c>
      <c r="CD22" s="56">
        <v>15000</v>
      </c>
      <c r="CE22" s="56">
        <v>15000</v>
      </c>
      <c r="CF22" s="56">
        <v>15000</v>
      </c>
      <c r="CG22" s="56">
        <v>15000</v>
      </c>
      <c r="CH22" s="56">
        <v>15000</v>
      </c>
      <c r="CI22" s="56">
        <v>15000</v>
      </c>
      <c r="CJ22" s="56">
        <v>15000</v>
      </c>
      <c r="CK22" s="56">
        <v>15000</v>
      </c>
    </row>
    <row r="23" spans="1:89" ht="13" x14ac:dyDescent="0.3">
      <c r="A23" s="135" t="s">
        <v>11</v>
      </c>
      <c r="B23" s="48">
        <v>117014</v>
      </c>
      <c r="C23" s="47" t="s">
        <v>196</v>
      </c>
      <c r="D23" s="49">
        <v>20703</v>
      </c>
      <c r="E23" s="49">
        <v>44469</v>
      </c>
      <c r="F23" s="47" t="s">
        <v>173</v>
      </c>
      <c r="G23" s="47"/>
      <c r="H23" s="47"/>
      <c r="I23" s="41">
        <v>421</v>
      </c>
      <c r="J23" s="41">
        <v>1</v>
      </c>
      <c r="K23" s="41">
        <v>0</v>
      </c>
      <c r="L23" s="41">
        <v>0</v>
      </c>
      <c r="M23" s="41">
        <v>0</v>
      </c>
      <c r="N23" s="41">
        <v>0</v>
      </c>
      <c r="O23" s="138">
        <v>0</v>
      </c>
      <c r="P23" s="147">
        <v>118837</v>
      </c>
      <c r="Q23" s="139">
        <v>1</v>
      </c>
      <c r="R23" s="139">
        <v>1</v>
      </c>
      <c r="S23" s="139">
        <v>0</v>
      </c>
      <c r="T23" s="140"/>
      <c r="U23" s="139">
        <v>0</v>
      </c>
      <c r="V23" s="141"/>
      <c r="W23" s="141">
        <v>0.25</v>
      </c>
      <c r="X23" s="24"/>
      <c r="Y23" s="24"/>
      <c r="Z23" s="24"/>
      <c r="AA23" s="24"/>
      <c r="AB23" s="24"/>
      <c r="AC23" s="24">
        <v>35824</v>
      </c>
      <c r="AD23" s="24"/>
      <c r="AE23" s="24"/>
      <c r="AF23" s="24"/>
      <c r="AG23" s="24">
        <v>38353</v>
      </c>
      <c r="AH23" s="31"/>
      <c r="AI23" s="46" t="str">
        <f t="shared" ref="AI23:AI33" si="2">IF(YEAR(E23)&lt;2018,YEAR(E23),"")</f>
        <v/>
      </c>
      <c r="AJ23" s="27"/>
      <c r="AK23" s="27"/>
      <c r="AL23" s="27"/>
      <c r="AM23" s="27"/>
      <c r="AN23" s="27"/>
      <c r="AO23" s="27"/>
      <c r="AP23" s="27"/>
      <c r="AQ23" s="29" t="str">
        <f>IF(AND(AD23&lt;&gt;"",AF23="",AG23=""),DATE(YEAR(AD23)+Menu!$E$10,MONTH(AD23)+Menu!$E$11,1),"")</f>
        <v/>
      </c>
      <c r="AR23" s="29" t="str">
        <f t="shared" ref="AR23:AR30" si="3">IF(AF23&lt;&gt;0,AF23,AQ23)</f>
        <v/>
      </c>
      <c r="AS23" s="27" t="str">
        <f>IF(AND(AR23&lt;&gt;"",AH23="",AG23=""),DATE(YEAR(AR23)+Menu!$E$13,MONTH(AR23)+Menu!$E$14,1),"")</f>
        <v/>
      </c>
      <c r="AT23" s="27"/>
      <c r="AU23" s="16" t="s">
        <v>132</v>
      </c>
      <c r="AV23" s="16" t="s">
        <v>132</v>
      </c>
      <c r="AW23" s="15" t="s">
        <v>132</v>
      </c>
      <c r="AX23" s="16" t="s">
        <v>135</v>
      </c>
      <c r="AY23" s="16" t="s">
        <v>135</v>
      </c>
      <c r="AZ23" s="16" t="s">
        <v>135</v>
      </c>
      <c r="BA23" s="16" t="s">
        <v>135</v>
      </c>
      <c r="BB23" s="16" t="s">
        <v>135</v>
      </c>
      <c r="BC23" s="16" t="s">
        <v>135</v>
      </c>
      <c r="BD23" s="16" t="s">
        <v>135</v>
      </c>
      <c r="BE23" s="16" t="s">
        <v>135</v>
      </c>
      <c r="BF23" s="16" t="s">
        <v>135</v>
      </c>
      <c r="BG23" s="16" t="s">
        <v>135</v>
      </c>
      <c r="BH23" s="16" t="s">
        <v>135</v>
      </c>
      <c r="BI23" s="16" t="s">
        <v>135</v>
      </c>
      <c r="BJ23" s="15" t="s">
        <v>135</v>
      </c>
      <c r="BK23" s="15" t="s">
        <v>135</v>
      </c>
      <c r="BL23" s="131" t="s">
        <v>135</v>
      </c>
      <c r="BM23" t="s">
        <v>135</v>
      </c>
      <c r="BN23" t="s">
        <v>138</v>
      </c>
      <c r="BO23" t="s">
        <v>138</v>
      </c>
      <c r="BP23" t="s">
        <v>138</v>
      </c>
      <c r="BQ23" t="s">
        <v>138</v>
      </c>
      <c r="BR23" t="s">
        <v>138</v>
      </c>
      <c r="BS23" t="s">
        <v>138</v>
      </c>
      <c r="BT23" t="s">
        <v>138</v>
      </c>
      <c r="BU23" t="s">
        <v>138</v>
      </c>
      <c r="BV23" t="s">
        <v>138</v>
      </c>
      <c r="BW23" t="s">
        <v>138</v>
      </c>
      <c r="BX23" t="s">
        <v>138</v>
      </c>
      <c r="BY23" s="56">
        <v>118837</v>
      </c>
      <c r="BZ23" s="56">
        <v>132796.375</v>
      </c>
      <c r="CA23" s="56">
        <v>99597.28125</v>
      </c>
      <c r="CB23" s="56">
        <v>0</v>
      </c>
      <c r="CC23" s="56">
        <v>0</v>
      </c>
      <c r="CD23" s="56">
        <v>0</v>
      </c>
      <c r="CE23" s="56">
        <v>0</v>
      </c>
      <c r="CF23" s="56">
        <v>0</v>
      </c>
      <c r="CG23" s="56">
        <v>0</v>
      </c>
      <c r="CH23" s="56">
        <v>0</v>
      </c>
      <c r="CI23" s="56">
        <v>0</v>
      </c>
      <c r="CJ23" s="56">
        <v>0</v>
      </c>
      <c r="CK23" s="56">
        <v>0</v>
      </c>
    </row>
    <row r="24" spans="1:89" ht="13" x14ac:dyDescent="0.3">
      <c r="A24" s="135" t="s">
        <v>12</v>
      </c>
      <c r="B24" s="48">
        <v>104626</v>
      </c>
      <c r="C24" s="47" t="s">
        <v>200</v>
      </c>
      <c r="D24" s="49">
        <v>21109</v>
      </c>
      <c r="E24" s="49">
        <v>44865</v>
      </c>
      <c r="F24" s="47" t="s">
        <v>173</v>
      </c>
      <c r="G24" s="47"/>
      <c r="H24" s="47"/>
      <c r="I24" s="41">
        <v>851</v>
      </c>
      <c r="J24" s="41">
        <v>0</v>
      </c>
      <c r="K24" s="41">
        <v>0</v>
      </c>
      <c r="L24" s="41">
        <v>0</v>
      </c>
      <c r="M24" s="41">
        <v>1</v>
      </c>
      <c r="N24" s="41">
        <v>0</v>
      </c>
      <c r="O24" s="138">
        <v>2</v>
      </c>
      <c r="P24" s="147">
        <f>157527*1.225</f>
        <v>192970.57500000001</v>
      </c>
      <c r="Q24" s="139">
        <v>1</v>
      </c>
      <c r="R24" s="139">
        <v>0</v>
      </c>
      <c r="S24" s="139">
        <v>0</v>
      </c>
      <c r="T24" s="140"/>
      <c r="U24" s="139">
        <v>0</v>
      </c>
      <c r="V24" s="141"/>
      <c r="W24" s="141">
        <v>1</v>
      </c>
      <c r="X24" s="24"/>
      <c r="Y24" s="24">
        <v>39888</v>
      </c>
      <c r="Z24" s="24"/>
      <c r="AA24" s="24"/>
      <c r="AB24" s="24">
        <v>42068</v>
      </c>
      <c r="AC24" s="24"/>
      <c r="AD24" s="24"/>
      <c r="AE24" s="24"/>
      <c r="AF24" s="24"/>
      <c r="AG24" s="24"/>
      <c r="AH24" s="31"/>
      <c r="AI24" s="46" t="str">
        <f t="shared" si="2"/>
        <v/>
      </c>
      <c r="AJ24" s="27"/>
      <c r="AK24" s="27"/>
      <c r="AL24" s="27"/>
      <c r="AM24" s="27"/>
      <c r="AN24" s="27"/>
      <c r="AO24" s="27"/>
      <c r="AP24" s="27"/>
      <c r="AQ24" s="29" t="str">
        <f>IF(AND(AD24&lt;&gt;"",AF24="",AG24=""),DATE(YEAR(AD24)+Menu!$E$10,MONTH(AD24)+Menu!$E$11,1),"")</f>
        <v/>
      </c>
      <c r="AR24" s="29" t="str">
        <f t="shared" si="3"/>
        <v/>
      </c>
      <c r="AS24" s="27" t="str">
        <f>IF(AND(AR24&lt;&gt;"",AH24="",AG24=""),DATE(YEAR(AR24)+Menu!$E$13,MONTH(AR24)+Menu!$E$14,1),"")</f>
        <v/>
      </c>
      <c r="AT24" s="27"/>
      <c r="AU24" s="16" t="s">
        <v>138</v>
      </c>
      <c r="AV24" s="16" t="s">
        <v>138</v>
      </c>
      <c r="AW24" s="15" t="s">
        <v>138</v>
      </c>
      <c r="AX24" s="16" t="s">
        <v>138</v>
      </c>
      <c r="AY24" s="16" t="s">
        <v>138</v>
      </c>
      <c r="AZ24" s="16" t="s">
        <v>138</v>
      </c>
      <c r="BA24" s="16" t="s">
        <v>138</v>
      </c>
      <c r="BB24" s="16" t="s">
        <v>129</v>
      </c>
      <c r="BC24" s="16" t="s">
        <v>129</v>
      </c>
      <c r="BD24" s="16" t="s">
        <v>129</v>
      </c>
      <c r="BE24" s="16" t="s">
        <v>129</v>
      </c>
      <c r="BF24" s="16" t="s">
        <v>129</v>
      </c>
      <c r="BG24" s="16" t="s">
        <v>129</v>
      </c>
      <c r="BH24" s="16" t="s">
        <v>131</v>
      </c>
      <c r="BI24" s="16" t="s">
        <v>131</v>
      </c>
      <c r="BJ24" s="15" t="s">
        <v>131</v>
      </c>
      <c r="BK24" s="15" t="s">
        <v>131</v>
      </c>
      <c r="BL24" s="131" t="s">
        <v>131</v>
      </c>
      <c r="BM24" t="s">
        <v>131</v>
      </c>
      <c r="BN24" t="s">
        <v>131</v>
      </c>
      <c r="BO24" t="s">
        <v>131</v>
      </c>
      <c r="BP24" t="s">
        <v>138</v>
      </c>
      <c r="BQ24" t="s">
        <v>138</v>
      </c>
      <c r="BR24" t="s">
        <v>138</v>
      </c>
      <c r="BS24" t="s">
        <v>138</v>
      </c>
      <c r="BT24" t="s">
        <v>138</v>
      </c>
      <c r="BU24" t="s">
        <v>138</v>
      </c>
      <c r="BV24" t="s">
        <v>138</v>
      </c>
      <c r="BW24" t="s">
        <v>138</v>
      </c>
      <c r="BX24" t="s">
        <v>138</v>
      </c>
      <c r="BY24" s="56">
        <v>192970.57500000001</v>
      </c>
      <c r="BZ24" s="56">
        <v>192970.57500000001</v>
      </c>
      <c r="CA24" s="56">
        <v>192970.57500000001</v>
      </c>
      <c r="CB24" s="56">
        <v>160808.8125</v>
      </c>
      <c r="CC24" s="56">
        <v>0</v>
      </c>
      <c r="CD24" s="56">
        <v>0</v>
      </c>
      <c r="CE24" s="56">
        <v>0</v>
      </c>
      <c r="CF24" s="56">
        <v>0</v>
      </c>
      <c r="CG24" s="56">
        <v>0</v>
      </c>
      <c r="CH24" s="56">
        <v>0</v>
      </c>
      <c r="CI24" s="56">
        <v>0</v>
      </c>
      <c r="CJ24" s="56">
        <v>0</v>
      </c>
      <c r="CK24" s="56">
        <v>0</v>
      </c>
    </row>
    <row r="25" spans="1:89" ht="13" x14ac:dyDescent="0.3">
      <c r="A25" s="135" t="s">
        <v>13</v>
      </c>
      <c r="B25" s="48">
        <v>210231</v>
      </c>
      <c r="C25" s="47" t="s">
        <v>196</v>
      </c>
      <c r="D25" s="49">
        <v>29477</v>
      </c>
      <c r="E25" s="49">
        <v>52870</v>
      </c>
      <c r="F25" s="47" t="s">
        <v>172</v>
      </c>
      <c r="G25" s="47">
        <v>2011</v>
      </c>
      <c r="H25" s="47" t="s">
        <v>133</v>
      </c>
      <c r="I25" s="41">
        <v>438</v>
      </c>
      <c r="J25" s="41">
        <v>1</v>
      </c>
      <c r="K25" s="41">
        <v>0</v>
      </c>
      <c r="L25" s="41">
        <v>0</v>
      </c>
      <c r="M25" s="41">
        <v>0</v>
      </c>
      <c r="N25" s="41">
        <v>0</v>
      </c>
      <c r="O25" s="138">
        <v>0</v>
      </c>
      <c r="P25" s="147">
        <v>628568</v>
      </c>
      <c r="Q25" s="139">
        <v>1</v>
      </c>
      <c r="R25" s="139">
        <v>0</v>
      </c>
      <c r="S25" s="139">
        <v>0</v>
      </c>
      <c r="T25" s="140"/>
      <c r="U25" s="139">
        <v>0</v>
      </c>
      <c r="V25" s="141"/>
      <c r="W25" s="141">
        <v>1</v>
      </c>
      <c r="X25" s="24"/>
      <c r="Y25" s="24"/>
      <c r="Z25" s="24"/>
      <c r="AA25" s="24"/>
      <c r="AB25" s="24"/>
      <c r="AC25" s="24"/>
      <c r="AD25" s="24">
        <v>40695</v>
      </c>
      <c r="AE25" s="24"/>
      <c r="AF25" s="24">
        <v>43466</v>
      </c>
      <c r="AG25" s="24"/>
      <c r="AH25" s="31"/>
      <c r="AI25" s="46" t="str">
        <f t="shared" si="2"/>
        <v/>
      </c>
      <c r="AJ25" s="27"/>
      <c r="AK25" s="27"/>
      <c r="AL25" s="27"/>
      <c r="AM25" s="27"/>
      <c r="AN25" s="27"/>
      <c r="AO25" s="27"/>
      <c r="AP25" s="27"/>
      <c r="AQ25" s="29" t="str">
        <f>IF(AND(AD25&lt;&gt;"",AF25="",AG25=""),DATE(YEAR(AD25)+Menu!$E$10,MONTH(AD25)+Menu!$E$11,1),"")</f>
        <v/>
      </c>
      <c r="AR25" s="29">
        <f t="shared" si="3"/>
        <v>43466</v>
      </c>
      <c r="AS25" s="27">
        <f>IF(AND(AR25&lt;&gt;"",AH25="",AG25=""),DATE(YEAR(AR25)+Menu!$E$13,MONTH(AR25)+Menu!$E$14,1),"")</f>
        <v>45931</v>
      </c>
      <c r="AT25" s="27"/>
      <c r="AU25" s="16" t="s">
        <v>138</v>
      </c>
      <c r="AV25" s="16" t="s">
        <v>138</v>
      </c>
      <c r="AW25" s="15" t="s">
        <v>138</v>
      </c>
      <c r="AX25" s="16" t="s">
        <v>138</v>
      </c>
      <c r="AY25" s="16" t="s">
        <v>138</v>
      </c>
      <c r="AZ25" s="16" t="s">
        <v>138</v>
      </c>
      <c r="BA25" s="16" t="s">
        <v>138</v>
      </c>
      <c r="BB25" s="16" t="s">
        <v>138</v>
      </c>
      <c r="BC25" s="16" t="s">
        <v>138</v>
      </c>
      <c r="BD25" s="16" t="s">
        <v>133</v>
      </c>
      <c r="BE25" s="16" t="s">
        <v>133</v>
      </c>
      <c r="BF25" s="16" t="s">
        <v>133</v>
      </c>
      <c r="BG25" s="16" t="s">
        <v>133</v>
      </c>
      <c r="BH25" s="16" t="s">
        <v>133</v>
      </c>
      <c r="BI25" s="16" t="s">
        <v>133</v>
      </c>
      <c r="BJ25" s="15" t="s">
        <v>133</v>
      </c>
      <c r="BK25" s="15" t="s">
        <v>133</v>
      </c>
      <c r="BL25" s="131" t="s">
        <v>134</v>
      </c>
      <c r="BM25" t="s">
        <v>134</v>
      </c>
      <c r="BN25" t="s">
        <v>134</v>
      </c>
      <c r="BO25" t="s">
        <v>134</v>
      </c>
      <c r="BP25" t="s">
        <v>134</v>
      </c>
      <c r="BQ25" t="s">
        <v>134</v>
      </c>
      <c r="BR25" t="s">
        <v>135</v>
      </c>
      <c r="BS25" t="s">
        <v>135</v>
      </c>
      <c r="BT25" t="s">
        <v>135</v>
      </c>
      <c r="BU25" t="s">
        <v>135</v>
      </c>
      <c r="BV25" t="s">
        <v>135</v>
      </c>
      <c r="BW25" t="s">
        <v>135</v>
      </c>
      <c r="BX25" t="s">
        <v>135</v>
      </c>
      <c r="BY25" s="56">
        <v>628568</v>
      </c>
      <c r="BZ25" s="56">
        <v>721188</v>
      </c>
      <c r="CA25" s="56">
        <v>721188</v>
      </c>
      <c r="CB25" s="56">
        <v>721188</v>
      </c>
      <c r="CC25" s="56">
        <v>721188</v>
      </c>
      <c r="CD25" s="56">
        <v>721188</v>
      </c>
      <c r="CE25" s="56">
        <v>735147.375</v>
      </c>
      <c r="CF25" s="56">
        <v>790984.875</v>
      </c>
      <c r="CG25" s="56">
        <v>846822.375</v>
      </c>
      <c r="CH25" s="56">
        <v>902659.875</v>
      </c>
      <c r="CI25" s="56">
        <v>958497.375</v>
      </c>
      <c r="CJ25" s="56">
        <v>1000375</v>
      </c>
      <c r="CK25" s="56">
        <v>1000375</v>
      </c>
    </row>
    <row r="26" spans="1:89" ht="13" x14ac:dyDescent="0.3">
      <c r="A26" s="135" t="s">
        <v>234</v>
      </c>
      <c r="B26" s="22">
        <v>188690</v>
      </c>
      <c r="C26" s="47" t="s">
        <v>198</v>
      </c>
      <c r="D26" s="49">
        <v>26271</v>
      </c>
      <c r="E26" s="49">
        <v>50040</v>
      </c>
      <c r="F26" s="47" t="s">
        <v>173</v>
      </c>
      <c r="G26" s="47">
        <v>2009</v>
      </c>
      <c r="H26" s="47"/>
      <c r="I26" s="41">
        <v>407</v>
      </c>
      <c r="J26" s="41">
        <v>0</v>
      </c>
      <c r="K26" s="41">
        <v>0</v>
      </c>
      <c r="L26" s="41">
        <v>1</v>
      </c>
      <c r="M26" s="41">
        <v>0</v>
      </c>
      <c r="N26" s="41">
        <v>0</v>
      </c>
      <c r="O26" s="138">
        <v>2</v>
      </c>
      <c r="P26" s="147">
        <f>156087*0.75</f>
        <v>117065.25</v>
      </c>
      <c r="Q26" s="139">
        <v>1</v>
      </c>
      <c r="R26" s="139">
        <v>0</v>
      </c>
      <c r="S26" s="139">
        <v>0</v>
      </c>
      <c r="T26" s="140"/>
      <c r="U26" s="139">
        <v>0</v>
      </c>
      <c r="V26" s="141"/>
      <c r="W26" s="141">
        <v>0.75</v>
      </c>
      <c r="X26" s="24"/>
      <c r="Y26" s="24">
        <v>42464</v>
      </c>
      <c r="Z26" s="24"/>
      <c r="AA26" s="24"/>
      <c r="AB26" s="24"/>
      <c r="AC26" s="24"/>
      <c r="AD26" s="24"/>
      <c r="AE26" s="24"/>
      <c r="AF26" s="24"/>
      <c r="AG26" s="24"/>
      <c r="AH26" s="31"/>
      <c r="AI26" s="46" t="str">
        <f t="shared" si="2"/>
        <v/>
      </c>
      <c r="AJ26" s="27"/>
      <c r="AK26" s="27"/>
      <c r="AL26" s="27"/>
      <c r="AM26" s="27"/>
      <c r="AN26" s="27"/>
      <c r="AO26" s="27"/>
      <c r="AP26" s="27"/>
      <c r="AQ26" s="29" t="str">
        <f>IF(AND(AD26&lt;&gt;"",AF26="",AG26=""),DATE(YEAR(AD26)+Menu!$E$10,MONTH(AD26)+Menu!$E$11,1),"")</f>
        <v/>
      </c>
      <c r="AR26" s="29" t="str">
        <f t="shared" si="3"/>
        <v/>
      </c>
      <c r="AS26" s="27" t="str">
        <f>IF(AND(AR26&lt;&gt;"",AH26="",AG26=""),DATE(YEAR(AR26)+Menu!$E$13,MONTH(AR26)+Menu!$E$14,1),"")</f>
        <v/>
      </c>
      <c r="AT26" s="27"/>
      <c r="AU26" s="15" t="s">
        <v>138</v>
      </c>
      <c r="AV26" s="15" t="s">
        <v>138</v>
      </c>
      <c r="AW26" s="15" t="s">
        <v>138</v>
      </c>
      <c r="AX26" s="15" t="s">
        <v>138</v>
      </c>
      <c r="AY26" s="15" t="s">
        <v>138</v>
      </c>
      <c r="AZ26" s="15" t="s">
        <v>138</v>
      </c>
      <c r="BA26" s="15" t="s">
        <v>138</v>
      </c>
      <c r="BB26" s="15" t="s">
        <v>138</v>
      </c>
      <c r="BC26" s="15" t="s">
        <v>138</v>
      </c>
      <c r="BD26" s="15" t="s">
        <v>138</v>
      </c>
      <c r="BE26" s="15" t="s">
        <v>138</v>
      </c>
      <c r="BF26" s="15" t="s">
        <v>138</v>
      </c>
      <c r="BG26" s="15" t="s">
        <v>138</v>
      </c>
      <c r="BH26" s="15" t="s">
        <v>138</v>
      </c>
      <c r="BI26" s="16" t="s">
        <v>129</v>
      </c>
      <c r="BJ26" s="15" t="s">
        <v>129</v>
      </c>
      <c r="BK26" s="15" t="s">
        <v>129</v>
      </c>
      <c r="BL26" s="131" t="s">
        <v>129</v>
      </c>
      <c r="BM26" t="s">
        <v>129</v>
      </c>
      <c r="BN26" t="s">
        <v>129</v>
      </c>
      <c r="BO26" t="s">
        <v>129</v>
      </c>
      <c r="BP26" t="s">
        <v>129</v>
      </c>
      <c r="BQ26" t="s">
        <v>129</v>
      </c>
      <c r="BR26" t="s">
        <v>129</v>
      </c>
      <c r="BS26" t="s">
        <v>129</v>
      </c>
      <c r="BT26" t="s">
        <v>129</v>
      </c>
      <c r="BU26" t="s">
        <v>129</v>
      </c>
      <c r="BV26" t="s">
        <v>129</v>
      </c>
      <c r="BW26" t="s">
        <v>129</v>
      </c>
      <c r="BX26" t="s">
        <v>129</v>
      </c>
      <c r="BY26" s="56">
        <v>117065.25</v>
      </c>
      <c r="BZ26" s="56">
        <v>117065.25</v>
      </c>
      <c r="CA26" s="56">
        <v>117065.25</v>
      </c>
      <c r="CB26" s="56">
        <v>117065.25</v>
      </c>
      <c r="CC26" s="56">
        <v>117065.25</v>
      </c>
      <c r="CD26" s="56">
        <v>117065.25</v>
      </c>
      <c r="CE26" s="56">
        <v>117065.25</v>
      </c>
      <c r="CF26" s="56">
        <v>117065.25</v>
      </c>
      <c r="CG26" s="56">
        <v>117065.25</v>
      </c>
      <c r="CH26" s="56">
        <v>117065.25</v>
      </c>
      <c r="CI26" s="56">
        <v>117065.25</v>
      </c>
      <c r="CJ26" s="56">
        <v>117065.25</v>
      </c>
      <c r="CK26" s="56">
        <v>117065.25</v>
      </c>
    </row>
    <row r="27" spans="1:89" ht="13" x14ac:dyDescent="0.3">
      <c r="A27" s="135" t="s">
        <v>14</v>
      </c>
      <c r="B27" s="48">
        <v>145781</v>
      </c>
      <c r="C27" s="47" t="s">
        <v>198</v>
      </c>
      <c r="D27" s="49">
        <v>23326</v>
      </c>
      <c r="E27" s="49">
        <v>47087</v>
      </c>
      <c r="F27" s="47" t="s">
        <v>173</v>
      </c>
      <c r="G27" s="47"/>
      <c r="H27" s="47"/>
      <c r="I27" s="41">
        <v>1035</v>
      </c>
      <c r="J27" s="41">
        <v>0</v>
      </c>
      <c r="K27" s="41">
        <v>0</v>
      </c>
      <c r="L27" s="41">
        <v>1</v>
      </c>
      <c r="M27" s="41">
        <v>1</v>
      </c>
      <c r="N27" s="41">
        <v>0</v>
      </c>
      <c r="O27" s="138">
        <v>0</v>
      </c>
      <c r="P27" s="147">
        <v>1085490</v>
      </c>
      <c r="Q27" s="139">
        <v>1</v>
      </c>
      <c r="R27" s="139">
        <v>0</v>
      </c>
      <c r="S27" s="139">
        <v>0</v>
      </c>
      <c r="T27" s="140"/>
      <c r="U27" s="139">
        <f>-U12*MONTH(E27)/12</f>
        <v>-89485.229166666672</v>
      </c>
      <c r="V27" s="141">
        <v>2028</v>
      </c>
      <c r="W27" s="141">
        <v>1</v>
      </c>
      <c r="X27" s="24"/>
      <c r="Y27" s="24"/>
      <c r="Z27" s="24"/>
      <c r="AA27" s="24"/>
      <c r="AB27" s="24"/>
      <c r="AC27" s="24"/>
      <c r="AD27" s="24">
        <v>37135</v>
      </c>
      <c r="AE27" s="24"/>
      <c r="AF27" s="24">
        <v>39661</v>
      </c>
      <c r="AG27" s="24">
        <v>42370</v>
      </c>
      <c r="AH27" s="31"/>
      <c r="AI27" s="46" t="str">
        <f t="shared" si="2"/>
        <v/>
      </c>
      <c r="AJ27" s="27"/>
      <c r="AK27" s="27"/>
      <c r="AL27" s="27"/>
      <c r="AM27" s="27"/>
      <c r="AN27" s="27"/>
      <c r="AO27" s="27"/>
      <c r="AP27" s="27"/>
      <c r="AQ27" s="29" t="str">
        <f>IF(AND(AD27&lt;&gt;"",AF27="",AG27=""),DATE(YEAR(AD27)+Menu!$E$10,MONTH(AD27)+Menu!$E$11,1),"")</f>
        <v/>
      </c>
      <c r="AR27" s="29">
        <f t="shared" si="3"/>
        <v>39661</v>
      </c>
      <c r="AS27" s="27" t="str">
        <f>IF(AND(AR27&lt;&gt;"",AH27="",AG27=""),DATE(YEAR(AR27)+Menu!$E$13,MONTH(AR27)+Menu!$E$14,1),"")</f>
        <v/>
      </c>
      <c r="AT27" s="27"/>
      <c r="AU27" s="16" t="s">
        <v>133</v>
      </c>
      <c r="AV27" s="16" t="s">
        <v>133</v>
      </c>
      <c r="AW27" s="16" t="s">
        <v>133</v>
      </c>
      <c r="AX27" s="16" t="s">
        <v>133</v>
      </c>
      <c r="AY27" s="16" t="s">
        <v>133</v>
      </c>
      <c r="AZ27" s="16" t="s">
        <v>133</v>
      </c>
      <c r="BA27" s="16" t="s">
        <v>134</v>
      </c>
      <c r="BB27" s="16" t="s">
        <v>134</v>
      </c>
      <c r="BC27" s="16" t="s">
        <v>134</v>
      </c>
      <c r="BD27" s="16" t="s">
        <v>134</v>
      </c>
      <c r="BE27" s="16" t="s">
        <v>134</v>
      </c>
      <c r="BF27" s="16" t="s">
        <v>134</v>
      </c>
      <c r="BG27" s="16" t="s">
        <v>134</v>
      </c>
      <c r="BH27" s="16" t="s">
        <v>134</v>
      </c>
      <c r="BI27" s="16" t="s">
        <v>135</v>
      </c>
      <c r="BJ27" s="15" t="s">
        <v>135</v>
      </c>
      <c r="BK27" s="15" t="s">
        <v>135</v>
      </c>
      <c r="BL27" s="131" t="s">
        <v>135</v>
      </c>
      <c r="BM27" t="s">
        <v>135</v>
      </c>
      <c r="BN27" t="s">
        <v>135</v>
      </c>
      <c r="BO27" t="s">
        <v>135</v>
      </c>
      <c r="BP27" t="s">
        <v>135</v>
      </c>
      <c r="BQ27" t="s">
        <v>135</v>
      </c>
      <c r="BR27" t="s">
        <v>135</v>
      </c>
      <c r="BS27" t="s">
        <v>135</v>
      </c>
      <c r="BT27" t="s">
        <v>135</v>
      </c>
      <c r="BU27" t="s">
        <v>138</v>
      </c>
      <c r="BV27" t="s">
        <v>138</v>
      </c>
      <c r="BW27" t="s">
        <v>138</v>
      </c>
      <c r="BX27" t="s">
        <v>138</v>
      </c>
      <c r="BY27" s="56">
        <v>1085490</v>
      </c>
      <c r="BZ27" s="56">
        <v>1000375</v>
      </c>
      <c r="CA27" s="56">
        <v>1000375</v>
      </c>
      <c r="CB27" s="56">
        <v>1000375</v>
      </c>
      <c r="CC27" s="56">
        <v>1000375</v>
      </c>
      <c r="CD27" s="56">
        <v>1000375</v>
      </c>
      <c r="CE27" s="56">
        <v>1000375</v>
      </c>
      <c r="CF27" s="56">
        <v>1000375</v>
      </c>
      <c r="CG27" s="56">
        <v>1000375</v>
      </c>
      <c r="CH27" s="56">
        <v>827525.1875</v>
      </c>
      <c r="CI27" s="56">
        <v>0</v>
      </c>
      <c r="CJ27" s="56">
        <v>0</v>
      </c>
      <c r="CK27" s="56">
        <v>0</v>
      </c>
    </row>
    <row r="28" spans="1:89" ht="13" x14ac:dyDescent="0.3">
      <c r="A28" s="135" t="s">
        <v>15</v>
      </c>
      <c r="B28" s="48">
        <v>194090</v>
      </c>
      <c r="C28" s="47" t="s">
        <v>196</v>
      </c>
      <c r="D28" s="49">
        <v>27663</v>
      </c>
      <c r="E28" s="49">
        <v>51409</v>
      </c>
      <c r="F28" s="47" t="s">
        <v>173</v>
      </c>
      <c r="G28" s="47">
        <v>2011</v>
      </c>
      <c r="H28" s="47" t="s">
        <v>133</v>
      </c>
      <c r="I28" s="41">
        <v>439</v>
      </c>
      <c r="J28" s="41">
        <v>1</v>
      </c>
      <c r="K28" s="41">
        <v>0</v>
      </c>
      <c r="L28" s="41">
        <v>0</v>
      </c>
      <c r="M28" s="41">
        <v>0</v>
      </c>
      <c r="N28" s="41">
        <v>0</v>
      </c>
      <c r="O28" s="138">
        <v>0</v>
      </c>
      <c r="P28" s="147">
        <v>673268</v>
      </c>
      <c r="Q28" s="139">
        <v>1</v>
      </c>
      <c r="R28" s="139">
        <v>0</v>
      </c>
      <c r="S28" s="139">
        <v>0</v>
      </c>
      <c r="T28" s="140"/>
      <c r="U28" s="139">
        <v>0</v>
      </c>
      <c r="V28" s="141"/>
      <c r="W28" s="141">
        <v>1</v>
      </c>
      <c r="X28" s="24"/>
      <c r="Y28" s="24"/>
      <c r="Z28" s="24"/>
      <c r="AA28" s="24"/>
      <c r="AB28" s="24"/>
      <c r="AC28" s="24"/>
      <c r="AD28" s="24">
        <v>40544</v>
      </c>
      <c r="AE28" s="24"/>
      <c r="AF28" s="24">
        <v>43252</v>
      </c>
      <c r="AG28" s="24"/>
      <c r="AH28" s="31"/>
      <c r="AI28" s="46" t="str">
        <f t="shared" si="2"/>
        <v/>
      </c>
      <c r="AJ28" s="27"/>
      <c r="AK28" s="27"/>
      <c r="AL28" s="27"/>
      <c r="AM28" s="27"/>
      <c r="AN28" s="27"/>
      <c r="AO28" s="27"/>
      <c r="AP28" s="27"/>
      <c r="AQ28" s="29" t="str">
        <f>IF(AND(AD28&lt;&gt;"",AF28="",AG28=""),DATE(YEAR(AD28)+Menu!$E$10,MONTH(AD28)+Menu!$E$11,1),"")</f>
        <v/>
      </c>
      <c r="AR28" s="29">
        <f t="shared" si="3"/>
        <v>43252</v>
      </c>
      <c r="AS28" s="27">
        <f>IF(AND(AR28&lt;&gt;"",AH28="",AG28=""),DATE(YEAR(AR28)+Menu!$E$13,MONTH(AR28)+Menu!$E$14,1),"")</f>
        <v>45717</v>
      </c>
      <c r="AT28" s="27"/>
      <c r="AU28" s="15" t="s">
        <v>138</v>
      </c>
      <c r="AV28" s="15" t="s">
        <v>138</v>
      </c>
      <c r="AW28" s="16" t="s">
        <v>138</v>
      </c>
      <c r="AX28" s="15" t="s">
        <v>138</v>
      </c>
      <c r="AY28" s="15" t="s">
        <v>138</v>
      </c>
      <c r="AZ28" s="15" t="s">
        <v>138</v>
      </c>
      <c r="BA28" s="15" t="s">
        <v>138</v>
      </c>
      <c r="BB28" s="15" t="s">
        <v>138</v>
      </c>
      <c r="BC28" s="15" t="s">
        <v>138</v>
      </c>
      <c r="BD28" s="16" t="s">
        <v>133</v>
      </c>
      <c r="BE28" s="16" t="s">
        <v>133</v>
      </c>
      <c r="BF28" s="16" t="s">
        <v>133</v>
      </c>
      <c r="BG28" s="16" t="s">
        <v>133</v>
      </c>
      <c r="BH28" s="16" t="s">
        <v>133</v>
      </c>
      <c r="BI28" s="16" t="s">
        <v>133</v>
      </c>
      <c r="BJ28" s="15" t="s">
        <v>133</v>
      </c>
      <c r="BK28" s="15" t="s">
        <v>134</v>
      </c>
      <c r="BL28" s="131" t="s">
        <v>134</v>
      </c>
      <c r="BM28" t="s">
        <v>134</v>
      </c>
      <c r="BN28" t="s">
        <v>134</v>
      </c>
      <c r="BO28" t="s">
        <v>134</v>
      </c>
      <c r="BP28" t="s">
        <v>134</v>
      </c>
      <c r="BQ28" t="s">
        <v>134</v>
      </c>
      <c r="BR28" t="s">
        <v>135</v>
      </c>
      <c r="BS28" t="s">
        <v>135</v>
      </c>
      <c r="BT28" t="s">
        <v>135</v>
      </c>
      <c r="BU28" t="s">
        <v>135</v>
      </c>
      <c r="BV28" t="s">
        <v>135</v>
      </c>
      <c r="BW28" t="s">
        <v>135</v>
      </c>
      <c r="BX28" t="s">
        <v>135</v>
      </c>
      <c r="BY28" s="56">
        <v>673268</v>
      </c>
      <c r="BZ28" s="56">
        <v>721188</v>
      </c>
      <c r="CA28" s="56">
        <v>721188</v>
      </c>
      <c r="CB28" s="56">
        <v>721188</v>
      </c>
      <c r="CC28" s="56">
        <v>721188</v>
      </c>
      <c r="CD28" s="56">
        <v>721188</v>
      </c>
      <c r="CE28" s="56">
        <v>767719.25</v>
      </c>
      <c r="CF28" s="56">
        <v>823556.75</v>
      </c>
      <c r="CG28" s="56">
        <v>879394.25</v>
      </c>
      <c r="CH28" s="56">
        <v>935231.75</v>
      </c>
      <c r="CI28" s="56">
        <v>991069.25</v>
      </c>
      <c r="CJ28" s="56">
        <v>1000375</v>
      </c>
      <c r="CK28" s="56">
        <v>1000375</v>
      </c>
    </row>
    <row r="29" spans="1:89" ht="13" x14ac:dyDescent="0.3">
      <c r="A29" s="135" t="s">
        <v>227</v>
      </c>
      <c r="B29" s="48">
        <v>182237</v>
      </c>
      <c r="C29" s="47" t="s">
        <v>196</v>
      </c>
      <c r="D29" s="49">
        <v>23514</v>
      </c>
      <c r="E29" s="49">
        <v>47269</v>
      </c>
      <c r="F29" s="47" t="s">
        <v>173</v>
      </c>
      <c r="G29" s="47"/>
      <c r="H29" s="47"/>
      <c r="I29" s="41">
        <v>1052</v>
      </c>
      <c r="J29" s="41">
        <v>1</v>
      </c>
      <c r="K29" s="41">
        <v>0</v>
      </c>
      <c r="L29" s="41">
        <v>0</v>
      </c>
      <c r="M29" s="41">
        <v>0</v>
      </c>
      <c r="N29" s="41">
        <v>0</v>
      </c>
      <c r="O29" s="138">
        <v>2</v>
      </c>
      <c r="P29" s="147">
        <v>0</v>
      </c>
      <c r="Q29" s="139">
        <v>1</v>
      </c>
      <c r="R29" s="139">
        <v>0</v>
      </c>
      <c r="S29" s="139">
        <v>0</v>
      </c>
      <c r="T29" s="140"/>
      <c r="U29" s="139">
        <f>164700*1.225*W29</f>
        <v>112177.17000000003</v>
      </c>
      <c r="V29" s="141">
        <v>2026</v>
      </c>
      <c r="W29" s="141">
        <v>0.55600000000000005</v>
      </c>
      <c r="X29" s="24"/>
      <c r="Y29" s="24">
        <v>41897</v>
      </c>
      <c r="Z29" s="24"/>
      <c r="AA29" s="24"/>
      <c r="AB29" s="24"/>
      <c r="AC29" s="24"/>
      <c r="AD29" s="24"/>
      <c r="AE29" s="24"/>
      <c r="AF29" s="24"/>
      <c r="AG29" s="24"/>
      <c r="AH29" s="31"/>
      <c r="AI29" s="46" t="str">
        <f t="shared" si="2"/>
        <v/>
      </c>
      <c r="AJ29" s="27"/>
      <c r="AK29" s="27"/>
      <c r="AL29" s="27"/>
      <c r="AM29" s="27"/>
      <c r="AN29" s="27"/>
      <c r="AO29" s="27"/>
      <c r="AP29" s="27"/>
      <c r="AQ29" s="29" t="str">
        <f>IF(AND(AD29&lt;&gt;"",AF29="",AG29=""),DATE(YEAR(AD29)+Menu!$E$10,MONTH(AD29)+Menu!$E$11,1),"")</f>
        <v/>
      </c>
      <c r="AR29" s="29" t="str">
        <f t="shared" si="3"/>
        <v/>
      </c>
      <c r="AS29" s="27" t="str">
        <f>IF(AND(AR29&lt;&gt;"",AH29="",AG29=""),DATE(YEAR(AR29)+Menu!$E$13,MONTH(AR29)+Menu!$E$14,1),"")</f>
        <v/>
      </c>
      <c r="AT29" s="27">
        <v>45291</v>
      </c>
      <c r="AU29" s="15" t="s">
        <v>138</v>
      </c>
      <c r="AV29" s="15" t="s">
        <v>138</v>
      </c>
      <c r="AW29" s="15" t="s">
        <v>138</v>
      </c>
      <c r="AX29" s="15" t="s">
        <v>138</v>
      </c>
      <c r="AY29" s="15" t="s">
        <v>138</v>
      </c>
      <c r="AZ29" s="15" t="s">
        <v>138</v>
      </c>
      <c r="BA29" s="15" t="s">
        <v>138</v>
      </c>
      <c r="BB29" s="15" t="s">
        <v>138</v>
      </c>
      <c r="BC29" s="15" t="s">
        <v>138</v>
      </c>
      <c r="BD29" s="15" t="s">
        <v>138</v>
      </c>
      <c r="BE29" s="15" t="s">
        <v>138</v>
      </c>
      <c r="BF29" s="15" t="s">
        <v>138</v>
      </c>
      <c r="BG29" s="16" t="s">
        <v>129</v>
      </c>
      <c r="BH29" s="16" t="s">
        <v>129</v>
      </c>
      <c r="BI29" s="16" t="s">
        <v>129</v>
      </c>
      <c r="BJ29" s="15" t="s">
        <v>129</v>
      </c>
      <c r="BK29" s="15" t="s">
        <v>129</v>
      </c>
      <c r="BL29" s="131" t="s">
        <v>129</v>
      </c>
      <c r="BM29" t="s">
        <v>129</v>
      </c>
      <c r="BN29" t="s">
        <v>129</v>
      </c>
      <c r="BO29" t="s">
        <v>129</v>
      </c>
      <c r="BP29" t="s">
        <v>129</v>
      </c>
      <c r="BQ29" t="s">
        <v>129</v>
      </c>
      <c r="BR29" t="s">
        <v>129</v>
      </c>
      <c r="BS29" t="s">
        <v>129</v>
      </c>
      <c r="BT29" t="s">
        <v>129</v>
      </c>
      <c r="BU29" t="s">
        <v>129</v>
      </c>
      <c r="BV29" t="s">
        <v>129</v>
      </c>
      <c r="BW29" t="s">
        <v>138</v>
      </c>
      <c r="BX29" t="s">
        <v>138</v>
      </c>
      <c r="BY29" s="56">
        <v>0</v>
      </c>
      <c r="BZ29" s="56">
        <v>0</v>
      </c>
      <c r="CA29" s="56">
        <v>0</v>
      </c>
      <c r="CB29" s="56">
        <v>0</v>
      </c>
      <c r="CC29" s="56">
        <v>0</v>
      </c>
      <c r="CD29" s="56">
        <v>0</v>
      </c>
      <c r="CE29" s="56">
        <v>0</v>
      </c>
      <c r="CF29" s="56">
        <v>112177.17000000003</v>
      </c>
      <c r="CG29" s="56">
        <v>112177.17000000003</v>
      </c>
      <c r="CH29" s="56">
        <v>112177.17000000003</v>
      </c>
      <c r="CI29" s="56">
        <v>46740.48750000001</v>
      </c>
      <c r="CJ29" s="56">
        <v>0</v>
      </c>
      <c r="CK29" s="56">
        <v>0</v>
      </c>
    </row>
    <row r="30" spans="1:89" ht="13" x14ac:dyDescent="0.3">
      <c r="A30" s="135" t="s">
        <v>183</v>
      </c>
      <c r="B30" s="148">
        <v>235586</v>
      </c>
      <c r="C30" s="47" t="s">
        <v>200</v>
      </c>
      <c r="D30" s="49">
        <v>30158</v>
      </c>
      <c r="E30" s="49">
        <v>53904</v>
      </c>
      <c r="F30" s="47" t="s">
        <v>173</v>
      </c>
      <c r="G30" s="47">
        <v>2013</v>
      </c>
      <c r="H30" s="47" t="s">
        <v>133</v>
      </c>
      <c r="I30" s="41">
        <v>832</v>
      </c>
      <c r="J30" s="41">
        <v>0</v>
      </c>
      <c r="K30" s="41">
        <v>0</v>
      </c>
      <c r="L30" s="41">
        <v>0</v>
      </c>
      <c r="M30" s="41">
        <v>1</v>
      </c>
      <c r="N30" s="41">
        <v>0</v>
      </c>
      <c r="O30" s="138">
        <v>0</v>
      </c>
      <c r="P30" s="147">
        <v>514875</v>
      </c>
      <c r="Q30" s="139">
        <v>1</v>
      </c>
      <c r="R30" s="139">
        <v>0</v>
      </c>
      <c r="S30" s="139">
        <v>0</v>
      </c>
      <c r="T30" s="140"/>
      <c r="U30" s="139">
        <v>0</v>
      </c>
      <c r="V30" s="141"/>
      <c r="W30" s="141">
        <v>1</v>
      </c>
      <c r="X30" s="24"/>
      <c r="Y30" s="24"/>
      <c r="Z30" s="24"/>
      <c r="AA30" s="24"/>
      <c r="AB30" s="24"/>
      <c r="AC30" s="24"/>
      <c r="AD30" s="24">
        <v>41579</v>
      </c>
      <c r="AE30" s="24"/>
      <c r="AF30" s="24"/>
      <c r="AG30" s="24"/>
      <c r="AH30" s="31"/>
      <c r="AI30" s="46" t="str">
        <f t="shared" si="2"/>
        <v/>
      </c>
      <c r="AJ30" s="27"/>
      <c r="AK30" s="27"/>
      <c r="AL30" s="27"/>
      <c r="AM30" s="27"/>
      <c r="AN30" s="27"/>
      <c r="AO30" s="27"/>
      <c r="AP30" s="27"/>
      <c r="AQ30" s="29">
        <v>43983</v>
      </c>
      <c r="AR30" s="29">
        <f t="shared" si="3"/>
        <v>43983</v>
      </c>
      <c r="AS30" s="27">
        <f>IF(AND(AR30&lt;&gt;"",AH30="",AG30=""),DATE(YEAR(AR30)+Menu!$E$13,MONTH(AR30)+Menu!$E$14,1),"")</f>
        <v>46447</v>
      </c>
      <c r="AT30" s="27"/>
      <c r="AU30" s="15" t="s">
        <v>138</v>
      </c>
      <c r="AV30" s="15" t="s">
        <v>138</v>
      </c>
      <c r="AW30" s="16" t="s">
        <v>138</v>
      </c>
      <c r="AX30" s="16" t="s">
        <v>138</v>
      </c>
      <c r="AY30" s="16" t="s">
        <v>138</v>
      </c>
      <c r="AZ30" s="16" t="s">
        <v>138</v>
      </c>
      <c r="BA30" s="16" t="s">
        <v>138</v>
      </c>
      <c r="BB30" s="16" t="s">
        <v>138</v>
      </c>
      <c r="BC30" s="16" t="s">
        <v>138</v>
      </c>
      <c r="BD30" s="16" t="s">
        <v>138</v>
      </c>
      <c r="BE30" s="16" t="s">
        <v>138</v>
      </c>
      <c r="BF30" s="15" t="s">
        <v>133</v>
      </c>
      <c r="BG30" s="15" t="s">
        <v>133</v>
      </c>
      <c r="BH30" s="15" t="s">
        <v>133</v>
      </c>
      <c r="BI30" s="15" t="s">
        <v>133</v>
      </c>
      <c r="BJ30" s="15" t="s">
        <v>133</v>
      </c>
      <c r="BK30" s="15" t="s">
        <v>133</v>
      </c>
      <c r="BL30" s="131" t="s">
        <v>133</v>
      </c>
      <c r="BM30" t="s">
        <v>134</v>
      </c>
      <c r="BN30" t="s">
        <v>134</v>
      </c>
      <c r="BO30" t="s">
        <v>134</v>
      </c>
      <c r="BP30" t="s">
        <v>134</v>
      </c>
      <c r="BQ30" t="s">
        <v>134</v>
      </c>
      <c r="BR30" t="s">
        <v>134</v>
      </c>
      <c r="BS30" t="s">
        <v>134</v>
      </c>
      <c r="BT30" t="s">
        <v>135</v>
      </c>
      <c r="BU30" t="s">
        <v>135</v>
      </c>
      <c r="BV30" t="s">
        <v>135</v>
      </c>
      <c r="BW30" t="s">
        <v>135</v>
      </c>
      <c r="BX30" t="s">
        <v>135</v>
      </c>
      <c r="BY30" s="56">
        <v>514875</v>
      </c>
      <c r="BZ30" s="56">
        <v>635224.25</v>
      </c>
      <c r="CA30" s="56">
        <v>635224.25</v>
      </c>
      <c r="CB30" s="56">
        <v>635224.25</v>
      </c>
      <c r="CC30" s="56">
        <v>635224.25</v>
      </c>
      <c r="CD30" s="56">
        <v>721188</v>
      </c>
      <c r="CE30" s="56">
        <v>721188</v>
      </c>
      <c r="CF30" s="56">
        <v>721188</v>
      </c>
      <c r="CG30" s="56">
        <v>767719.25</v>
      </c>
      <c r="CH30" s="56">
        <v>823556.75</v>
      </c>
      <c r="CI30" s="56">
        <v>879394.25</v>
      </c>
      <c r="CJ30" s="56">
        <v>935231.75</v>
      </c>
      <c r="CK30" s="56">
        <v>991069.25</v>
      </c>
    </row>
    <row r="31" spans="1:89" ht="13" x14ac:dyDescent="0.3">
      <c r="A31" s="179" t="s">
        <v>292</v>
      </c>
      <c r="B31" s="148">
        <v>107306</v>
      </c>
      <c r="C31" s="47" t="s">
        <v>197</v>
      </c>
      <c r="D31" s="49">
        <v>22671</v>
      </c>
      <c r="E31" s="49">
        <v>46418</v>
      </c>
      <c r="F31" s="47" t="s">
        <v>173</v>
      </c>
      <c r="G31" s="47"/>
      <c r="H31" s="47"/>
      <c r="I31" s="41">
        <v>332</v>
      </c>
      <c r="J31" s="41">
        <v>0</v>
      </c>
      <c r="K31" s="41">
        <v>1</v>
      </c>
      <c r="L31" s="41">
        <v>0</v>
      </c>
      <c r="M31" s="41">
        <v>0</v>
      </c>
      <c r="N31" s="41">
        <v>0</v>
      </c>
      <c r="O31" s="138">
        <v>2</v>
      </c>
      <c r="P31" s="147">
        <f>148026*0.5*1.225</f>
        <v>90665.925000000003</v>
      </c>
      <c r="Q31" s="139">
        <v>1</v>
      </c>
      <c r="R31" s="139">
        <v>0</v>
      </c>
      <c r="S31" s="139">
        <v>0</v>
      </c>
      <c r="T31" s="140"/>
      <c r="U31" s="139">
        <v>0</v>
      </c>
      <c r="V31" s="141"/>
      <c r="W31" s="141">
        <v>0.5</v>
      </c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31"/>
      <c r="AI31" s="46" t="str">
        <f t="shared" si="2"/>
        <v/>
      </c>
      <c r="AJ31" s="27"/>
      <c r="AK31" s="27"/>
      <c r="AL31" s="27"/>
      <c r="AM31" s="27"/>
      <c r="AN31" s="27"/>
      <c r="AO31" s="27"/>
      <c r="AP31" s="27"/>
      <c r="AQ31" s="29"/>
      <c r="AR31" s="29"/>
      <c r="AS31" s="27"/>
      <c r="AT31" s="27">
        <v>43921</v>
      </c>
      <c r="AU31" s="15" t="s">
        <v>293</v>
      </c>
      <c r="AV31" s="15" t="s">
        <v>293</v>
      </c>
      <c r="AW31" s="15" t="s">
        <v>293</v>
      </c>
      <c r="AX31" s="15" t="s">
        <v>293</v>
      </c>
      <c r="AY31" s="15" t="s">
        <v>293</v>
      </c>
      <c r="AZ31" s="15" t="s">
        <v>293</v>
      </c>
      <c r="BA31" s="15" t="s">
        <v>293</v>
      </c>
      <c r="BB31" s="15" t="s">
        <v>293</v>
      </c>
      <c r="BC31" s="15" t="s">
        <v>293</v>
      </c>
      <c r="BD31" s="15" t="s">
        <v>293</v>
      </c>
      <c r="BE31" s="15" t="s">
        <v>293</v>
      </c>
      <c r="BF31" s="15" t="s">
        <v>293</v>
      </c>
      <c r="BG31" s="15" t="s">
        <v>293</v>
      </c>
      <c r="BH31" s="15" t="s">
        <v>293</v>
      </c>
      <c r="BI31" s="15" t="s">
        <v>293</v>
      </c>
      <c r="BJ31" s="15" t="s">
        <v>293</v>
      </c>
      <c r="BK31" s="15" t="s">
        <v>388</v>
      </c>
      <c r="BL31" s="131" t="s">
        <v>388</v>
      </c>
      <c r="BM31" t="s">
        <v>389</v>
      </c>
      <c r="BN31" t="s">
        <v>389</v>
      </c>
      <c r="BO31" t="s">
        <v>389</v>
      </c>
      <c r="BP31" t="s">
        <v>389</v>
      </c>
      <c r="BQ31" t="s">
        <v>389</v>
      </c>
      <c r="BR31" t="s">
        <v>389</v>
      </c>
      <c r="BS31" t="s">
        <v>389</v>
      </c>
      <c r="BT31" t="s">
        <v>389</v>
      </c>
      <c r="BU31" t="s">
        <v>138</v>
      </c>
      <c r="BV31" t="s">
        <v>138</v>
      </c>
      <c r="BW31" t="s">
        <v>138</v>
      </c>
      <c r="BX31" t="s">
        <v>138</v>
      </c>
      <c r="BY31" s="56">
        <v>90665.925000000003</v>
      </c>
      <c r="BZ31" s="56">
        <v>90665.925000000003</v>
      </c>
      <c r="CA31" s="56">
        <v>90665.925000000003</v>
      </c>
      <c r="CB31" s="56">
        <v>90665.925000000003</v>
      </c>
      <c r="CC31" s="56">
        <v>90665.925000000003</v>
      </c>
      <c r="CD31" s="56">
        <v>90665.925000000003</v>
      </c>
      <c r="CE31" s="56">
        <v>90665.925000000003</v>
      </c>
      <c r="CF31" s="56">
        <v>90665.925000000003</v>
      </c>
      <c r="CG31" s="56">
        <v>7555.4937500000005</v>
      </c>
      <c r="CH31" s="56">
        <v>0</v>
      </c>
      <c r="CI31" s="56">
        <v>0</v>
      </c>
      <c r="CJ31" s="56">
        <v>0</v>
      </c>
      <c r="CK31" s="56">
        <v>0</v>
      </c>
    </row>
    <row r="32" spans="1:89" ht="13" x14ac:dyDescent="0.3">
      <c r="A32" s="135" t="s">
        <v>16</v>
      </c>
      <c r="B32" s="48">
        <v>199128</v>
      </c>
      <c r="C32" s="47" t="s">
        <v>196</v>
      </c>
      <c r="D32" s="49">
        <v>28713</v>
      </c>
      <c r="E32" s="49">
        <v>52474</v>
      </c>
      <c r="F32" s="47" t="s">
        <v>173</v>
      </c>
      <c r="G32" s="47">
        <v>2010</v>
      </c>
      <c r="H32" s="47" t="s">
        <v>133</v>
      </c>
      <c r="I32" s="41">
        <v>437</v>
      </c>
      <c r="J32" s="41">
        <v>1</v>
      </c>
      <c r="K32" s="41">
        <v>0</v>
      </c>
      <c r="L32" s="41">
        <v>0</v>
      </c>
      <c r="M32" s="41">
        <v>0</v>
      </c>
      <c r="N32" s="41">
        <v>0</v>
      </c>
      <c r="O32" s="138">
        <v>0</v>
      </c>
      <c r="P32" s="147">
        <v>783836</v>
      </c>
      <c r="Q32" s="139">
        <v>1</v>
      </c>
      <c r="R32" s="139">
        <v>0</v>
      </c>
      <c r="S32" s="139">
        <v>0</v>
      </c>
      <c r="T32" s="140"/>
      <c r="U32" s="139">
        <v>0</v>
      </c>
      <c r="V32" s="141"/>
      <c r="W32" s="141">
        <v>1</v>
      </c>
      <c r="X32" s="24"/>
      <c r="Y32" s="24"/>
      <c r="Z32" s="24"/>
      <c r="AA32" s="24"/>
      <c r="AB32" s="24"/>
      <c r="AC32" s="24"/>
      <c r="AD32" s="24">
        <v>40179</v>
      </c>
      <c r="AE32" s="24"/>
      <c r="AF32" s="24">
        <v>42461</v>
      </c>
      <c r="AG32" s="24"/>
      <c r="AH32" s="31"/>
      <c r="AI32" s="46" t="str">
        <f t="shared" si="2"/>
        <v/>
      </c>
      <c r="AJ32" s="27"/>
      <c r="AK32" s="27"/>
      <c r="AL32" s="27"/>
      <c r="AM32" s="27"/>
      <c r="AN32" s="27"/>
      <c r="AO32" s="27"/>
      <c r="AP32" s="27"/>
      <c r="AQ32" s="29" t="str">
        <f>IF(AND(AD32&lt;&gt;"",AF32="",AG32=""),DATE(YEAR(AD32)+Menu!$E$10,MONTH(AD32)+Menu!$E$11,1),"")</f>
        <v/>
      </c>
      <c r="AR32" s="29">
        <f>IF(AF32&lt;&gt;0,AF32,AQ32)</f>
        <v>42461</v>
      </c>
      <c r="AS32" s="27">
        <f>IF(AND(AR32&lt;&gt;"",AH32="",AG32=""),DATE(YEAR(AR32)+Menu!$E$13,MONTH(AR32)+Menu!$E$14,1),"")</f>
        <v>44927</v>
      </c>
      <c r="AT32" s="27"/>
      <c r="AU32" s="15" t="s">
        <v>138</v>
      </c>
      <c r="AV32" s="15" t="s">
        <v>138</v>
      </c>
      <c r="AW32" s="16" t="s">
        <v>138</v>
      </c>
      <c r="AX32" s="15" t="s">
        <v>138</v>
      </c>
      <c r="AY32" s="15" t="s">
        <v>138</v>
      </c>
      <c r="AZ32" s="15" t="s">
        <v>138</v>
      </c>
      <c r="BA32" s="15" t="s">
        <v>138</v>
      </c>
      <c r="BB32" s="15" t="s">
        <v>138</v>
      </c>
      <c r="BC32" s="16" t="s">
        <v>133</v>
      </c>
      <c r="BD32" s="16" t="s">
        <v>133</v>
      </c>
      <c r="BE32" s="16" t="s">
        <v>133</v>
      </c>
      <c r="BF32" s="16" t="s">
        <v>133</v>
      </c>
      <c r="BG32" s="16" t="s">
        <v>133</v>
      </c>
      <c r="BH32" s="16" t="s">
        <v>133</v>
      </c>
      <c r="BI32" s="16" t="s">
        <v>134</v>
      </c>
      <c r="BJ32" s="15" t="s">
        <v>134</v>
      </c>
      <c r="BK32" s="15" t="s">
        <v>134</v>
      </c>
      <c r="BL32" s="131" t="s">
        <v>134</v>
      </c>
      <c r="BM32" t="s">
        <v>134</v>
      </c>
      <c r="BN32" t="s">
        <v>134</v>
      </c>
      <c r="BO32" t="s">
        <v>134</v>
      </c>
      <c r="BP32" t="s">
        <v>135</v>
      </c>
      <c r="BQ32" t="s">
        <v>135</v>
      </c>
      <c r="BR32" t="s">
        <v>135</v>
      </c>
      <c r="BS32" t="s">
        <v>135</v>
      </c>
      <c r="BT32" t="s">
        <v>135</v>
      </c>
      <c r="BU32" t="s">
        <v>135</v>
      </c>
      <c r="BV32" t="s">
        <v>135</v>
      </c>
      <c r="BW32" t="s">
        <v>135</v>
      </c>
      <c r="BX32" t="s">
        <v>135</v>
      </c>
      <c r="BY32" s="56">
        <v>783836</v>
      </c>
      <c r="BZ32" s="56">
        <v>721188</v>
      </c>
      <c r="CA32" s="56">
        <v>721188</v>
      </c>
      <c r="CB32" s="56">
        <v>721188</v>
      </c>
      <c r="CC32" s="56">
        <v>777025.5</v>
      </c>
      <c r="CD32" s="56">
        <v>832863</v>
      </c>
      <c r="CE32" s="56">
        <v>888700.5</v>
      </c>
      <c r="CF32" s="56">
        <v>944538</v>
      </c>
      <c r="CG32" s="56">
        <v>1000375</v>
      </c>
      <c r="CH32" s="56">
        <v>1000375</v>
      </c>
      <c r="CI32" s="56">
        <v>1000375</v>
      </c>
      <c r="CJ32" s="56">
        <v>1000375</v>
      </c>
      <c r="CK32" s="56">
        <v>1000375</v>
      </c>
    </row>
    <row r="33" spans="1:89" ht="13" x14ac:dyDescent="0.3">
      <c r="A33" s="135" t="s">
        <v>17</v>
      </c>
      <c r="B33" s="48">
        <v>146991</v>
      </c>
      <c r="C33" s="47" t="s">
        <v>198</v>
      </c>
      <c r="D33" s="49">
        <v>23560</v>
      </c>
      <c r="E33" s="49">
        <v>47330</v>
      </c>
      <c r="F33" s="47" t="s">
        <v>173</v>
      </c>
      <c r="G33" s="47">
        <v>2009</v>
      </c>
      <c r="H33" s="47" t="s">
        <v>135</v>
      </c>
      <c r="I33" s="41">
        <v>377</v>
      </c>
      <c r="J33" s="41">
        <v>0</v>
      </c>
      <c r="K33" s="41">
        <v>0</v>
      </c>
      <c r="L33" s="41">
        <v>1</v>
      </c>
      <c r="M33" s="41">
        <v>0</v>
      </c>
      <c r="N33" s="41">
        <v>0</v>
      </c>
      <c r="O33" s="138">
        <v>0</v>
      </c>
      <c r="P33" s="147">
        <v>1061102</v>
      </c>
      <c r="Q33" s="139">
        <v>1</v>
      </c>
      <c r="R33" s="139">
        <v>1</v>
      </c>
      <c r="S33" s="139">
        <v>0</v>
      </c>
      <c r="T33" s="140"/>
      <c r="U33" s="139">
        <v>0</v>
      </c>
      <c r="V33" s="141"/>
      <c r="W33" s="141">
        <v>1</v>
      </c>
      <c r="X33" s="24"/>
      <c r="Y33" s="24"/>
      <c r="Z33" s="24"/>
      <c r="AA33" s="24">
        <v>37561</v>
      </c>
      <c r="AB33" s="24">
        <v>39884</v>
      </c>
      <c r="AC33" s="24"/>
      <c r="AD33" s="24"/>
      <c r="AE33" s="24"/>
      <c r="AF33" s="24"/>
      <c r="AG33" s="24">
        <v>42278</v>
      </c>
      <c r="AH33" s="31"/>
      <c r="AI33" s="46" t="str">
        <f t="shared" si="2"/>
        <v/>
      </c>
      <c r="AJ33" s="27"/>
      <c r="AK33" s="27"/>
      <c r="AL33" s="27"/>
      <c r="AM33" s="27"/>
      <c r="AN33" s="27"/>
      <c r="AO33" s="27"/>
      <c r="AP33" s="27"/>
      <c r="AQ33" s="29" t="str">
        <f>IF(AND(AD33&lt;&gt;"",AF33="",AG33=""),DATE(YEAR(AD33)+Menu!$E$10,MONTH(AD33)+Menu!$E$11,1),"")</f>
        <v/>
      </c>
      <c r="AR33" s="29" t="str">
        <f>IF(AF33&lt;&gt;0,AF33,AQ33)</f>
        <v/>
      </c>
      <c r="AS33" s="27" t="str">
        <f>IF(AND(AR33&lt;&gt;"",AH33="",AG33=""),DATE(YEAR(AR33)+Menu!$E$13,MONTH(AR33)+Menu!$E$14,1),"")</f>
        <v/>
      </c>
      <c r="AT33" s="27"/>
      <c r="AU33" s="15" t="s">
        <v>130</v>
      </c>
      <c r="AV33" s="15" t="s">
        <v>130</v>
      </c>
      <c r="AW33" s="15" t="s">
        <v>130</v>
      </c>
      <c r="AX33" s="15" t="s">
        <v>130</v>
      </c>
      <c r="AY33" s="15" t="s">
        <v>130</v>
      </c>
      <c r="AZ33" s="15" t="s">
        <v>130</v>
      </c>
      <c r="BA33" s="15" t="s">
        <v>130</v>
      </c>
      <c r="BB33" s="16" t="s">
        <v>131</v>
      </c>
      <c r="BC33" s="16" t="s">
        <v>131</v>
      </c>
      <c r="BD33" s="16" t="s">
        <v>131</v>
      </c>
      <c r="BE33" s="16" t="s">
        <v>131</v>
      </c>
      <c r="BF33" s="16" t="s">
        <v>131</v>
      </c>
      <c r="BG33" s="16" t="s">
        <v>131</v>
      </c>
      <c r="BH33" s="16" t="s">
        <v>135</v>
      </c>
      <c r="BI33" s="16" t="s">
        <v>135</v>
      </c>
      <c r="BJ33" s="15" t="s">
        <v>135</v>
      </c>
      <c r="BK33" s="15" t="s">
        <v>135</v>
      </c>
      <c r="BL33" s="131" t="s">
        <v>135</v>
      </c>
      <c r="BM33" t="s">
        <v>135</v>
      </c>
      <c r="BN33" t="s">
        <v>135</v>
      </c>
      <c r="BO33" t="s">
        <v>135</v>
      </c>
      <c r="BP33" t="s">
        <v>135</v>
      </c>
      <c r="BQ33" t="s">
        <v>135</v>
      </c>
      <c r="BR33" t="s">
        <v>135</v>
      </c>
      <c r="BS33" t="s">
        <v>135</v>
      </c>
      <c r="BT33" t="s">
        <v>135</v>
      </c>
      <c r="BU33" t="s">
        <v>135</v>
      </c>
      <c r="BV33" t="s">
        <v>138</v>
      </c>
      <c r="BW33" t="s">
        <v>138</v>
      </c>
      <c r="BX33" t="s">
        <v>138</v>
      </c>
      <c r="BY33" s="56">
        <v>1061102</v>
      </c>
      <c r="BZ33" s="56">
        <v>1000375</v>
      </c>
      <c r="CA33" s="56">
        <v>1000375</v>
      </c>
      <c r="CB33" s="56">
        <v>1000375</v>
      </c>
      <c r="CC33" s="56">
        <v>1000375</v>
      </c>
      <c r="CD33" s="56">
        <v>1000375</v>
      </c>
      <c r="CE33" s="56">
        <v>1000375</v>
      </c>
      <c r="CF33" s="56">
        <v>1000375</v>
      </c>
      <c r="CG33" s="56">
        <v>1000375</v>
      </c>
      <c r="CH33" s="56">
        <v>1000375</v>
      </c>
      <c r="CI33" s="56">
        <v>583552.08333333337</v>
      </c>
      <c r="CJ33" s="56">
        <v>0</v>
      </c>
      <c r="CK33" s="56">
        <v>0</v>
      </c>
    </row>
    <row r="34" spans="1:89" ht="13" x14ac:dyDescent="0.3">
      <c r="A34" s="175" t="s">
        <v>330</v>
      </c>
      <c r="B34" s="48">
        <v>137694</v>
      </c>
      <c r="C34" s="47" t="s">
        <v>200</v>
      </c>
      <c r="D34" s="49">
        <v>29612</v>
      </c>
      <c r="E34" s="49">
        <v>53358</v>
      </c>
      <c r="F34" s="47" t="s">
        <v>173</v>
      </c>
      <c r="G34" s="47">
        <v>2005</v>
      </c>
      <c r="H34" s="47"/>
      <c r="I34" s="41">
        <v>825</v>
      </c>
      <c r="J34" s="41">
        <v>0</v>
      </c>
      <c r="K34" s="41">
        <v>0</v>
      </c>
      <c r="L34" s="41">
        <v>0</v>
      </c>
      <c r="M34" s="41">
        <v>1</v>
      </c>
      <c r="N34" s="41">
        <v>0</v>
      </c>
      <c r="O34" s="138">
        <v>2</v>
      </c>
      <c r="P34" s="147">
        <v>0</v>
      </c>
      <c r="Q34" s="139">
        <v>1</v>
      </c>
      <c r="R34" s="139">
        <v>0</v>
      </c>
      <c r="S34" s="139">
        <v>0</v>
      </c>
      <c r="T34" s="140"/>
      <c r="U34" s="147">
        <f>97180*1.225*W34</f>
        <v>83331.850000000006</v>
      </c>
      <c r="V34" s="141">
        <v>2022</v>
      </c>
      <c r="W34" s="141">
        <v>0.7</v>
      </c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31"/>
      <c r="AI34" s="46"/>
      <c r="AJ34" s="27"/>
      <c r="AK34" s="27"/>
      <c r="AL34" s="27"/>
      <c r="AM34" s="27"/>
      <c r="AN34" s="27"/>
      <c r="AO34" s="27"/>
      <c r="AP34" s="27"/>
      <c r="AQ34" s="29"/>
      <c r="AR34" s="29"/>
      <c r="AS34" s="27"/>
      <c r="AT34" s="27">
        <v>44865</v>
      </c>
      <c r="AU34" s="15"/>
      <c r="AV34" s="15"/>
      <c r="AW34" s="15"/>
      <c r="AX34" s="15" t="s">
        <v>293</v>
      </c>
      <c r="AY34" s="15" t="s">
        <v>293</v>
      </c>
      <c r="AZ34" s="15" t="s">
        <v>293</v>
      </c>
      <c r="BA34" s="15" t="s">
        <v>293</v>
      </c>
      <c r="BB34" s="15" t="s">
        <v>293</v>
      </c>
      <c r="BC34" s="15" t="s">
        <v>293</v>
      </c>
      <c r="BD34" s="15" t="s">
        <v>293</v>
      </c>
      <c r="BE34" s="15" t="s">
        <v>293</v>
      </c>
      <c r="BF34" s="15" t="s">
        <v>293</v>
      </c>
      <c r="BG34" s="15" t="s">
        <v>293</v>
      </c>
      <c r="BH34" s="15" t="s">
        <v>293</v>
      </c>
      <c r="BI34" s="15" t="s">
        <v>293</v>
      </c>
      <c r="BJ34" s="15" t="s">
        <v>293</v>
      </c>
      <c r="BK34" s="15" t="s">
        <v>388</v>
      </c>
      <c r="BL34" s="131" t="s">
        <v>388</v>
      </c>
      <c r="BM34" t="s">
        <v>388</v>
      </c>
      <c r="BN34" t="s">
        <v>388</v>
      </c>
      <c r="BO34" t="s">
        <v>389</v>
      </c>
      <c r="BP34" t="s">
        <v>389</v>
      </c>
      <c r="BQ34" t="s">
        <v>389</v>
      </c>
      <c r="BR34" t="s">
        <v>389</v>
      </c>
      <c r="BS34" t="s">
        <v>389</v>
      </c>
      <c r="BT34" t="s">
        <v>389</v>
      </c>
      <c r="BU34" t="s">
        <v>389</v>
      </c>
      <c r="BV34" t="s">
        <v>389</v>
      </c>
      <c r="BW34" t="s">
        <v>389</v>
      </c>
      <c r="BX34" t="s">
        <v>389</v>
      </c>
      <c r="BY34" s="56">
        <v>0</v>
      </c>
      <c r="BZ34" s="56">
        <v>0</v>
      </c>
      <c r="CA34" s="56">
        <v>0</v>
      </c>
      <c r="CB34" s="56">
        <v>83331.850000000006</v>
      </c>
      <c r="CC34" s="56">
        <v>83331.850000000006</v>
      </c>
      <c r="CD34" s="56">
        <v>83331.850000000006</v>
      </c>
      <c r="CE34" s="56">
        <v>83331.850000000006</v>
      </c>
      <c r="CF34" s="56">
        <v>83331.850000000006</v>
      </c>
      <c r="CG34" s="56">
        <v>83331.850000000006</v>
      </c>
      <c r="CH34" s="56">
        <v>83331.850000000006</v>
      </c>
      <c r="CI34" s="56">
        <v>83331.850000000006</v>
      </c>
      <c r="CJ34" s="56">
        <v>83331.850000000006</v>
      </c>
      <c r="CK34" s="56">
        <v>83331.850000000006</v>
      </c>
    </row>
    <row r="35" spans="1:89" ht="13" x14ac:dyDescent="0.3">
      <c r="A35" s="135" t="s">
        <v>331</v>
      </c>
      <c r="B35" s="48">
        <v>137694</v>
      </c>
      <c r="C35" s="47" t="s">
        <v>200</v>
      </c>
      <c r="D35" s="49">
        <v>29612</v>
      </c>
      <c r="E35" s="49">
        <v>53358</v>
      </c>
      <c r="F35" s="47" t="s">
        <v>173</v>
      </c>
      <c r="G35" s="47">
        <v>2005</v>
      </c>
      <c r="H35" s="47"/>
      <c r="I35" s="41">
        <v>841</v>
      </c>
      <c r="J35" s="41">
        <v>0</v>
      </c>
      <c r="K35" s="41">
        <v>0</v>
      </c>
      <c r="L35" s="41">
        <v>0</v>
      </c>
      <c r="M35" s="41">
        <v>1</v>
      </c>
      <c r="N35" s="41">
        <v>0</v>
      </c>
      <c r="O35" s="138">
        <v>2</v>
      </c>
      <c r="P35" s="147">
        <v>0</v>
      </c>
      <c r="Q35" s="139">
        <v>1</v>
      </c>
      <c r="R35" s="139">
        <v>0</v>
      </c>
      <c r="S35" s="139">
        <v>0</v>
      </c>
      <c r="T35" s="140"/>
      <c r="U35" s="147">
        <f>97180*1.225*W35</f>
        <v>35713.65</v>
      </c>
      <c r="V35" s="141">
        <v>2029</v>
      </c>
      <c r="W35" s="141">
        <v>0.3</v>
      </c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31"/>
      <c r="AI35" s="46"/>
      <c r="AJ35" s="27"/>
      <c r="AK35" s="27"/>
      <c r="AL35" s="27"/>
      <c r="AM35" s="27"/>
      <c r="AN35" s="27"/>
      <c r="AO35" s="27"/>
      <c r="AP35" s="27"/>
      <c r="AQ35" s="29"/>
      <c r="AR35" s="29"/>
      <c r="AS35" s="27"/>
      <c r="AT35" s="27">
        <v>47269</v>
      </c>
      <c r="AU35" s="15"/>
      <c r="AV35" s="15"/>
      <c r="AW35" s="15"/>
      <c r="AX35" s="15" t="s">
        <v>293</v>
      </c>
      <c r="AY35" s="15" t="s">
        <v>293</v>
      </c>
      <c r="AZ35" s="15" t="s">
        <v>293</v>
      </c>
      <c r="BA35" s="15" t="s">
        <v>293</v>
      </c>
      <c r="BB35" s="15" t="s">
        <v>293</v>
      </c>
      <c r="BC35" s="15" t="s">
        <v>293</v>
      </c>
      <c r="BD35" s="15" t="s">
        <v>293</v>
      </c>
      <c r="BE35" s="15" t="s">
        <v>293</v>
      </c>
      <c r="BF35" s="15" t="s">
        <v>293</v>
      </c>
      <c r="BG35" s="15" t="s">
        <v>293</v>
      </c>
      <c r="BH35" s="15" t="s">
        <v>293</v>
      </c>
      <c r="BI35" s="15" t="s">
        <v>293</v>
      </c>
      <c r="BJ35" s="15" t="s">
        <v>293</v>
      </c>
      <c r="BK35" s="15" t="s">
        <v>388</v>
      </c>
      <c r="BL35" s="131" t="s">
        <v>388</v>
      </c>
      <c r="BM35" t="s">
        <v>388</v>
      </c>
      <c r="BN35" t="s">
        <v>388</v>
      </c>
      <c r="BO35" t="s">
        <v>388</v>
      </c>
      <c r="BP35" t="s">
        <v>388</v>
      </c>
      <c r="BQ35" t="s">
        <v>388</v>
      </c>
      <c r="BR35" t="s">
        <v>388</v>
      </c>
      <c r="BS35" t="s">
        <v>388</v>
      </c>
      <c r="BT35" t="s">
        <v>388</v>
      </c>
      <c r="BU35" t="s">
        <v>388</v>
      </c>
      <c r="BV35" t="s">
        <v>389</v>
      </c>
      <c r="BW35" t="s">
        <v>389</v>
      </c>
      <c r="BX35" t="s">
        <v>389</v>
      </c>
      <c r="BY35" s="56">
        <v>0</v>
      </c>
      <c r="BZ35" s="56">
        <v>0</v>
      </c>
      <c r="CA35" s="56">
        <v>0</v>
      </c>
      <c r="CB35" s="56">
        <v>0</v>
      </c>
      <c r="CC35" s="56">
        <v>0</v>
      </c>
      <c r="CD35" s="56">
        <v>0</v>
      </c>
      <c r="CE35" s="56">
        <v>0</v>
      </c>
      <c r="CF35" s="56">
        <v>0</v>
      </c>
      <c r="CG35" s="56">
        <v>0</v>
      </c>
      <c r="CH35" s="56">
        <v>0</v>
      </c>
      <c r="CI35" s="56">
        <v>35713.65</v>
      </c>
      <c r="CJ35" s="56">
        <v>35713.65</v>
      </c>
      <c r="CK35" s="56">
        <v>35713.65</v>
      </c>
    </row>
    <row r="36" spans="1:89" ht="13" x14ac:dyDescent="0.3">
      <c r="A36" s="135" t="s">
        <v>18</v>
      </c>
      <c r="B36" s="48">
        <v>104759</v>
      </c>
      <c r="C36" s="47" t="s">
        <v>200</v>
      </c>
      <c r="D36" s="49">
        <v>21750</v>
      </c>
      <c r="E36" s="49">
        <v>45504</v>
      </c>
      <c r="F36" s="47" t="s">
        <v>173</v>
      </c>
      <c r="G36" s="47"/>
      <c r="H36" s="47"/>
      <c r="I36" s="41">
        <v>448</v>
      </c>
      <c r="J36" s="41">
        <v>1</v>
      </c>
      <c r="K36" s="41">
        <v>0</v>
      </c>
      <c r="L36" s="41">
        <v>0</v>
      </c>
      <c r="M36" s="41">
        <v>0</v>
      </c>
      <c r="N36" s="41">
        <v>0</v>
      </c>
      <c r="O36" s="138">
        <v>1</v>
      </c>
      <c r="P36" s="147">
        <v>249541</v>
      </c>
      <c r="Q36" s="139">
        <v>1</v>
      </c>
      <c r="R36" s="139">
        <v>0</v>
      </c>
      <c r="S36" s="139">
        <v>0</v>
      </c>
      <c r="T36" s="140"/>
      <c r="U36" s="139">
        <v>0</v>
      </c>
      <c r="V36" s="141"/>
      <c r="W36" s="141">
        <v>1</v>
      </c>
      <c r="X36" s="24"/>
      <c r="Y36" s="24">
        <v>40231</v>
      </c>
      <c r="Z36" s="24"/>
      <c r="AA36" s="24"/>
      <c r="AB36" s="24"/>
      <c r="AC36" s="24"/>
      <c r="AD36" s="24"/>
      <c r="AE36" s="24"/>
      <c r="AF36" s="24"/>
      <c r="AG36" s="24"/>
      <c r="AH36" s="31"/>
      <c r="AI36" s="46" t="str">
        <f t="shared" ref="AI36:AI47" si="4">IF(YEAR(E36)&lt;2018,YEAR(E36),"")</f>
        <v/>
      </c>
      <c r="AJ36" s="27"/>
      <c r="AK36" s="27"/>
      <c r="AL36" s="27"/>
      <c r="AM36" s="27"/>
      <c r="AN36" s="27"/>
      <c r="AO36" s="27"/>
      <c r="AP36" s="27"/>
      <c r="AQ36" s="29" t="str">
        <f>IF(AND(AD36&lt;&gt;"",AF36="",AG36=""),DATE(YEAR(AD36)+Menu!$E$10,MONTH(AD36)+Menu!$E$11,1),"")</f>
        <v/>
      </c>
      <c r="AR36" s="29" t="str">
        <f t="shared" ref="AR36:AR47" si="5">IF(AF36&lt;&gt;0,AF36,AQ36)</f>
        <v/>
      </c>
      <c r="AS36" s="27" t="str">
        <f>IF(AND(AR36&lt;&gt;"",AH36="",AG36=""),DATE(YEAR(AR36)+Menu!$E$13,MONTH(AR36)+Menu!$E$14,1),"")</f>
        <v/>
      </c>
      <c r="AT36" s="27"/>
      <c r="AU36" s="15" t="s">
        <v>138</v>
      </c>
      <c r="AV36" s="15" t="s">
        <v>138</v>
      </c>
      <c r="AW36" s="16" t="s">
        <v>138</v>
      </c>
      <c r="AX36" s="15" t="s">
        <v>138</v>
      </c>
      <c r="AY36" s="15" t="s">
        <v>138</v>
      </c>
      <c r="AZ36" s="15" t="s">
        <v>138</v>
      </c>
      <c r="BA36" s="15" t="s">
        <v>138</v>
      </c>
      <c r="BB36" s="15" t="s">
        <v>138</v>
      </c>
      <c r="BC36" s="16" t="s">
        <v>129</v>
      </c>
      <c r="BD36" s="16" t="s">
        <v>129</v>
      </c>
      <c r="BE36" s="16" t="s">
        <v>129</v>
      </c>
      <c r="BF36" s="16" t="s">
        <v>129</v>
      </c>
      <c r="BG36" s="16" t="s">
        <v>129</v>
      </c>
      <c r="BH36" s="16" t="s">
        <v>129</v>
      </c>
      <c r="BI36" s="16" t="s">
        <v>129</v>
      </c>
      <c r="BJ36" s="15" t="s">
        <v>129</v>
      </c>
      <c r="BK36" s="15" t="s">
        <v>129</v>
      </c>
      <c r="BL36" s="131" t="s">
        <v>129</v>
      </c>
      <c r="BM36" t="s">
        <v>129</v>
      </c>
      <c r="BN36" t="s">
        <v>129</v>
      </c>
      <c r="BO36" t="s">
        <v>129</v>
      </c>
      <c r="BP36" t="s">
        <v>129</v>
      </c>
      <c r="BQ36" t="s">
        <v>129</v>
      </c>
      <c r="BR36" t="s">
        <v>138</v>
      </c>
      <c r="BS36" t="s">
        <v>138</v>
      </c>
      <c r="BT36" t="s">
        <v>138</v>
      </c>
      <c r="BU36" t="s">
        <v>138</v>
      </c>
      <c r="BV36" t="s">
        <v>138</v>
      </c>
      <c r="BW36" t="s">
        <v>138</v>
      </c>
      <c r="BX36" t="s">
        <v>138</v>
      </c>
      <c r="BY36" s="56">
        <v>249541</v>
      </c>
      <c r="BZ36" s="56">
        <v>249541</v>
      </c>
      <c r="CA36" s="56">
        <v>249541</v>
      </c>
      <c r="CB36" s="56">
        <v>249541</v>
      </c>
      <c r="CC36" s="56">
        <v>249541</v>
      </c>
      <c r="CD36" s="56">
        <v>145565.58333333334</v>
      </c>
      <c r="CE36" s="56">
        <v>0</v>
      </c>
      <c r="CF36" s="56">
        <v>0</v>
      </c>
      <c r="CG36" s="56">
        <v>0</v>
      </c>
      <c r="CH36" s="56">
        <v>0</v>
      </c>
      <c r="CI36" s="56">
        <v>0</v>
      </c>
      <c r="CJ36" s="56">
        <v>0</v>
      </c>
      <c r="CK36" s="56">
        <v>0</v>
      </c>
    </row>
    <row r="37" spans="1:89" ht="13" x14ac:dyDescent="0.3">
      <c r="A37" s="135" t="s">
        <v>19</v>
      </c>
      <c r="B37" s="48">
        <v>104789</v>
      </c>
      <c r="C37" s="47" t="s">
        <v>198</v>
      </c>
      <c r="D37" s="49">
        <v>18437</v>
      </c>
      <c r="E37" s="49">
        <v>41305</v>
      </c>
      <c r="F37" s="47" t="s">
        <v>173</v>
      </c>
      <c r="G37" s="47"/>
      <c r="H37" s="47"/>
      <c r="I37" s="40">
        <v>1010</v>
      </c>
      <c r="J37" s="41">
        <v>0</v>
      </c>
      <c r="K37" s="41">
        <v>0</v>
      </c>
      <c r="L37" s="41">
        <v>1</v>
      </c>
      <c r="M37" s="41">
        <v>0</v>
      </c>
      <c r="N37" s="41">
        <v>0</v>
      </c>
      <c r="O37" s="138">
        <v>0</v>
      </c>
      <c r="P37" s="147">
        <v>0</v>
      </c>
      <c r="Q37" s="139">
        <v>0</v>
      </c>
      <c r="R37" s="139">
        <v>0</v>
      </c>
      <c r="S37" s="139">
        <v>0</v>
      </c>
      <c r="T37" s="140"/>
      <c r="U37" s="139">
        <v>0</v>
      </c>
      <c r="V37" s="141"/>
      <c r="W37" s="141">
        <v>0</v>
      </c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31"/>
      <c r="AI37" s="46">
        <f t="shared" si="4"/>
        <v>2013</v>
      </c>
      <c r="AJ37" s="27"/>
      <c r="AK37" s="27"/>
      <c r="AL37" s="27"/>
      <c r="AM37" s="27"/>
      <c r="AN37" s="27"/>
      <c r="AO37" s="27"/>
      <c r="AP37" s="27"/>
      <c r="AQ37" s="29" t="str">
        <f>IF(AND(AD37&lt;&gt;"",AF37="",AG37=""),DATE(YEAR(AD37)+Menu!$E$10,MONTH(AD37)+Menu!$E$11,1),"")</f>
        <v/>
      </c>
      <c r="AR37" s="29" t="str">
        <f t="shared" si="5"/>
        <v/>
      </c>
      <c r="AS37" s="27" t="str">
        <f>IF(AND(AR37&lt;&gt;"",AH37="",AG37=""),DATE(YEAR(AR37)+Menu!$E$13,MONTH(AR37)+Menu!$E$14,1),"")</f>
        <v/>
      </c>
      <c r="AT37" s="27"/>
      <c r="AU37" s="16" t="s">
        <v>135</v>
      </c>
      <c r="AV37" s="16" t="s">
        <v>135</v>
      </c>
      <c r="AW37" s="16" t="s">
        <v>135</v>
      </c>
      <c r="AX37" s="16" t="s">
        <v>135</v>
      </c>
      <c r="AY37" s="16" t="s">
        <v>135</v>
      </c>
      <c r="AZ37" s="16" t="s">
        <v>135</v>
      </c>
      <c r="BA37" s="16" t="s">
        <v>135</v>
      </c>
      <c r="BB37" s="16" t="s">
        <v>135</v>
      </c>
      <c r="BC37" s="16" t="s">
        <v>135</v>
      </c>
      <c r="BD37" s="16" t="s">
        <v>135</v>
      </c>
      <c r="BE37" s="16" t="s">
        <v>135</v>
      </c>
      <c r="BF37" s="16" t="s">
        <v>136</v>
      </c>
      <c r="BG37" s="16" t="s">
        <v>136</v>
      </c>
      <c r="BH37" s="16" t="s">
        <v>136</v>
      </c>
      <c r="BI37" s="16" t="s">
        <v>136</v>
      </c>
      <c r="BJ37" s="15" t="s">
        <v>136</v>
      </c>
      <c r="BK37" s="15" t="s">
        <v>136</v>
      </c>
      <c r="BL37" s="131"/>
      <c r="BY37" s="56">
        <v>0</v>
      </c>
      <c r="BZ37" s="56"/>
      <c r="CA37" s="56"/>
      <c r="CB37" s="56"/>
      <c r="CC37" s="56"/>
      <c r="CD37" s="56"/>
      <c r="CE37" s="56"/>
      <c r="CF37" s="56"/>
      <c r="CG37" s="56"/>
      <c r="CH37" s="56"/>
      <c r="CI37" s="56"/>
      <c r="CJ37" s="56"/>
      <c r="CK37" s="56"/>
    </row>
    <row r="38" spans="1:89" ht="13" x14ac:dyDescent="0.3">
      <c r="A38" s="135" t="s">
        <v>211</v>
      </c>
      <c r="B38" s="148">
        <v>253103</v>
      </c>
      <c r="C38" s="47" t="s">
        <v>201</v>
      </c>
      <c r="D38" s="49">
        <v>29364</v>
      </c>
      <c r="E38" s="49">
        <v>53113</v>
      </c>
      <c r="F38" s="47" t="s">
        <v>173</v>
      </c>
      <c r="G38" s="47">
        <v>2015</v>
      </c>
      <c r="H38" s="47" t="s">
        <v>133</v>
      </c>
      <c r="I38" s="41">
        <v>892</v>
      </c>
      <c r="J38" s="41">
        <v>0</v>
      </c>
      <c r="K38" s="41">
        <v>0</v>
      </c>
      <c r="L38" s="41">
        <v>0</v>
      </c>
      <c r="M38" s="41">
        <v>0</v>
      </c>
      <c r="N38" s="41">
        <v>1</v>
      </c>
      <c r="O38" s="138">
        <v>0</v>
      </c>
      <c r="P38" s="147">
        <v>512952</v>
      </c>
      <c r="Q38" s="139">
        <v>1</v>
      </c>
      <c r="R38" s="139">
        <v>1</v>
      </c>
      <c r="S38" s="139">
        <v>0</v>
      </c>
      <c r="T38" s="140"/>
      <c r="U38" s="139">
        <v>0</v>
      </c>
      <c r="V38" s="141"/>
      <c r="W38" s="141">
        <v>1</v>
      </c>
      <c r="X38" s="24"/>
      <c r="Y38" s="24"/>
      <c r="Z38" s="24"/>
      <c r="AA38" s="24"/>
      <c r="AB38" s="24"/>
      <c r="AC38" s="24"/>
      <c r="AD38" s="24">
        <v>42064</v>
      </c>
      <c r="AE38" s="24"/>
      <c r="AF38" s="24"/>
      <c r="AG38" s="24"/>
      <c r="AH38" s="31"/>
      <c r="AI38" s="46" t="str">
        <f t="shared" si="4"/>
        <v/>
      </c>
      <c r="AJ38" s="27"/>
      <c r="AK38" s="27"/>
      <c r="AL38" s="27"/>
      <c r="AM38" s="27"/>
      <c r="AN38" s="27"/>
      <c r="AO38" s="27"/>
      <c r="AP38" s="27"/>
      <c r="AQ38" s="29">
        <f>IF(AND(AD38&lt;&gt;"",AF38="",AG38=""),DATE(YEAR(AD38)+Menu!$E$10,MONTH(AD38)+Menu!$E$11,1),"")</f>
        <v>44531</v>
      </c>
      <c r="AR38" s="29">
        <f t="shared" si="5"/>
        <v>44531</v>
      </c>
      <c r="AS38" s="27">
        <f>IF(AND(AR38&lt;&gt;"",AH38="",AG38=""),DATE(YEAR(AR38)+Menu!$E$13,MONTH(AR38)+Menu!$E$14,1),"")</f>
        <v>46997</v>
      </c>
      <c r="AT38" s="27"/>
      <c r="AU38" s="15" t="s">
        <v>138</v>
      </c>
      <c r="AV38" s="15" t="s">
        <v>138</v>
      </c>
      <c r="AW38" s="15" t="s">
        <v>138</v>
      </c>
      <c r="AX38" s="15" t="s">
        <v>138</v>
      </c>
      <c r="AY38" s="15" t="s">
        <v>138</v>
      </c>
      <c r="AZ38" s="15" t="s">
        <v>138</v>
      </c>
      <c r="BA38" s="15" t="s">
        <v>138</v>
      </c>
      <c r="BB38" s="15" t="s">
        <v>138</v>
      </c>
      <c r="BC38" s="15" t="s">
        <v>138</v>
      </c>
      <c r="BD38" s="15" t="s">
        <v>138</v>
      </c>
      <c r="BE38" s="15" t="s">
        <v>138</v>
      </c>
      <c r="BF38" s="15" t="s">
        <v>138</v>
      </c>
      <c r="BG38" s="15" t="s">
        <v>138</v>
      </c>
      <c r="BH38" s="15" t="s">
        <v>133</v>
      </c>
      <c r="BI38" s="15" t="s">
        <v>133</v>
      </c>
      <c r="BJ38" s="15" t="s">
        <v>133</v>
      </c>
      <c r="BK38" s="15" t="s">
        <v>133</v>
      </c>
      <c r="BL38" s="131" t="s">
        <v>133</v>
      </c>
      <c r="BM38" t="s">
        <v>133</v>
      </c>
      <c r="BN38" t="s">
        <v>134</v>
      </c>
      <c r="BO38" t="s">
        <v>134</v>
      </c>
      <c r="BP38" t="s">
        <v>134</v>
      </c>
      <c r="BQ38" t="s">
        <v>134</v>
      </c>
      <c r="BR38" t="s">
        <v>134</v>
      </c>
      <c r="BS38" t="s">
        <v>134</v>
      </c>
      <c r="BT38" t="s">
        <v>134</v>
      </c>
      <c r="BU38" t="s">
        <v>135</v>
      </c>
      <c r="BV38" t="s">
        <v>135</v>
      </c>
      <c r="BW38" t="s">
        <v>135</v>
      </c>
      <c r="BX38" t="s">
        <v>135</v>
      </c>
      <c r="BY38" s="56">
        <v>512952</v>
      </c>
      <c r="BZ38" s="56">
        <v>512952</v>
      </c>
      <c r="CA38" s="56">
        <v>530305</v>
      </c>
      <c r="CB38" s="56">
        <v>530305</v>
      </c>
      <c r="CC38" s="56">
        <v>530305</v>
      </c>
      <c r="CD38" s="56">
        <v>530305</v>
      </c>
      <c r="CE38" s="56">
        <v>721188</v>
      </c>
      <c r="CF38" s="56">
        <v>721188</v>
      </c>
      <c r="CG38" s="56">
        <v>721188</v>
      </c>
      <c r="CH38" s="56">
        <v>739800.5</v>
      </c>
      <c r="CI38" s="56">
        <v>795638</v>
      </c>
      <c r="CJ38" s="56">
        <v>851475.5</v>
      </c>
      <c r="CK38" s="56">
        <v>907313</v>
      </c>
    </row>
    <row r="39" spans="1:89" ht="13" x14ac:dyDescent="0.3">
      <c r="A39" s="180" t="s">
        <v>20</v>
      </c>
      <c r="B39" s="48">
        <v>104846</v>
      </c>
      <c r="C39" s="47" t="s">
        <v>197</v>
      </c>
      <c r="D39" s="49">
        <v>17543</v>
      </c>
      <c r="E39" s="49">
        <v>41305</v>
      </c>
      <c r="F39" s="47" t="s">
        <v>173</v>
      </c>
      <c r="G39" s="47"/>
      <c r="H39" s="47"/>
      <c r="I39" s="40">
        <v>343</v>
      </c>
      <c r="J39" s="41">
        <v>0</v>
      </c>
      <c r="K39" s="41">
        <v>1</v>
      </c>
      <c r="L39" s="41">
        <v>0</v>
      </c>
      <c r="M39" s="41">
        <v>0</v>
      </c>
      <c r="N39" s="41">
        <v>0</v>
      </c>
      <c r="O39" s="138">
        <v>2</v>
      </c>
      <c r="P39" s="147">
        <v>0</v>
      </c>
      <c r="Q39" s="139">
        <v>0</v>
      </c>
      <c r="R39" s="139">
        <v>0</v>
      </c>
      <c r="S39" s="139">
        <v>0</v>
      </c>
      <c r="T39" s="140"/>
      <c r="U39" s="139">
        <v>0</v>
      </c>
      <c r="V39" s="141"/>
      <c r="W39" s="141">
        <v>0</v>
      </c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31"/>
      <c r="AI39" s="46">
        <f t="shared" si="4"/>
        <v>2013</v>
      </c>
      <c r="AJ39" s="27"/>
      <c r="AK39" s="27"/>
      <c r="AL39" s="27"/>
      <c r="AM39" s="27"/>
      <c r="AN39" s="27"/>
      <c r="AO39" s="27"/>
      <c r="AP39" s="27"/>
      <c r="AQ39" s="29" t="str">
        <f>IF(AND(AD39&lt;&gt;"",AF39="",AG39=""),DATE(YEAR(AD39)+Menu!$E$10,MONTH(AD39)+Menu!$E$11,1),"")</f>
        <v/>
      </c>
      <c r="AR39" s="29" t="str">
        <f t="shared" si="5"/>
        <v/>
      </c>
      <c r="AS39" s="27" t="str">
        <f>IF(AND(AR39&lt;&gt;"",AH39="",AG39=""),DATE(YEAR(AR39)+Menu!$E$13,MONTH(AR39)+Menu!$E$14,1),"")</f>
        <v/>
      </c>
      <c r="AT39" s="27"/>
      <c r="AU39" s="16" t="s">
        <v>131</v>
      </c>
      <c r="AV39" s="16" t="s">
        <v>131</v>
      </c>
      <c r="AW39" s="16" t="s">
        <v>131</v>
      </c>
      <c r="AX39" s="16" t="s">
        <v>131</v>
      </c>
      <c r="AY39" s="16" t="s">
        <v>131</v>
      </c>
      <c r="AZ39" s="16" t="s">
        <v>131</v>
      </c>
      <c r="BA39" s="16" t="s">
        <v>131</v>
      </c>
      <c r="BB39" s="16" t="s">
        <v>131</v>
      </c>
      <c r="BC39" s="16" t="s">
        <v>131</v>
      </c>
      <c r="BD39" s="16" t="s">
        <v>131</v>
      </c>
      <c r="BE39" s="16" t="s">
        <v>131</v>
      </c>
      <c r="BF39" s="15" t="s">
        <v>136</v>
      </c>
      <c r="BG39" s="15" t="s">
        <v>136</v>
      </c>
      <c r="BH39" s="15" t="s">
        <v>136</v>
      </c>
      <c r="BI39" s="15" t="s">
        <v>136</v>
      </c>
      <c r="BJ39" s="15" t="s">
        <v>136</v>
      </c>
      <c r="BK39" s="15" t="s">
        <v>136</v>
      </c>
      <c r="BL39" s="131"/>
      <c r="BY39" s="56">
        <v>0</v>
      </c>
      <c r="BZ39" s="56"/>
      <c r="CA39" s="56"/>
      <c r="CB39" s="56"/>
      <c r="CC39" s="56"/>
      <c r="CD39" s="56"/>
      <c r="CE39" s="56"/>
      <c r="CF39" s="56"/>
      <c r="CG39" s="56"/>
      <c r="CH39" s="56"/>
      <c r="CI39" s="56"/>
      <c r="CJ39" s="56"/>
      <c r="CK39" s="56"/>
    </row>
    <row r="40" spans="1:89" ht="13" x14ac:dyDescent="0.3">
      <c r="A40" s="135" t="s">
        <v>21</v>
      </c>
      <c r="B40" s="48">
        <v>211624</v>
      </c>
      <c r="C40" s="47" t="s">
        <v>197</v>
      </c>
      <c r="D40" s="49">
        <v>21665</v>
      </c>
      <c r="E40" s="49">
        <v>45412</v>
      </c>
      <c r="F40" s="47" t="s">
        <v>173</v>
      </c>
      <c r="G40" s="47">
        <v>2012</v>
      </c>
      <c r="H40" s="47" t="s">
        <v>135</v>
      </c>
      <c r="I40" s="41">
        <v>319</v>
      </c>
      <c r="J40" s="41">
        <v>0</v>
      </c>
      <c r="K40" s="41">
        <v>1</v>
      </c>
      <c r="L40" s="41">
        <v>0</v>
      </c>
      <c r="M40" s="41">
        <v>0</v>
      </c>
      <c r="N40" s="41">
        <v>0</v>
      </c>
      <c r="O40" s="138">
        <v>0</v>
      </c>
      <c r="P40" s="147">
        <v>1054083</v>
      </c>
      <c r="Q40" s="139">
        <v>1</v>
      </c>
      <c r="R40" s="139">
        <v>1</v>
      </c>
      <c r="S40" s="139">
        <v>0</v>
      </c>
      <c r="T40" s="140"/>
      <c r="U40" s="139">
        <v>0</v>
      </c>
      <c r="V40" s="141"/>
      <c r="W40" s="141">
        <v>1</v>
      </c>
      <c r="X40" s="24"/>
      <c r="Y40" s="24"/>
      <c r="Z40" s="24"/>
      <c r="AA40" s="24"/>
      <c r="AB40" s="24"/>
      <c r="AC40" s="24"/>
      <c r="AD40" s="24"/>
      <c r="AE40" s="24"/>
      <c r="AF40" s="24"/>
      <c r="AG40" s="24">
        <v>41091</v>
      </c>
      <c r="AH40" s="31"/>
      <c r="AI40" s="46" t="str">
        <f t="shared" si="4"/>
        <v/>
      </c>
      <c r="AJ40" s="27"/>
      <c r="AK40" s="27"/>
      <c r="AL40" s="27"/>
      <c r="AM40" s="27"/>
      <c r="AN40" s="27"/>
      <c r="AO40" s="27"/>
      <c r="AP40" s="27"/>
      <c r="AQ40" s="29" t="str">
        <f>IF(AND(AD40&lt;&gt;"",AF40="",AG40=""),DATE(YEAR(AD40)+Menu!$E$10,MONTH(AD40)+Menu!$E$11,1),"")</f>
        <v/>
      </c>
      <c r="AR40" s="29" t="str">
        <f t="shared" si="5"/>
        <v/>
      </c>
      <c r="AS40" s="27" t="str">
        <f>IF(AND(AR40&lt;&gt;"",AH40="",AG40=""),DATE(YEAR(AR40)+Menu!$E$13,MONTH(AR40)+Menu!$E$14,1),"")</f>
        <v/>
      </c>
      <c r="AT40" s="27"/>
      <c r="AU40" s="15" t="s">
        <v>138</v>
      </c>
      <c r="AV40" s="15" t="s">
        <v>138</v>
      </c>
      <c r="AW40" s="16" t="s">
        <v>138</v>
      </c>
      <c r="AX40" s="15" t="s">
        <v>138</v>
      </c>
      <c r="AY40" s="15" t="s">
        <v>138</v>
      </c>
      <c r="AZ40" s="15" t="s">
        <v>138</v>
      </c>
      <c r="BA40" s="15" t="s">
        <v>138</v>
      </c>
      <c r="BB40" s="15" t="s">
        <v>138</v>
      </c>
      <c r="BC40" s="15" t="s">
        <v>138</v>
      </c>
      <c r="BD40" s="15" t="s">
        <v>138</v>
      </c>
      <c r="BE40" s="16" t="s">
        <v>135</v>
      </c>
      <c r="BF40" s="16" t="s">
        <v>135</v>
      </c>
      <c r="BG40" s="16" t="s">
        <v>135</v>
      </c>
      <c r="BH40" s="16" t="s">
        <v>135</v>
      </c>
      <c r="BI40" s="16" t="s">
        <v>135</v>
      </c>
      <c r="BJ40" s="15" t="s">
        <v>135</v>
      </c>
      <c r="BK40" s="15" t="s">
        <v>135</v>
      </c>
      <c r="BL40" s="131" t="s">
        <v>135</v>
      </c>
      <c r="BM40" t="s">
        <v>135</v>
      </c>
      <c r="BN40" t="s">
        <v>135</v>
      </c>
      <c r="BO40" t="s">
        <v>135</v>
      </c>
      <c r="BP40" t="s">
        <v>135</v>
      </c>
      <c r="BQ40" t="s">
        <v>138</v>
      </c>
      <c r="BR40" t="s">
        <v>138</v>
      </c>
      <c r="BS40" t="s">
        <v>138</v>
      </c>
      <c r="BT40" t="s">
        <v>138</v>
      </c>
      <c r="BU40" t="s">
        <v>138</v>
      </c>
      <c r="BV40" t="s">
        <v>138</v>
      </c>
      <c r="BW40" t="s">
        <v>138</v>
      </c>
      <c r="BX40" t="s">
        <v>138</v>
      </c>
      <c r="BY40" s="56">
        <v>1054083</v>
      </c>
      <c r="BZ40" s="56">
        <v>1000375</v>
      </c>
      <c r="CA40" s="56">
        <v>1000375</v>
      </c>
      <c r="CB40" s="56">
        <v>1000375</v>
      </c>
      <c r="CC40" s="56">
        <v>1000375</v>
      </c>
      <c r="CD40" s="56">
        <v>333458.33333333331</v>
      </c>
      <c r="CE40" s="56">
        <v>0</v>
      </c>
      <c r="CF40" s="56">
        <v>0</v>
      </c>
      <c r="CG40" s="56">
        <v>0</v>
      </c>
      <c r="CH40" s="56">
        <v>0</v>
      </c>
      <c r="CI40" s="56">
        <v>0</v>
      </c>
      <c r="CJ40" s="56">
        <v>0</v>
      </c>
      <c r="CK40" s="56">
        <v>0</v>
      </c>
    </row>
    <row r="41" spans="1:89" ht="13" x14ac:dyDescent="0.3">
      <c r="A41" s="135" t="s">
        <v>22</v>
      </c>
      <c r="B41" s="48">
        <v>104860</v>
      </c>
      <c r="C41" s="47" t="s">
        <v>200</v>
      </c>
      <c r="D41" s="49">
        <v>20870</v>
      </c>
      <c r="E41" s="49">
        <v>44620</v>
      </c>
      <c r="F41" s="47" t="s">
        <v>173</v>
      </c>
      <c r="G41" s="47"/>
      <c r="H41" s="47"/>
      <c r="I41" s="41">
        <v>367</v>
      </c>
      <c r="J41" s="41">
        <v>0</v>
      </c>
      <c r="K41" s="41">
        <v>0</v>
      </c>
      <c r="L41" s="41">
        <v>0</v>
      </c>
      <c r="M41" s="41">
        <v>1</v>
      </c>
      <c r="N41" s="41">
        <v>0</v>
      </c>
      <c r="O41" s="138">
        <v>1</v>
      </c>
      <c r="P41" s="147">
        <v>290680</v>
      </c>
      <c r="Q41" s="139">
        <v>1</v>
      </c>
      <c r="R41" s="139">
        <v>0</v>
      </c>
      <c r="S41" s="139">
        <v>0</v>
      </c>
      <c r="T41" s="140"/>
      <c r="U41" s="139">
        <v>0</v>
      </c>
      <c r="V41" s="141"/>
      <c r="W41" s="141">
        <v>1</v>
      </c>
      <c r="X41" s="24"/>
      <c r="Y41" s="24">
        <v>38775</v>
      </c>
      <c r="Z41" s="24"/>
      <c r="AA41" s="24"/>
      <c r="AB41" s="24">
        <v>39794</v>
      </c>
      <c r="AC41" s="24"/>
      <c r="AD41" s="24"/>
      <c r="AE41" s="24"/>
      <c r="AF41" s="24"/>
      <c r="AG41" s="24"/>
      <c r="AH41" s="31"/>
      <c r="AI41" s="46" t="str">
        <f t="shared" si="4"/>
        <v/>
      </c>
      <c r="AJ41" s="27"/>
      <c r="AK41" s="27"/>
      <c r="AL41" s="27"/>
      <c r="AM41" s="27"/>
      <c r="AN41" s="27"/>
      <c r="AO41" s="27"/>
      <c r="AP41" s="27"/>
      <c r="AQ41" s="29" t="str">
        <f>IF(AND(AD41&lt;&gt;"",AF41="",AG41=""),DATE(YEAR(AD41)+Menu!$E$10,MONTH(AD41)+Menu!$E$11,1),"")</f>
        <v/>
      </c>
      <c r="AR41" s="29" t="str">
        <f t="shared" si="5"/>
        <v/>
      </c>
      <c r="AS41" s="27" t="str">
        <f>IF(AND(AR41&lt;&gt;"",AH41="",AG41=""),DATE(YEAR(AR41)+Menu!$E$13,MONTH(AR41)+Menu!$E$14,1),"")</f>
        <v/>
      </c>
      <c r="AT41" s="27"/>
      <c r="AU41" s="15" t="s">
        <v>138</v>
      </c>
      <c r="AV41" s="15" t="s">
        <v>138</v>
      </c>
      <c r="AW41" s="16" t="s">
        <v>138</v>
      </c>
      <c r="AX41" s="15" t="s">
        <v>138</v>
      </c>
      <c r="AY41" s="16" t="s">
        <v>129</v>
      </c>
      <c r="AZ41" s="16" t="s">
        <v>129</v>
      </c>
      <c r="BA41" s="16" t="s">
        <v>131</v>
      </c>
      <c r="BB41" s="16" t="s">
        <v>131</v>
      </c>
      <c r="BC41" s="16" t="s">
        <v>131</v>
      </c>
      <c r="BD41" s="16" t="s">
        <v>131</v>
      </c>
      <c r="BE41" s="16" t="s">
        <v>131</v>
      </c>
      <c r="BF41" s="16" t="s">
        <v>131</v>
      </c>
      <c r="BG41" s="16" t="s">
        <v>131</v>
      </c>
      <c r="BH41" s="16" t="s">
        <v>131</v>
      </c>
      <c r="BI41" s="16" t="s">
        <v>131</v>
      </c>
      <c r="BJ41" s="15" t="s">
        <v>131</v>
      </c>
      <c r="BK41" s="15" t="s">
        <v>131</v>
      </c>
      <c r="BL41" s="131" t="s">
        <v>131</v>
      </c>
      <c r="BM41" t="s">
        <v>131</v>
      </c>
      <c r="BN41" t="s">
        <v>131</v>
      </c>
      <c r="BO41" t="s">
        <v>131</v>
      </c>
      <c r="BP41" t="s">
        <v>138</v>
      </c>
      <c r="BQ41" t="s">
        <v>138</v>
      </c>
      <c r="BR41" t="s">
        <v>138</v>
      </c>
      <c r="BS41" t="s">
        <v>138</v>
      </c>
      <c r="BT41" t="s">
        <v>138</v>
      </c>
      <c r="BU41" t="s">
        <v>138</v>
      </c>
      <c r="BV41" t="s">
        <v>138</v>
      </c>
      <c r="BW41" t="s">
        <v>138</v>
      </c>
      <c r="BX41" t="s">
        <v>138</v>
      </c>
      <c r="BY41" s="56">
        <v>290680</v>
      </c>
      <c r="BZ41" s="56">
        <v>290680</v>
      </c>
      <c r="CA41" s="56">
        <v>290680</v>
      </c>
      <c r="CB41" s="56">
        <v>48446.666666666664</v>
      </c>
      <c r="CC41" s="56">
        <v>0</v>
      </c>
      <c r="CD41" s="56">
        <v>0</v>
      </c>
      <c r="CE41" s="56">
        <v>0</v>
      </c>
      <c r="CF41" s="56">
        <v>0</v>
      </c>
      <c r="CG41" s="56">
        <v>0</v>
      </c>
      <c r="CH41" s="56">
        <v>0</v>
      </c>
      <c r="CI41" s="56">
        <v>0</v>
      </c>
      <c r="CJ41" s="56">
        <v>0</v>
      </c>
      <c r="CK41" s="56">
        <v>0</v>
      </c>
    </row>
    <row r="42" spans="1:89" ht="13" x14ac:dyDescent="0.3">
      <c r="A42" s="135" t="s">
        <v>189</v>
      </c>
      <c r="B42" s="148"/>
      <c r="C42" s="47"/>
      <c r="D42" s="49">
        <v>14557</v>
      </c>
      <c r="E42" s="49">
        <v>38321</v>
      </c>
      <c r="F42" s="47" t="s">
        <v>173</v>
      </c>
      <c r="G42" s="47"/>
      <c r="H42" s="47"/>
      <c r="I42" s="40">
        <v>0</v>
      </c>
      <c r="J42" s="41">
        <v>0</v>
      </c>
      <c r="K42" s="41">
        <v>0</v>
      </c>
      <c r="L42" s="41">
        <v>0</v>
      </c>
      <c r="M42" s="41">
        <v>0</v>
      </c>
      <c r="N42" s="41">
        <v>0</v>
      </c>
      <c r="O42" s="138">
        <v>0</v>
      </c>
      <c r="P42" s="147">
        <v>0</v>
      </c>
      <c r="Q42" s="139">
        <v>0</v>
      </c>
      <c r="R42" s="139">
        <v>0</v>
      </c>
      <c r="S42" s="139">
        <v>0</v>
      </c>
      <c r="T42" s="140"/>
      <c r="U42" s="139">
        <v>0</v>
      </c>
      <c r="V42" s="141"/>
      <c r="W42" s="141">
        <v>0</v>
      </c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31"/>
      <c r="AI42" s="46">
        <f t="shared" si="4"/>
        <v>2004</v>
      </c>
      <c r="AJ42" s="27"/>
      <c r="AK42" s="27"/>
      <c r="AL42" s="27"/>
      <c r="AM42" s="27"/>
      <c r="AN42" s="27"/>
      <c r="AO42" s="27"/>
      <c r="AP42" s="27"/>
      <c r="AQ42" s="29" t="str">
        <f>IF(AND(AD42&lt;&gt;"",AF42="",AG42=""),DATE(YEAR(AD42)+Menu!$E$10,MONTH(AD42)+Menu!$E$11,1),"")</f>
        <v/>
      </c>
      <c r="AR42" s="29" t="str">
        <f t="shared" si="5"/>
        <v/>
      </c>
      <c r="AS42" s="27" t="str">
        <f>IF(AND(AR42&lt;&gt;"",AH42="",AG42=""),DATE(YEAR(AR42)+Menu!$E$13,MONTH(AR42)+Menu!$E$14,1),"")</f>
        <v/>
      </c>
      <c r="AT42" s="27"/>
      <c r="AU42" s="15" t="s">
        <v>135</v>
      </c>
      <c r="AV42" s="15" t="s">
        <v>135</v>
      </c>
      <c r="AW42" s="16" t="s">
        <v>136</v>
      </c>
      <c r="AX42" s="15" t="s">
        <v>136</v>
      </c>
      <c r="AY42" s="15" t="s">
        <v>136</v>
      </c>
      <c r="AZ42" s="15" t="s">
        <v>136</v>
      </c>
      <c r="BA42" s="15" t="s">
        <v>136</v>
      </c>
      <c r="BB42" s="15" t="s">
        <v>136</v>
      </c>
      <c r="BC42" s="15" t="s">
        <v>136</v>
      </c>
      <c r="BD42" s="15" t="s">
        <v>136</v>
      </c>
      <c r="BE42" s="15" t="s">
        <v>136</v>
      </c>
      <c r="BF42" s="15" t="s">
        <v>136</v>
      </c>
      <c r="BG42" s="15" t="s">
        <v>136</v>
      </c>
      <c r="BH42" s="15" t="s">
        <v>136</v>
      </c>
      <c r="BI42" s="15" t="s">
        <v>136</v>
      </c>
      <c r="BJ42" s="15" t="s">
        <v>136</v>
      </c>
      <c r="BK42" s="15" t="s">
        <v>136</v>
      </c>
      <c r="BL42" s="131"/>
      <c r="BY42" s="56">
        <v>0</v>
      </c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</row>
    <row r="43" spans="1:89" ht="13" x14ac:dyDescent="0.3">
      <c r="A43" s="135" t="s">
        <v>23</v>
      </c>
      <c r="B43" s="48">
        <v>167918</v>
      </c>
      <c r="C43" s="47" t="s">
        <v>196</v>
      </c>
      <c r="D43" s="49">
        <v>20419</v>
      </c>
      <c r="E43" s="49">
        <v>45991</v>
      </c>
      <c r="F43" s="47" t="s">
        <v>173</v>
      </c>
      <c r="G43" s="47"/>
      <c r="H43" s="47"/>
      <c r="I43" s="41">
        <v>408</v>
      </c>
      <c r="J43" s="41">
        <v>1</v>
      </c>
      <c r="K43" s="41">
        <v>0</v>
      </c>
      <c r="L43" s="41">
        <v>0</v>
      </c>
      <c r="M43" s="41">
        <v>0</v>
      </c>
      <c r="N43" s="41">
        <v>0</v>
      </c>
      <c r="O43" s="138">
        <v>0</v>
      </c>
      <c r="P43" s="147">
        <v>528687</v>
      </c>
      <c r="Q43" s="139">
        <v>1</v>
      </c>
      <c r="R43" s="139">
        <v>1</v>
      </c>
      <c r="S43" s="139">
        <v>0</v>
      </c>
      <c r="T43" s="140"/>
      <c r="U43" s="139">
        <v>-250000</v>
      </c>
      <c r="V43" s="141">
        <v>2021</v>
      </c>
      <c r="W43" s="141">
        <v>0.5</v>
      </c>
      <c r="X43" s="24"/>
      <c r="Y43" s="24"/>
      <c r="Z43" s="24"/>
      <c r="AA43" s="24"/>
      <c r="AB43" s="24"/>
      <c r="AC43" s="24"/>
      <c r="AD43" s="24"/>
      <c r="AE43" s="24"/>
      <c r="AF43" s="24"/>
      <c r="AG43" s="24">
        <v>38353</v>
      </c>
      <c r="AH43" s="31"/>
      <c r="AI43" s="46" t="str">
        <f t="shared" si="4"/>
        <v/>
      </c>
      <c r="AJ43" s="27"/>
      <c r="AK43" s="27"/>
      <c r="AL43" s="27"/>
      <c r="AM43" s="27"/>
      <c r="AN43" s="27"/>
      <c r="AO43" s="27"/>
      <c r="AP43" s="27"/>
      <c r="AQ43" s="29" t="str">
        <f>IF(AND(AD43&lt;&gt;"",AF43="",AG43=""),DATE(YEAR(AD43)+Menu!$E$10,MONTH(AD43)+Menu!$E$11,1),"")</f>
        <v/>
      </c>
      <c r="AR43" s="29" t="str">
        <f t="shared" si="5"/>
        <v/>
      </c>
      <c r="AS43" s="27" t="str">
        <f>IF(AND(AR43&lt;&gt;"",AH43="",AG43=""),DATE(YEAR(AR43)+Menu!$E$13,MONTH(AR43)+Menu!$E$14,1),"")</f>
        <v/>
      </c>
      <c r="AT43" s="27"/>
      <c r="AU43" s="15" t="s">
        <v>138</v>
      </c>
      <c r="AV43" s="15" t="s">
        <v>138</v>
      </c>
      <c r="AW43" s="15" t="s">
        <v>138</v>
      </c>
      <c r="AX43" s="16" t="s">
        <v>135</v>
      </c>
      <c r="AY43" s="16" t="s">
        <v>135</v>
      </c>
      <c r="AZ43" s="16" t="s">
        <v>135</v>
      </c>
      <c r="BA43" s="16" t="s">
        <v>135</v>
      </c>
      <c r="BB43" s="16" t="s">
        <v>135</v>
      </c>
      <c r="BC43" s="16" t="s">
        <v>135</v>
      </c>
      <c r="BD43" s="16" t="s">
        <v>135</v>
      </c>
      <c r="BE43" s="16" t="s">
        <v>135</v>
      </c>
      <c r="BF43" s="16" t="s">
        <v>135</v>
      </c>
      <c r="BG43" s="16" t="s">
        <v>135</v>
      </c>
      <c r="BH43" s="16" t="s">
        <v>135</v>
      </c>
      <c r="BI43" s="16" t="s">
        <v>135</v>
      </c>
      <c r="BJ43" s="15" t="s">
        <v>135</v>
      </c>
      <c r="BK43" s="15" t="s">
        <v>135</v>
      </c>
      <c r="BL43" s="131" t="s">
        <v>135</v>
      </c>
      <c r="BM43" t="s">
        <v>135</v>
      </c>
      <c r="BN43" t="s">
        <v>135</v>
      </c>
      <c r="BO43" t="s">
        <v>135</v>
      </c>
      <c r="BP43" t="s">
        <v>135</v>
      </c>
      <c r="BQ43" t="s">
        <v>135</v>
      </c>
      <c r="BR43" t="s">
        <v>138</v>
      </c>
      <c r="BS43" t="s">
        <v>138</v>
      </c>
      <c r="BT43" t="s">
        <v>138</v>
      </c>
      <c r="BU43" t="s">
        <v>138</v>
      </c>
      <c r="BV43" t="s">
        <v>138</v>
      </c>
      <c r="BW43" t="s">
        <v>138</v>
      </c>
      <c r="BX43" t="s">
        <v>138</v>
      </c>
      <c r="BY43" s="56">
        <v>528687</v>
      </c>
      <c r="BZ43" s="56">
        <v>500187.5</v>
      </c>
      <c r="CA43" s="56">
        <v>250187.5</v>
      </c>
      <c r="CB43" s="56">
        <v>278106.25</v>
      </c>
      <c r="CC43" s="56">
        <v>306025</v>
      </c>
      <c r="CD43" s="56">
        <v>333943.75</v>
      </c>
      <c r="CE43" s="56">
        <v>306115.10416666669</v>
      </c>
      <c r="CF43" s="56">
        <v>0</v>
      </c>
      <c r="CG43" s="56">
        <v>0</v>
      </c>
      <c r="CH43" s="56">
        <v>0</v>
      </c>
      <c r="CI43" s="56">
        <v>0</v>
      </c>
      <c r="CJ43" s="56">
        <v>0</v>
      </c>
      <c r="CK43" s="56">
        <v>0</v>
      </c>
    </row>
    <row r="44" spans="1:89" ht="13" x14ac:dyDescent="0.3">
      <c r="A44" s="135" t="s">
        <v>24</v>
      </c>
      <c r="B44" s="48">
        <v>104887</v>
      </c>
      <c r="C44" s="47" t="s">
        <v>198</v>
      </c>
      <c r="D44" s="49">
        <v>18631</v>
      </c>
      <c r="E44" s="49">
        <v>42400</v>
      </c>
      <c r="F44" s="47" t="s">
        <v>173</v>
      </c>
      <c r="G44" s="47"/>
      <c r="H44" s="47"/>
      <c r="I44" s="40">
        <v>1037</v>
      </c>
      <c r="J44" s="41">
        <v>0</v>
      </c>
      <c r="K44" s="41">
        <v>0</v>
      </c>
      <c r="L44" s="41">
        <v>1</v>
      </c>
      <c r="M44" s="41">
        <v>0</v>
      </c>
      <c r="N44" s="41">
        <v>0</v>
      </c>
      <c r="O44" s="138">
        <v>0</v>
      </c>
      <c r="P44" s="147">
        <v>0</v>
      </c>
      <c r="Q44" s="139">
        <v>0</v>
      </c>
      <c r="R44" s="139">
        <v>0</v>
      </c>
      <c r="S44" s="139">
        <v>0</v>
      </c>
      <c r="T44" s="140"/>
      <c r="U44" s="139">
        <v>0</v>
      </c>
      <c r="V44" s="141"/>
      <c r="W44" s="141">
        <v>0</v>
      </c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31"/>
      <c r="AI44" s="46">
        <f t="shared" si="4"/>
        <v>2016</v>
      </c>
      <c r="AJ44" s="27"/>
      <c r="AK44" s="27"/>
      <c r="AL44" s="27"/>
      <c r="AM44" s="27"/>
      <c r="AN44" s="27"/>
      <c r="AO44" s="27"/>
      <c r="AP44" s="27"/>
      <c r="AQ44" s="29" t="str">
        <f>IF(AND(AD44&lt;&gt;"",AF44="",AG44=""),DATE(YEAR(AD44)+Menu!$E$10,MONTH(AD44)+Menu!$E$11,1),"")</f>
        <v/>
      </c>
      <c r="AR44" s="29" t="str">
        <f t="shared" si="5"/>
        <v/>
      </c>
      <c r="AS44" s="27" t="str">
        <f>IF(AND(AR44&lt;&gt;"",AH44="",AG44=""),DATE(YEAR(AR44)+Menu!$E$13,MONTH(AR44)+Menu!$E$14,1),"")</f>
        <v/>
      </c>
      <c r="AT44" s="27"/>
      <c r="AU44" s="16" t="s">
        <v>135</v>
      </c>
      <c r="AV44" s="16" t="s">
        <v>135</v>
      </c>
      <c r="AW44" s="16" t="s">
        <v>135</v>
      </c>
      <c r="AX44" s="16" t="s">
        <v>135</v>
      </c>
      <c r="AY44" s="16" t="s">
        <v>135</v>
      </c>
      <c r="AZ44" s="16" t="s">
        <v>135</v>
      </c>
      <c r="BA44" s="16" t="s">
        <v>135</v>
      </c>
      <c r="BB44" s="16" t="s">
        <v>135</v>
      </c>
      <c r="BC44" s="16" t="s">
        <v>135</v>
      </c>
      <c r="BD44" s="16" t="s">
        <v>135</v>
      </c>
      <c r="BE44" s="16" t="s">
        <v>135</v>
      </c>
      <c r="BF44" s="16" t="s">
        <v>135</v>
      </c>
      <c r="BG44" s="16" t="s">
        <v>135</v>
      </c>
      <c r="BH44" s="16" t="s">
        <v>135</v>
      </c>
      <c r="BI44" s="16" t="s">
        <v>136</v>
      </c>
      <c r="BJ44" s="15" t="s">
        <v>136</v>
      </c>
      <c r="BK44" s="15" t="s">
        <v>136</v>
      </c>
      <c r="BL44" s="131"/>
      <c r="BY44" s="56">
        <v>0</v>
      </c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</row>
    <row r="45" spans="1:89" ht="13" x14ac:dyDescent="0.3">
      <c r="A45" s="42" t="s">
        <v>160</v>
      </c>
      <c r="B45" s="43">
        <v>229644</v>
      </c>
      <c r="C45" s="42" t="s">
        <v>196</v>
      </c>
      <c r="D45" s="44">
        <v>25130</v>
      </c>
      <c r="E45" s="44">
        <v>48883</v>
      </c>
      <c r="F45" s="42" t="s">
        <v>173</v>
      </c>
      <c r="G45" s="47"/>
      <c r="H45" s="47"/>
      <c r="I45" s="40">
        <v>0</v>
      </c>
      <c r="J45" s="41">
        <v>1</v>
      </c>
      <c r="K45" s="41">
        <v>0</v>
      </c>
      <c r="L45" s="41">
        <v>0</v>
      </c>
      <c r="M45" s="41">
        <v>0</v>
      </c>
      <c r="N45" s="41">
        <v>0</v>
      </c>
      <c r="O45" s="138">
        <v>0</v>
      </c>
      <c r="P45" s="147">
        <v>0</v>
      </c>
      <c r="Q45" s="139">
        <v>0</v>
      </c>
      <c r="R45" s="139">
        <v>0</v>
      </c>
      <c r="S45" s="139">
        <v>0</v>
      </c>
      <c r="T45" s="140"/>
      <c r="U45" s="139">
        <v>0</v>
      </c>
      <c r="V45" s="141"/>
      <c r="W45" s="141">
        <v>0</v>
      </c>
      <c r="X45" s="24"/>
      <c r="Y45" s="24"/>
      <c r="Z45" s="24"/>
      <c r="AA45" s="24"/>
      <c r="AB45" s="24"/>
      <c r="AC45" s="24">
        <v>41101</v>
      </c>
      <c r="AD45" s="24"/>
      <c r="AE45" s="24"/>
      <c r="AF45" s="24"/>
      <c r="AG45" s="24"/>
      <c r="AH45" s="31"/>
      <c r="AI45" s="46" t="str">
        <f t="shared" si="4"/>
        <v/>
      </c>
      <c r="AJ45" s="27"/>
      <c r="AK45" s="27"/>
      <c r="AL45" s="27"/>
      <c r="AM45" s="27"/>
      <c r="AN45" s="27"/>
      <c r="AO45" s="27"/>
      <c r="AP45" s="27"/>
      <c r="AQ45" s="29" t="str">
        <f>IF(AND(AD45&lt;&gt;"",AF45="",AG45=""),DATE(YEAR(AD45)+Menu!$E$10,MONTH(AD45)+Menu!$E$11,1),"")</f>
        <v/>
      </c>
      <c r="AR45" s="29" t="str">
        <f t="shared" si="5"/>
        <v/>
      </c>
      <c r="AS45" s="27" t="str">
        <f>IF(AND(AR45&lt;&gt;"",AH45="",AG45=""),DATE(YEAR(AR45)+Menu!$E$13,MONTH(AR45)+Menu!$E$14,1),"")</f>
        <v/>
      </c>
      <c r="AT45" s="27"/>
      <c r="AU45" s="15" t="s">
        <v>138</v>
      </c>
      <c r="AV45" s="15" t="s">
        <v>138</v>
      </c>
      <c r="AW45" s="16" t="s">
        <v>138</v>
      </c>
      <c r="AX45" s="15" t="s">
        <v>138</v>
      </c>
      <c r="AY45" s="15" t="s">
        <v>138</v>
      </c>
      <c r="AZ45" s="15" t="s">
        <v>138</v>
      </c>
      <c r="BA45" s="15" t="s">
        <v>138</v>
      </c>
      <c r="BB45" s="15" t="s">
        <v>138</v>
      </c>
      <c r="BC45" s="15" t="s">
        <v>138</v>
      </c>
      <c r="BD45" s="15" t="s">
        <v>138</v>
      </c>
      <c r="BE45" s="16" t="s">
        <v>132</v>
      </c>
      <c r="BF45" s="16" t="s">
        <v>132</v>
      </c>
      <c r="BG45" s="16" t="s">
        <v>132</v>
      </c>
      <c r="BH45" s="16" t="s">
        <v>132</v>
      </c>
      <c r="BI45" s="16" t="s">
        <v>132</v>
      </c>
      <c r="BJ45" s="15" t="s">
        <v>132</v>
      </c>
      <c r="BK45" s="15" t="s">
        <v>132</v>
      </c>
      <c r="BL45" s="131" t="s">
        <v>132</v>
      </c>
      <c r="BM45" t="s">
        <v>132</v>
      </c>
      <c r="BN45" t="s">
        <v>132</v>
      </c>
      <c r="BO45" t="s">
        <v>132</v>
      </c>
      <c r="BP45" t="s">
        <v>132</v>
      </c>
      <c r="BQ45" t="s">
        <v>132</v>
      </c>
      <c r="BR45" t="s">
        <v>132</v>
      </c>
      <c r="BS45" t="s">
        <v>132</v>
      </c>
      <c r="BT45" t="s">
        <v>132</v>
      </c>
      <c r="BU45" t="s">
        <v>132</v>
      </c>
      <c r="BV45" t="s">
        <v>132</v>
      </c>
      <c r="BW45" t="s">
        <v>132</v>
      </c>
      <c r="BX45" t="s">
        <v>132</v>
      </c>
      <c r="BY45" s="56">
        <v>0</v>
      </c>
      <c r="BZ45" s="56">
        <v>0</v>
      </c>
      <c r="CA45" s="56">
        <v>0</v>
      </c>
      <c r="CB45" s="56">
        <v>0</v>
      </c>
      <c r="CC45" s="56">
        <v>0</v>
      </c>
      <c r="CD45" s="56">
        <v>0</v>
      </c>
      <c r="CE45" s="56">
        <v>0</v>
      </c>
      <c r="CF45" s="56">
        <v>0</v>
      </c>
      <c r="CG45" s="56">
        <v>0</v>
      </c>
      <c r="CH45" s="56">
        <v>0</v>
      </c>
      <c r="CI45" s="56">
        <v>0</v>
      </c>
      <c r="CJ45" s="56">
        <v>0</v>
      </c>
      <c r="CK45" s="56">
        <v>0</v>
      </c>
    </row>
    <row r="46" spans="1:89" ht="13" x14ac:dyDescent="0.3">
      <c r="A46" s="47" t="s">
        <v>147</v>
      </c>
      <c r="B46" s="48">
        <v>0</v>
      </c>
      <c r="C46" s="47" t="s">
        <v>196</v>
      </c>
      <c r="D46" s="49">
        <v>16465</v>
      </c>
      <c r="E46" s="49">
        <v>39599</v>
      </c>
      <c r="F46" s="47" t="s">
        <v>173</v>
      </c>
      <c r="G46" s="47"/>
      <c r="H46" s="47"/>
      <c r="I46" s="40">
        <v>411</v>
      </c>
      <c r="J46" s="41">
        <v>1</v>
      </c>
      <c r="K46" s="41">
        <v>0</v>
      </c>
      <c r="L46" s="41">
        <v>0</v>
      </c>
      <c r="M46" s="41">
        <v>0</v>
      </c>
      <c r="N46" s="41">
        <v>0</v>
      </c>
      <c r="O46" s="138">
        <v>0</v>
      </c>
      <c r="P46" s="147">
        <v>0</v>
      </c>
      <c r="Q46" s="139">
        <v>0</v>
      </c>
      <c r="R46" s="139">
        <v>0</v>
      </c>
      <c r="S46" s="139">
        <v>0</v>
      </c>
      <c r="T46" s="140"/>
      <c r="U46" s="139">
        <v>0</v>
      </c>
      <c r="V46" s="141"/>
      <c r="W46" s="141">
        <v>0</v>
      </c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31"/>
      <c r="AI46" s="46">
        <f t="shared" si="4"/>
        <v>2008</v>
      </c>
      <c r="AJ46" s="27"/>
      <c r="AK46" s="27"/>
      <c r="AL46" s="27"/>
      <c r="AM46" s="27"/>
      <c r="AN46" s="27"/>
      <c r="AO46" s="27"/>
      <c r="AP46" s="27"/>
      <c r="AQ46" s="29" t="str">
        <f>IF(AND(AD46&lt;&gt;"",AF46="",AG46=""),DATE(YEAR(AD46)+Menu!$E$10,MONTH(AD46)+Menu!$E$11,1),"")</f>
        <v/>
      </c>
      <c r="AR46" s="29" t="str">
        <f t="shared" si="5"/>
        <v/>
      </c>
      <c r="AS46" s="27" t="str">
        <f>IF(AND(AR46&lt;&gt;"",AH46="",AG46=""),DATE(YEAR(AR46)+Menu!$E$13,MONTH(AR46)+Menu!$E$14,1),"")</f>
        <v/>
      </c>
      <c r="AT46" s="27"/>
      <c r="AU46" s="16" t="s">
        <v>135</v>
      </c>
      <c r="AV46" s="16" t="s">
        <v>135</v>
      </c>
      <c r="AW46" s="16" t="s">
        <v>135</v>
      </c>
      <c r="AX46" s="16" t="s">
        <v>135</v>
      </c>
      <c r="AY46" s="16" t="s">
        <v>135</v>
      </c>
      <c r="AZ46" s="16" t="s">
        <v>135</v>
      </c>
      <c r="BA46" s="16" t="s">
        <v>136</v>
      </c>
      <c r="BB46" s="16" t="s">
        <v>136</v>
      </c>
      <c r="BC46" s="16" t="s">
        <v>136</v>
      </c>
      <c r="BD46" s="16" t="s">
        <v>136</v>
      </c>
      <c r="BE46" s="16" t="s">
        <v>136</v>
      </c>
      <c r="BF46" s="16" t="s">
        <v>136</v>
      </c>
      <c r="BG46" s="16" t="s">
        <v>136</v>
      </c>
      <c r="BH46" s="16" t="s">
        <v>136</v>
      </c>
      <c r="BI46" s="16" t="s">
        <v>136</v>
      </c>
      <c r="BJ46" s="15" t="s">
        <v>136</v>
      </c>
      <c r="BK46" s="15" t="s">
        <v>136</v>
      </c>
      <c r="BL46" s="131"/>
      <c r="BY46" s="56">
        <v>0</v>
      </c>
      <c r="BZ46" s="56"/>
      <c r="CA46" s="56"/>
      <c r="CB46" s="56"/>
      <c r="CC46" s="56"/>
      <c r="CD46" s="56"/>
      <c r="CE46" s="56"/>
      <c r="CF46" s="56"/>
      <c r="CG46" s="56"/>
      <c r="CH46" s="56"/>
      <c r="CI46" s="56"/>
      <c r="CJ46" s="56"/>
      <c r="CK46" s="56"/>
    </row>
    <row r="47" spans="1:89" ht="13" x14ac:dyDescent="0.3">
      <c r="A47" s="135" t="s">
        <v>25</v>
      </c>
      <c r="B47" s="48">
        <v>107331</v>
      </c>
      <c r="C47" s="47" t="s">
        <v>196</v>
      </c>
      <c r="D47" s="49">
        <v>21144</v>
      </c>
      <c r="E47" s="49">
        <v>44530</v>
      </c>
      <c r="F47" s="47" t="s">
        <v>172</v>
      </c>
      <c r="G47" s="47"/>
      <c r="H47" s="47"/>
      <c r="I47" s="41">
        <v>373</v>
      </c>
      <c r="J47" s="41">
        <v>1</v>
      </c>
      <c r="K47" s="41">
        <v>0</v>
      </c>
      <c r="L47" s="41">
        <v>0</v>
      </c>
      <c r="M47" s="41">
        <v>0</v>
      </c>
      <c r="N47" s="41">
        <v>0</v>
      </c>
      <c r="O47" s="138">
        <v>1</v>
      </c>
      <c r="P47" s="147">
        <v>238754</v>
      </c>
      <c r="Q47" s="139">
        <v>1</v>
      </c>
      <c r="R47" s="139">
        <v>0</v>
      </c>
      <c r="S47" s="139">
        <v>0</v>
      </c>
      <c r="T47" s="140"/>
      <c r="U47" s="139">
        <v>0</v>
      </c>
      <c r="V47" s="141"/>
      <c r="W47" s="141">
        <v>1</v>
      </c>
      <c r="X47" s="24"/>
      <c r="Y47" s="24">
        <v>38775</v>
      </c>
      <c r="Z47" s="24"/>
      <c r="AA47" s="24"/>
      <c r="AB47" s="24">
        <v>41900</v>
      </c>
      <c r="AC47" s="24"/>
      <c r="AD47" s="24"/>
      <c r="AE47" s="24"/>
      <c r="AF47" s="24"/>
      <c r="AG47" s="24"/>
      <c r="AH47" s="31"/>
      <c r="AI47" s="46" t="str">
        <f t="shared" si="4"/>
        <v/>
      </c>
      <c r="AJ47" s="27"/>
      <c r="AK47" s="27"/>
      <c r="AL47" s="27"/>
      <c r="AM47" s="27"/>
      <c r="AN47" s="27"/>
      <c r="AO47" s="27"/>
      <c r="AP47" s="27"/>
      <c r="AQ47" s="29" t="str">
        <f>IF(AND(AD47&lt;&gt;"",AF47="",AG47=""),DATE(YEAR(AD47)+Menu!$E$10,MONTH(AD47)+Menu!$E$11,1),"")</f>
        <v/>
      </c>
      <c r="AR47" s="29" t="str">
        <f t="shared" si="5"/>
        <v/>
      </c>
      <c r="AS47" s="27" t="str">
        <f>IF(AND(AR47&lt;&gt;"",AH47="",AG47=""),DATE(YEAR(AR47)+Menu!$E$13,MONTH(AR47)+Menu!$E$14,1),"")</f>
        <v/>
      </c>
      <c r="AT47" s="27"/>
      <c r="AU47" s="15" t="s">
        <v>138</v>
      </c>
      <c r="AV47" s="15" t="s">
        <v>138</v>
      </c>
      <c r="AW47" s="16" t="s">
        <v>138</v>
      </c>
      <c r="AX47" s="15" t="s">
        <v>138</v>
      </c>
      <c r="AY47" s="16" t="s">
        <v>129</v>
      </c>
      <c r="AZ47" s="16" t="s">
        <v>129</v>
      </c>
      <c r="BA47" s="16" t="s">
        <v>129</v>
      </c>
      <c r="BB47" s="16" t="s">
        <v>129</v>
      </c>
      <c r="BC47" s="16" t="s">
        <v>129</v>
      </c>
      <c r="BD47" s="16" t="s">
        <v>129</v>
      </c>
      <c r="BE47" s="16" t="s">
        <v>129</v>
      </c>
      <c r="BF47" s="16" t="s">
        <v>129</v>
      </c>
      <c r="BG47" s="16" t="s">
        <v>131</v>
      </c>
      <c r="BH47" s="16" t="s">
        <v>131</v>
      </c>
      <c r="BI47" s="16" t="s">
        <v>131</v>
      </c>
      <c r="BJ47" s="15" t="s">
        <v>131</v>
      </c>
      <c r="BK47" s="15" t="s">
        <v>131</v>
      </c>
      <c r="BL47" s="131" t="s">
        <v>131</v>
      </c>
      <c r="BM47" t="s">
        <v>131</v>
      </c>
      <c r="BN47" t="s">
        <v>131</v>
      </c>
      <c r="BO47" t="s">
        <v>138</v>
      </c>
      <c r="BP47" t="s">
        <v>138</v>
      </c>
      <c r="BQ47" t="s">
        <v>138</v>
      </c>
      <c r="BR47" t="s">
        <v>138</v>
      </c>
      <c r="BS47" t="s">
        <v>138</v>
      </c>
      <c r="BT47" t="s">
        <v>138</v>
      </c>
      <c r="BU47" t="s">
        <v>138</v>
      </c>
      <c r="BV47" t="s">
        <v>138</v>
      </c>
      <c r="BW47" t="s">
        <v>138</v>
      </c>
      <c r="BX47" t="s">
        <v>138</v>
      </c>
      <c r="BY47" s="56">
        <v>238754</v>
      </c>
      <c r="BZ47" s="56">
        <v>238754</v>
      </c>
      <c r="CA47" s="56">
        <v>218857.83333333334</v>
      </c>
      <c r="CB47" s="56">
        <v>0</v>
      </c>
      <c r="CC47" s="56">
        <v>0</v>
      </c>
      <c r="CD47" s="56">
        <v>0</v>
      </c>
      <c r="CE47" s="56">
        <v>0</v>
      </c>
      <c r="CF47" s="56">
        <v>0</v>
      </c>
      <c r="CG47" s="56">
        <v>0</v>
      </c>
      <c r="CH47" s="56">
        <v>0</v>
      </c>
      <c r="CI47" s="56">
        <v>0</v>
      </c>
      <c r="CJ47" s="56">
        <v>0</v>
      </c>
      <c r="CK47" s="56">
        <v>0</v>
      </c>
    </row>
    <row r="48" spans="1:89" ht="13" x14ac:dyDescent="0.3">
      <c r="A48" s="175" t="s">
        <v>299</v>
      </c>
      <c r="B48" s="48">
        <v>111726</v>
      </c>
      <c r="C48" s="47" t="s">
        <v>200</v>
      </c>
      <c r="D48" s="49">
        <v>29494</v>
      </c>
      <c r="E48" s="49">
        <v>53235</v>
      </c>
      <c r="F48" s="47" t="s">
        <v>173</v>
      </c>
      <c r="G48" s="47">
        <v>2011</v>
      </c>
      <c r="H48" s="47"/>
      <c r="I48" s="41">
        <v>825</v>
      </c>
      <c r="J48" s="41">
        <v>0</v>
      </c>
      <c r="K48" s="41">
        <v>0</v>
      </c>
      <c r="L48" s="41">
        <v>0</v>
      </c>
      <c r="M48" s="41">
        <v>1</v>
      </c>
      <c r="N48" s="41">
        <v>0</v>
      </c>
      <c r="O48" s="138">
        <v>2</v>
      </c>
      <c r="P48" s="147">
        <v>0</v>
      </c>
      <c r="Q48" s="139">
        <v>1</v>
      </c>
      <c r="R48" s="139">
        <v>0</v>
      </c>
      <c r="S48" s="139">
        <v>0</v>
      </c>
      <c r="T48" s="140"/>
      <c r="U48" s="147">
        <f>104536*1.225*W48</f>
        <v>115250.94</v>
      </c>
      <c r="V48" s="141">
        <v>2022</v>
      </c>
      <c r="W48" s="141">
        <v>0.9</v>
      </c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31"/>
      <c r="AI48" s="46"/>
      <c r="AJ48" s="27"/>
      <c r="AK48" s="27"/>
      <c r="AL48" s="27"/>
      <c r="AM48" s="27"/>
      <c r="AN48" s="27"/>
      <c r="AO48" s="27"/>
      <c r="AP48" s="27"/>
      <c r="AQ48" s="29"/>
      <c r="AR48" s="29"/>
      <c r="AS48" s="27"/>
      <c r="AT48" s="27">
        <v>44865</v>
      </c>
      <c r="AU48" s="15"/>
      <c r="AV48" s="15"/>
      <c r="AW48" s="16"/>
      <c r="AX48" s="15"/>
      <c r="AY48" s="16"/>
      <c r="AZ48" s="16"/>
      <c r="BA48" s="16"/>
      <c r="BB48" s="16"/>
      <c r="BC48" s="16"/>
      <c r="BD48" s="15" t="s">
        <v>293</v>
      </c>
      <c r="BE48" s="15" t="s">
        <v>293</v>
      </c>
      <c r="BF48" s="15" t="s">
        <v>293</v>
      </c>
      <c r="BG48" s="15" t="s">
        <v>293</v>
      </c>
      <c r="BH48" s="15" t="s">
        <v>293</v>
      </c>
      <c r="BI48" s="15" t="s">
        <v>293</v>
      </c>
      <c r="BJ48" s="15" t="s">
        <v>293</v>
      </c>
      <c r="BK48" s="15" t="s">
        <v>388</v>
      </c>
      <c r="BL48" s="131" t="s">
        <v>388</v>
      </c>
      <c r="BM48" t="s">
        <v>388</v>
      </c>
      <c r="BN48" t="s">
        <v>388</v>
      </c>
      <c r="BO48" t="s">
        <v>389</v>
      </c>
      <c r="BP48" t="s">
        <v>389</v>
      </c>
      <c r="BQ48" t="s">
        <v>389</v>
      </c>
      <c r="BR48" t="s">
        <v>389</v>
      </c>
      <c r="BS48" t="s">
        <v>389</v>
      </c>
      <c r="BT48" t="s">
        <v>389</v>
      </c>
      <c r="BU48" t="s">
        <v>389</v>
      </c>
      <c r="BV48" t="s">
        <v>389</v>
      </c>
      <c r="BW48" t="s">
        <v>389</v>
      </c>
      <c r="BX48" t="s">
        <v>389</v>
      </c>
      <c r="BY48" s="56">
        <v>0</v>
      </c>
      <c r="BZ48" s="56">
        <v>0</v>
      </c>
      <c r="CA48" s="56">
        <v>0</v>
      </c>
      <c r="CB48" s="56">
        <v>115250.94</v>
      </c>
      <c r="CC48" s="56">
        <v>115250.94</v>
      </c>
      <c r="CD48" s="56">
        <v>115250.94</v>
      </c>
      <c r="CE48" s="56">
        <v>115250.94</v>
      </c>
      <c r="CF48" s="56">
        <v>115250.94</v>
      </c>
      <c r="CG48" s="56">
        <v>115250.94</v>
      </c>
      <c r="CH48" s="56">
        <v>115250.94</v>
      </c>
      <c r="CI48" s="56">
        <v>115250.94</v>
      </c>
      <c r="CJ48" s="56">
        <v>115250.94</v>
      </c>
      <c r="CK48" s="56">
        <v>115250.94</v>
      </c>
    </row>
    <row r="49" spans="1:89" ht="13" x14ac:dyDescent="0.3">
      <c r="A49" s="135" t="s">
        <v>141</v>
      </c>
      <c r="B49" s="48">
        <v>104931</v>
      </c>
      <c r="C49" s="47" t="s">
        <v>198</v>
      </c>
      <c r="D49" s="49">
        <v>16948</v>
      </c>
      <c r="E49" s="49">
        <v>40694</v>
      </c>
      <c r="F49" s="47" t="s">
        <v>173</v>
      </c>
      <c r="G49" s="47"/>
      <c r="H49" s="47"/>
      <c r="I49" s="40">
        <v>378</v>
      </c>
      <c r="J49" s="41">
        <v>0</v>
      </c>
      <c r="K49" s="41">
        <v>0</v>
      </c>
      <c r="L49" s="41">
        <v>1</v>
      </c>
      <c r="M49" s="41">
        <v>0</v>
      </c>
      <c r="N49" s="41">
        <v>0</v>
      </c>
      <c r="O49" s="138">
        <v>0</v>
      </c>
      <c r="P49" s="147">
        <v>0</v>
      </c>
      <c r="Q49" s="139">
        <v>0</v>
      </c>
      <c r="R49" s="139">
        <v>0</v>
      </c>
      <c r="S49" s="139">
        <v>0</v>
      </c>
      <c r="T49" s="140"/>
      <c r="U49" s="139">
        <v>0</v>
      </c>
      <c r="V49" s="141"/>
      <c r="W49" s="141">
        <v>0</v>
      </c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31"/>
      <c r="AI49" s="46">
        <f t="shared" ref="AI49:AI58" si="6">IF(YEAR(E49)&lt;2018,YEAR(E49),"")</f>
        <v>2011</v>
      </c>
      <c r="AJ49" s="27"/>
      <c r="AK49" s="27"/>
      <c r="AL49" s="27"/>
      <c r="AM49" s="27"/>
      <c r="AN49" s="27"/>
      <c r="AO49" s="27"/>
      <c r="AP49" s="27"/>
      <c r="AQ49" s="29" t="str">
        <f>IF(AND(AD49&lt;&gt;"",AF49="",AG49=""),DATE(YEAR(AD49)+Menu!$E$10,MONTH(AD49)+Menu!$E$11,1),"")</f>
        <v/>
      </c>
      <c r="AR49" s="29" t="str">
        <f t="shared" ref="AR49:AR60" si="7">IF(AF49&lt;&gt;0,AF49,AQ49)</f>
        <v/>
      </c>
      <c r="AS49" s="27" t="str">
        <f>IF(AND(AR49&lt;&gt;"",AH49="",AG49=""),DATE(YEAR(AR49)+Menu!$E$13,MONTH(AR49)+Menu!$E$14,1),"")</f>
        <v/>
      </c>
      <c r="AT49" s="27"/>
      <c r="AU49" s="15" t="s">
        <v>138</v>
      </c>
      <c r="AV49" s="15" t="s">
        <v>138</v>
      </c>
      <c r="AW49" s="16" t="s">
        <v>131</v>
      </c>
      <c r="AX49" s="16" t="s">
        <v>131</v>
      </c>
      <c r="AY49" s="16" t="s">
        <v>131</v>
      </c>
      <c r="AZ49" s="16" t="s">
        <v>131</v>
      </c>
      <c r="BA49" s="16" t="s">
        <v>131</v>
      </c>
      <c r="BB49" s="16" t="s">
        <v>131</v>
      </c>
      <c r="BC49" s="16" t="s">
        <v>131</v>
      </c>
      <c r="BD49" s="16" t="s">
        <v>136</v>
      </c>
      <c r="BE49" s="16" t="s">
        <v>136</v>
      </c>
      <c r="BF49" s="16" t="s">
        <v>136</v>
      </c>
      <c r="BG49" s="16" t="s">
        <v>136</v>
      </c>
      <c r="BH49" s="16" t="s">
        <v>136</v>
      </c>
      <c r="BI49" s="16" t="s">
        <v>136</v>
      </c>
      <c r="BJ49" s="15" t="s">
        <v>136</v>
      </c>
      <c r="BK49" s="15" t="s">
        <v>136</v>
      </c>
      <c r="BL49" s="131"/>
      <c r="BY49" s="56">
        <v>0</v>
      </c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</row>
    <row r="50" spans="1:89" ht="13" x14ac:dyDescent="0.3">
      <c r="A50" s="135" t="s">
        <v>152</v>
      </c>
      <c r="B50" s="48">
        <v>104955</v>
      </c>
      <c r="C50" s="47" t="s">
        <v>197</v>
      </c>
      <c r="D50" s="49">
        <v>16494</v>
      </c>
      <c r="E50" s="49">
        <v>40237</v>
      </c>
      <c r="F50" s="47" t="s">
        <v>173</v>
      </c>
      <c r="G50" s="47"/>
      <c r="H50" s="47"/>
      <c r="I50" s="40">
        <v>334</v>
      </c>
      <c r="J50" s="41">
        <v>0</v>
      </c>
      <c r="K50" s="41">
        <v>1</v>
      </c>
      <c r="L50" s="41">
        <v>0</v>
      </c>
      <c r="M50" s="41">
        <v>0</v>
      </c>
      <c r="N50" s="41">
        <v>0</v>
      </c>
      <c r="O50" s="138">
        <v>0</v>
      </c>
      <c r="P50" s="147">
        <v>0</v>
      </c>
      <c r="Q50" s="139">
        <v>0</v>
      </c>
      <c r="R50" s="139">
        <v>0</v>
      </c>
      <c r="S50" s="139">
        <v>0</v>
      </c>
      <c r="T50" s="140"/>
      <c r="U50" s="139">
        <v>0</v>
      </c>
      <c r="V50" s="141"/>
      <c r="W50" s="141">
        <v>0</v>
      </c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31"/>
      <c r="AI50" s="46">
        <f t="shared" si="6"/>
        <v>2010</v>
      </c>
      <c r="AJ50" s="27"/>
      <c r="AK50" s="27"/>
      <c r="AL50" s="27"/>
      <c r="AM50" s="27"/>
      <c r="AN50" s="27"/>
      <c r="AO50" s="27"/>
      <c r="AP50" s="27"/>
      <c r="AQ50" s="29" t="str">
        <f>IF(AND(AD50&lt;&gt;"",AF50="",AG50=""),DATE(YEAR(AD50)+Menu!$E$10,MONTH(AD50)+Menu!$E$11,1),"")</f>
        <v/>
      </c>
      <c r="AR50" s="29" t="str">
        <f t="shared" si="7"/>
        <v/>
      </c>
      <c r="AS50" s="27" t="str">
        <f>IF(AND(AR50&lt;&gt;"",AH50="",AG50=""),DATE(YEAR(AR50)+Menu!$E$13,MONTH(AR50)+Menu!$E$14,1),"")</f>
        <v/>
      </c>
      <c r="AT50" s="27"/>
      <c r="AU50" s="16" t="s">
        <v>135</v>
      </c>
      <c r="AV50" s="16" t="s">
        <v>135</v>
      </c>
      <c r="AW50" s="16" t="s">
        <v>135</v>
      </c>
      <c r="AX50" s="16" t="s">
        <v>135</v>
      </c>
      <c r="AY50" s="16" t="s">
        <v>135</v>
      </c>
      <c r="AZ50" s="16" t="s">
        <v>135</v>
      </c>
      <c r="BA50" s="16" t="s">
        <v>135</v>
      </c>
      <c r="BB50" s="16" t="s">
        <v>135</v>
      </c>
      <c r="BC50" s="16" t="s">
        <v>136</v>
      </c>
      <c r="BD50" s="16" t="s">
        <v>136</v>
      </c>
      <c r="BE50" s="16" t="s">
        <v>136</v>
      </c>
      <c r="BF50" s="16" t="s">
        <v>136</v>
      </c>
      <c r="BG50" s="16" t="s">
        <v>136</v>
      </c>
      <c r="BH50" s="16" t="s">
        <v>136</v>
      </c>
      <c r="BI50" s="16" t="s">
        <v>136</v>
      </c>
      <c r="BJ50" s="15" t="s">
        <v>136</v>
      </c>
      <c r="BK50" s="15" t="s">
        <v>136</v>
      </c>
      <c r="BL50" s="131"/>
      <c r="BY50" s="56">
        <v>0</v>
      </c>
      <c r="BZ50" s="56"/>
      <c r="CA50" s="56"/>
      <c r="CB50" s="56"/>
      <c r="CC50" s="56"/>
      <c r="CD50" s="56"/>
      <c r="CE50" s="56"/>
      <c r="CF50" s="56"/>
      <c r="CG50" s="56"/>
      <c r="CH50" s="56"/>
      <c r="CI50" s="56"/>
      <c r="CJ50" s="56"/>
      <c r="CK50" s="56"/>
    </row>
    <row r="51" spans="1:89" ht="13" x14ac:dyDescent="0.3">
      <c r="A51" s="135" t="s">
        <v>184</v>
      </c>
      <c r="B51" s="148">
        <v>101178</v>
      </c>
      <c r="C51" s="47" t="s">
        <v>200</v>
      </c>
      <c r="D51" s="49">
        <v>24852</v>
      </c>
      <c r="E51" s="49">
        <v>48610</v>
      </c>
      <c r="F51" s="47" t="s">
        <v>173</v>
      </c>
      <c r="G51" s="47"/>
      <c r="H51" s="47"/>
      <c r="I51" s="41">
        <v>810</v>
      </c>
      <c r="J51" s="41">
        <v>0</v>
      </c>
      <c r="K51" s="41">
        <v>0</v>
      </c>
      <c r="L51" s="41">
        <v>0</v>
      </c>
      <c r="M51" s="41">
        <v>1</v>
      </c>
      <c r="N51" s="41">
        <v>0</v>
      </c>
      <c r="O51" s="138">
        <v>0</v>
      </c>
      <c r="P51" s="147">
        <v>0</v>
      </c>
      <c r="Q51" s="139">
        <v>1</v>
      </c>
      <c r="R51" s="139">
        <v>0</v>
      </c>
      <c r="S51" s="139">
        <v>0</v>
      </c>
      <c r="T51" s="140"/>
      <c r="U51" s="139">
        <v>0</v>
      </c>
      <c r="V51" s="141"/>
      <c r="W51" s="141">
        <v>0.5</v>
      </c>
      <c r="X51" s="24"/>
      <c r="Y51" s="24">
        <v>41323</v>
      </c>
      <c r="Z51" s="24"/>
      <c r="AA51" s="24"/>
      <c r="AB51" s="24"/>
      <c r="AC51" s="24"/>
      <c r="AD51" s="24"/>
      <c r="AE51" s="24"/>
      <c r="AF51" s="24"/>
      <c r="AG51" s="24"/>
      <c r="AH51" s="31"/>
      <c r="AI51" s="46" t="str">
        <f t="shared" si="6"/>
        <v/>
      </c>
      <c r="AJ51" s="27"/>
      <c r="AK51" s="27"/>
      <c r="AL51" s="27"/>
      <c r="AM51" s="27"/>
      <c r="AN51" s="27"/>
      <c r="AO51" s="27"/>
      <c r="AP51" s="27"/>
      <c r="AQ51" s="29" t="str">
        <f>IF(AND(AD51&lt;&gt;"",AF51="",AG51=""),DATE(YEAR(AD51)+Menu!$E$10,MONTH(AD51)+Menu!$E$11,1),"")</f>
        <v/>
      </c>
      <c r="AR51" s="29" t="str">
        <f t="shared" si="7"/>
        <v/>
      </c>
      <c r="AS51" s="27" t="str">
        <f>IF(AND(AR51&lt;&gt;"",AH51="",AG51=""),DATE(YEAR(AR51)+Menu!$E$13,MONTH(AR51)+Menu!$E$14,1),"")</f>
        <v/>
      </c>
      <c r="AT51" s="27"/>
      <c r="AU51" s="15" t="s">
        <v>138</v>
      </c>
      <c r="AV51" s="15" t="s">
        <v>138</v>
      </c>
      <c r="AW51" s="16" t="s">
        <v>138</v>
      </c>
      <c r="AX51" s="16" t="s">
        <v>138</v>
      </c>
      <c r="AY51" s="16" t="s">
        <v>138</v>
      </c>
      <c r="AZ51" s="16" t="s">
        <v>138</v>
      </c>
      <c r="BA51" s="16" t="s">
        <v>138</v>
      </c>
      <c r="BB51" s="16" t="s">
        <v>138</v>
      </c>
      <c r="BC51" s="16" t="s">
        <v>138</v>
      </c>
      <c r="BD51" s="16" t="s">
        <v>138</v>
      </c>
      <c r="BE51" s="16" t="s">
        <v>138</v>
      </c>
      <c r="BF51" s="16" t="s">
        <v>129</v>
      </c>
      <c r="BG51" s="16" t="s">
        <v>129</v>
      </c>
      <c r="BH51" s="16" t="s">
        <v>129</v>
      </c>
      <c r="BI51" s="16" t="s">
        <v>129</v>
      </c>
      <c r="BJ51" s="15" t="s">
        <v>129</v>
      </c>
      <c r="BK51" s="15" t="s">
        <v>129</v>
      </c>
      <c r="BL51" s="131" t="s">
        <v>129</v>
      </c>
      <c r="BM51" t="s">
        <v>129</v>
      </c>
      <c r="BN51" t="s">
        <v>129</v>
      </c>
      <c r="BO51" t="s">
        <v>129</v>
      </c>
      <c r="BP51" t="s">
        <v>129</v>
      </c>
      <c r="BQ51" t="s">
        <v>129</v>
      </c>
      <c r="BR51" t="s">
        <v>129</v>
      </c>
      <c r="BS51" t="s">
        <v>129</v>
      </c>
      <c r="BT51" t="s">
        <v>129</v>
      </c>
      <c r="BU51" t="s">
        <v>129</v>
      </c>
      <c r="BV51" t="s">
        <v>129</v>
      </c>
      <c r="BW51" t="s">
        <v>129</v>
      </c>
      <c r="BX51" t="s">
        <v>129</v>
      </c>
      <c r="BY51" s="56">
        <v>0</v>
      </c>
      <c r="BZ51" s="56">
        <v>0</v>
      </c>
      <c r="CA51" s="56">
        <v>0</v>
      </c>
      <c r="CB51" s="56">
        <v>0</v>
      </c>
      <c r="CC51" s="56">
        <v>0</v>
      </c>
      <c r="CD51" s="56">
        <v>0</v>
      </c>
      <c r="CE51" s="56">
        <v>0</v>
      </c>
      <c r="CF51" s="56">
        <v>0</v>
      </c>
      <c r="CG51" s="56">
        <v>0</v>
      </c>
      <c r="CH51" s="56">
        <v>0</v>
      </c>
      <c r="CI51" s="56">
        <v>0</v>
      </c>
      <c r="CJ51" s="56">
        <v>0</v>
      </c>
      <c r="CK51" s="56">
        <v>0</v>
      </c>
    </row>
    <row r="52" spans="1:89" ht="13" x14ac:dyDescent="0.3">
      <c r="A52" s="135" t="s">
        <v>204</v>
      </c>
      <c r="B52" s="148">
        <v>243438</v>
      </c>
      <c r="C52" s="47" t="s">
        <v>196</v>
      </c>
      <c r="D52" s="49">
        <v>28571</v>
      </c>
      <c r="E52" s="49">
        <v>52321</v>
      </c>
      <c r="F52" s="47" t="s">
        <v>173</v>
      </c>
      <c r="G52" s="47">
        <v>2014</v>
      </c>
      <c r="H52" s="47" t="s">
        <v>133</v>
      </c>
      <c r="I52" s="41">
        <v>446</v>
      </c>
      <c r="J52" s="41">
        <v>1</v>
      </c>
      <c r="K52" s="41">
        <v>0</v>
      </c>
      <c r="L52" s="41">
        <v>0</v>
      </c>
      <c r="M52" s="41">
        <v>0</v>
      </c>
      <c r="N52" s="41">
        <v>0</v>
      </c>
      <c r="O52" s="138">
        <v>0</v>
      </c>
      <c r="P52" s="147">
        <v>655322</v>
      </c>
      <c r="Q52" s="139">
        <v>1</v>
      </c>
      <c r="R52" s="139">
        <v>0</v>
      </c>
      <c r="S52" s="139">
        <v>0</v>
      </c>
      <c r="T52" s="140"/>
      <c r="U52" s="139">
        <v>0</v>
      </c>
      <c r="V52" s="141"/>
      <c r="W52" s="141">
        <v>1</v>
      </c>
      <c r="X52" s="24"/>
      <c r="Y52" s="24"/>
      <c r="Z52" s="24"/>
      <c r="AA52" s="24"/>
      <c r="AB52" s="24"/>
      <c r="AC52" s="24"/>
      <c r="AD52" s="24">
        <v>41671</v>
      </c>
      <c r="AE52" s="24"/>
      <c r="AF52" s="24"/>
      <c r="AG52" s="24"/>
      <c r="AH52" s="31"/>
      <c r="AI52" s="46" t="str">
        <f t="shared" si="6"/>
        <v/>
      </c>
      <c r="AJ52" s="27"/>
      <c r="AK52" s="27"/>
      <c r="AL52" s="27"/>
      <c r="AM52" s="27"/>
      <c r="AN52" s="27"/>
      <c r="AO52" s="27"/>
      <c r="AP52" s="27"/>
      <c r="AQ52" s="29">
        <v>44105</v>
      </c>
      <c r="AR52" s="29">
        <f t="shared" si="7"/>
        <v>44105</v>
      </c>
      <c r="AS52" s="27">
        <f>IF(AND(AR52&lt;&gt;"",AH52="",AG52=""),DATE(YEAR(AR52)+Menu!$E$13,MONTH(AR52)+Menu!$E$14,1),"")</f>
        <v>46569</v>
      </c>
      <c r="AT52" s="27"/>
      <c r="AU52" s="15" t="s">
        <v>138</v>
      </c>
      <c r="AV52" s="15" t="s">
        <v>138</v>
      </c>
      <c r="AW52" s="15" t="s">
        <v>138</v>
      </c>
      <c r="AX52" s="15" t="s">
        <v>138</v>
      </c>
      <c r="AY52" s="15" t="s">
        <v>138</v>
      </c>
      <c r="AZ52" s="15" t="s">
        <v>138</v>
      </c>
      <c r="BA52" s="15" t="s">
        <v>138</v>
      </c>
      <c r="BB52" s="15" t="s">
        <v>138</v>
      </c>
      <c r="BC52" s="15" t="s">
        <v>138</v>
      </c>
      <c r="BD52" s="15" t="s">
        <v>138</v>
      </c>
      <c r="BE52" s="15" t="s">
        <v>138</v>
      </c>
      <c r="BF52" s="15" t="s">
        <v>138</v>
      </c>
      <c r="BG52" s="16" t="s">
        <v>133</v>
      </c>
      <c r="BH52" s="16" t="s">
        <v>133</v>
      </c>
      <c r="BI52" s="16" t="s">
        <v>133</v>
      </c>
      <c r="BJ52" s="15" t="s">
        <v>133</v>
      </c>
      <c r="BK52" s="15" t="s">
        <v>133</v>
      </c>
      <c r="BL52" s="131" t="s">
        <v>133</v>
      </c>
      <c r="BM52" t="s">
        <v>134</v>
      </c>
      <c r="BN52" t="s">
        <v>134</v>
      </c>
      <c r="BO52" t="s">
        <v>134</v>
      </c>
      <c r="BP52" t="s">
        <v>134</v>
      </c>
      <c r="BQ52" t="s">
        <v>134</v>
      </c>
      <c r="BR52" t="s">
        <v>134</v>
      </c>
      <c r="BS52" t="s">
        <v>134</v>
      </c>
      <c r="BT52" t="s">
        <v>135</v>
      </c>
      <c r="BU52" t="s">
        <v>135</v>
      </c>
      <c r="BV52" t="s">
        <v>135</v>
      </c>
      <c r="BW52" t="s">
        <v>135</v>
      </c>
      <c r="BX52" t="s">
        <v>135</v>
      </c>
      <c r="BY52" s="56">
        <v>655322</v>
      </c>
      <c r="BZ52" s="56">
        <v>671788.5</v>
      </c>
      <c r="CA52" s="56">
        <v>671788.5</v>
      </c>
      <c r="CB52" s="56">
        <v>671788.5</v>
      </c>
      <c r="CC52" s="56">
        <v>671788.5</v>
      </c>
      <c r="CD52" s="56">
        <v>721188</v>
      </c>
      <c r="CE52" s="56">
        <v>721188</v>
      </c>
      <c r="CF52" s="56">
        <v>721188</v>
      </c>
      <c r="CG52" s="56">
        <v>749106.75</v>
      </c>
      <c r="CH52" s="56">
        <v>804944.25</v>
      </c>
      <c r="CI52" s="56">
        <v>860781.75</v>
      </c>
      <c r="CJ52" s="56">
        <v>916619.25</v>
      </c>
      <c r="CK52" s="56">
        <v>972456.75</v>
      </c>
    </row>
    <row r="53" spans="1:89" ht="13" x14ac:dyDescent="0.3">
      <c r="A53" s="135" t="s">
        <v>26</v>
      </c>
      <c r="B53" s="48">
        <v>105043</v>
      </c>
      <c r="C53" s="47" t="s">
        <v>196</v>
      </c>
      <c r="D53" s="49">
        <v>23953</v>
      </c>
      <c r="E53" s="49">
        <v>47695</v>
      </c>
      <c r="F53" s="47" t="s">
        <v>173</v>
      </c>
      <c r="G53" s="47"/>
      <c r="H53" s="47"/>
      <c r="I53" s="41">
        <v>429</v>
      </c>
      <c r="J53" s="41">
        <v>1</v>
      </c>
      <c r="K53" s="41">
        <v>0</v>
      </c>
      <c r="L53" s="41">
        <v>0</v>
      </c>
      <c r="M53" s="41">
        <v>0</v>
      </c>
      <c r="N53" s="41">
        <v>0</v>
      </c>
      <c r="O53" s="138">
        <v>1</v>
      </c>
      <c r="P53" s="147">
        <v>298277</v>
      </c>
      <c r="Q53" s="139">
        <v>1</v>
      </c>
      <c r="R53" s="139">
        <v>0</v>
      </c>
      <c r="S53" s="139">
        <v>0</v>
      </c>
      <c r="T53" s="140"/>
      <c r="U53" s="139">
        <v>0</v>
      </c>
      <c r="V53" s="141"/>
      <c r="W53" s="141">
        <v>1</v>
      </c>
      <c r="X53" s="24"/>
      <c r="Y53" s="24"/>
      <c r="Z53" s="24"/>
      <c r="AA53" s="24"/>
      <c r="AB53" s="24">
        <v>35985</v>
      </c>
      <c r="AC53" s="24"/>
      <c r="AD53" s="24"/>
      <c r="AE53" s="24"/>
      <c r="AF53" s="24"/>
      <c r="AG53" s="24"/>
      <c r="AH53" s="31"/>
      <c r="AI53" s="46" t="str">
        <f t="shared" si="6"/>
        <v/>
      </c>
      <c r="AJ53" s="27"/>
      <c r="AK53" s="27"/>
      <c r="AL53" s="27"/>
      <c r="AM53" s="27"/>
      <c r="AN53" s="27"/>
      <c r="AO53" s="27"/>
      <c r="AP53" s="27"/>
      <c r="AQ53" s="29" t="str">
        <f>IF(AND(AD53&lt;&gt;"",AF53="",AG53=""),DATE(YEAR(AD53)+Menu!$E$10,MONTH(AD53)+Menu!$E$11,1),"")</f>
        <v/>
      </c>
      <c r="AR53" s="29" t="str">
        <f t="shared" si="7"/>
        <v/>
      </c>
      <c r="AS53" s="27" t="str">
        <f>IF(AND(AR53&lt;&gt;"",AH53="",AG53=""),DATE(YEAR(AR53)+Menu!$E$13,MONTH(AR53)+Menu!$E$14,1),"")</f>
        <v/>
      </c>
      <c r="AT53" s="27"/>
      <c r="AU53" s="16" t="s">
        <v>131</v>
      </c>
      <c r="AV53" s="16" t="s">
        <v>131</v>
      </c>
      <c r="AW53" s="16" t="s">
        <v>131</v>
      </c>
      <c r="AX53" s="16" t="s">
        <v>131</v>
      </c>
      <c r="AY53" s="16" t="s">
        <v>131</v>
      </c>
      <c r="AZ53" s="16" t="s">
        <v>131</v>
      </c>
      <c r="BA53" s="16" t="s">
        <v>131</v>
      </c>
      <c r="BB53" s="16" t="s">
        <v>131</v>
      </c>
      <c r="BC53" s="16" t="s">
        <v>131</v>
      </c>
      <c r="BD53" s="16" t="s">
        <v>131</v>
      </c>
      <c r="BE53" s="16" t="s">
        <v>131</v>
      </c>
      <c r="BF53" s="16" t="s">
        <v>131</v>
      </c>
      <c r="BG53" s="16" t="s">
        <v>131</v>
      </c>
      <c r="BH53" s="16" t="s">
        <v>131</v>
      </c>
      <c r="BI53" s="16" t="s">
        <v>131</v>
      </c>
      <c r="BJ53" s="15" t="s">
        <v>131</v>
      </c>
      <c r="BK53" s="15" t="s">
        <v>131</v>
      </c>
      <c r="BL53" s="131" t="s">
        <v>131</v>
      </c>
      <c r="BM53" t="s">
        <v>131</v>
      </c>
      <c r="BN53" t="s">
        <v>131</v>
      </c>
      <c r="BO53" t="s">
        <v>131</v>
      </c>
      <c r="BP53" t="s">
        <v>131</v>
      </c>
      <c r="BQ53" t="s">
        <v>131</v>
      </c>
      <c r="BR53" t="s">
        <v>131</v>
      </c>
      <c r="BS53" t="s">
        <v>131</v>
      </c>
      <c r="BT53" t="s">
        <v>131</v>
      </c>
      <c r="BU53" t="s">
        <v>131</v>
      </c>
      <c r="BV53" t="s">
        <v>131</v>
      </c>
      <c r="BW53" t="s">
        <v>131</v>
      </c>
      <c r="BX53" t="s">
        <v>138</v>
      </c>
      <c r="BY53" s="56">
        <v>298277</v>
      </c>
      <c r="BZ53" s="56">
        <v>298277</v>
      </c>
      <c r="CA53" s="56">
        <v>298277</v>
      </c>
      <c r="CB53" s="56">
        <v>298277</v>
      </c>
      <c r="CC53" s="56">
        <v>298277</v>
      </c>
      <c r="CD53" s="56">
        <v>298277</v>
      </c>
      <c r="CE53" s="56">
        <v>298277</v>
      </c>
      <c r="CF53" s="56">
        <v>298277</v>
      </c>
      <c r="CG53" s="56">
        <v>298277</v>
      </c>
      <c r="CH53" s="56">
        <v>298277</v>
      </c>
      <c r="CI53" s="56">
        <v>298277</v>
      </c>
      <c r="CJ53" s="56">
        <v>173994.91666666666</v>
      </c>
      <c r="CK53" s="56">
        <v>0</v>
      </c>
    </row>
    <row r="54" spans="1:89" ht="13" x14ac:dyDescent="0.3">
      <c r="A54" s="135" t="s">
        <v>27</v>
      </c>
      <c r="B54" s="48">
        <v>105059</v>
      </c>
      <c r="C54" s="47" t="s">
        <v>198</v>
      </c>
      <c r="D54" s="49">
        <v>21178</v>
      </c>
      <c r="E54" s="49">
        <v>44926</v>
      </c>
      <c r="F54" s="47" t="s">
        <v>173</v>
      </c>
      <c r="G54" s="47"/>
      <c r="H54" s="47"/>
      <c r="I54" s="41">
        <v>1052</v>
      </c>
      <c r="J54" s="41">
        <v>0</v>
      </c>
      <c r="K54" s="41">
        <v>0</v>
      </c>
      <c r="L54" s="41">
        <v>1</v>
      </c>
      <c r="M54" s="41">
        <v>0</v>
      </c>
      <c r="N54" s="41">
        <v>0</v>
      </c>
      <c r="O54" s="138">
        <v>0</v>
      </c>
      <c r="P54" s="147">
        <v>1054083</v>
      </c>
      <c r="Q54" s="139">
        <v>1</v>
      </c>
      <c r="R54" s="139">
        <v>1</v>
      </c>
      <c r="S54" s="139">
        <v>0</v>
      </c>
      <c r="T54" s="140"/>
      <c r="U54" s="139">
        <v>0</v>
      </c>
      <c r="V54" s="141"/>
      <c r="W54" s="141">
        <v>1</v>
      </c>
      <c r="X54" s="24"/>
      <c r="Y54" s="24"/>
      <c r="Z54" s="24"/>
      <c r="AA54" s="24"/>
      <c r="AB54" s="24"/>
      <c r="AC54" s="24">
        <v>36300</v>
      </c>
      <c r="AD54" s="24"/>
      <c r="AE54" s="24"/>
      <c r="AF54" s="24"/>
      <c r="AG54" s="24">
        <v>41275</v>
      </c>
      <c r="AH54" s="31"/>
      <c r="AI54" s="46" t="str">
        <f t="shared" si="6"/>
        <v/>
      </c>
      <c r="AJ54" s="27"/>
      <c r="AK54" s="27"/>
      <c r="AL54" s="27"/>
      <c r="AM54" s="27"/>
      <c r="AN54" s="27"/>
      <c r="AO54" s="27"/>
      <c r="AP54" s="27"/>
      <c r="AQ54" s="29" t="str">
        <f>IF(AND(AD54&lt;&gt;"",AF54="",AG54=""),DATE(YEAR(AD54)+Menu!$E$10,MONTH(AD54)+Menu!$E$11,1),"")</f>
        <v/>
      </c>
      <c r="AR54" s="29" t="str">
        <f t="shared" si="7"/>
        <v/>
      </c>
      <c r="AS54" s="27" t="str">
        <f>IF(AND(AR54&lt;&gt;"",AH54="",AG54=""),DATE(YEAR(AR54)+Menu!$E$13,MONTH(AR54)+Menu!$E$14,1),"")</f>
        <v/>
      </c>
      <c r="AT54" s="27"/>
      <c r="AU54" s="16" t="s">
        <v>132</v>
      </c>
      <c r="AV54" s="16" t="s">
        <v>132</v>
      </c>
      <c r="AW54" s="16" t="s">
        <v>132</v>
      </c>
      <c r="AX54" s="16" t="s">
        <v>132</v>
      </c>
      <c r="AY54" s="16" t="s">
        <v>132</v>
      </c>
      <c r="AZ54" s="16" t="s">
        <v>132</v>
      </c>
      <c r="BA54" s="16" t="s">
        <v>132</v>
      </c>
      <c r="BB54" s="16" t="s">
        <v>132</v>
      </c>
      <c r="BC54" s="16" t="s">
        <v>132</v>
      </c>
      <c r="BD54" s="16" t="s">
        <v>132</v>
      </c>
      <c r="BE54" s="16" t="s">
        <v>132</v>
      </c>
      <c r="BF54" s="16" t="s">
        <v>135</v>
      </c>
      <c r="BG54" s="16" t="s">
        <v>135</v>
      </c>
      <c r="BH54" s="16" t="s">
        <v>135</v>
      </c>
      <c r="BI54" s="16" t="s">
        <v>135</v>
      </c>
      <c r="BJ54" s="15" t="s">
        <v>135</v>
      </c>
      <c r="BK54" s="15" t="s">
        <v>135</v>
      </c>
      <c r="BL54" s="131" t="s">
        <v>135</v>
      </c>
      <c r="BM54" t="s">
        <v>135</v>
      </c>
      <c r="BN54" t="s">
        <v>135</v>
      </c>
      <c r="BO54" t="s">
        <v>138</v>
      </c>
      <c r="BP54" t="s">
        <v>138</v>
      </c>
      <c r="BQ54" t="s">
        <v>138</v>
      </c>
      <c r="BR54" t="s">
        <v>138</v>
      </c>
      <c r="BS54" t="s">
        <v>138</v>
      </c>
      <c r="BT54" t="s">
        <v>138</v>
      </c>
      <c r="BU54" t="s">
        <v>138</v>
      </c>
      <c r="BV54" t="s">
        <v>138</v>
      </c>
      <c r="BW54" t="s">
        <v>138</v>
      </c>
      <c r="BX54" t="s">
        <v>138</v>
      </c>
      <c r="BY54" s="56">
        <v>1054083</v>
      </c>
      <c r="BZ54" s="56">
        <v>1000375</v>
      </c>
      <c r="CA54" s="56">
        <v>1000375</v>
      </c>
      <c r="CB54" s="56">
        <v>1000375</v>
      </c>
      <c r="CC54" s="56">
        <v>0</v>
      </c>
      <c r="CD54" s="56">
        <v>0</v>
      </c>
      <c r="CE54" s="56">
        <v>0</v>
      </c>
      <c r="CF54" s="56">
        <v>0</v>
      </c>
      <c r="CG54" s="56">
        <v>0</v>
      </c>
      <c r="CH54" s="56">
        <v>0</v>
      </c>
      <c r="CI54" s="56">
        <v>0</v>
      </c>
      <c r="CJ54" s="56">
        <v>0</v>
      </c>
      <c r="CK54" s="56">
        <v>0</v>
      </c>
    </row>
    <row r="55" spans="1:89" ht="13" x14ac:dyDescent="0.3">
      <c r="A55" s="135" t="s">
        <v>28</v>
      </c>
      <c r="B55" s="48">
        <v>199129</v>
      </c>
      <c r="C55" s="47" t="s">
        <v>201</v>
      </c>
      <c r="D55" s="49">
        <v>28471</v>
      </c>
      <c r="E55" s="49">
        <v>52231</v>
      </c>
      <c r="F55" s="47" t="s">
        <v>173</v>
      </c>
      <c r="G55" s="47">
        <v>2010</v>
      </c>
      <c r="H55" s="47" t="s">
        <v>133</v>
      </c>
      <c r="I55" s="41">
        <v>889</v>
      </c>
      <c r="J55" s="41">
        <v>0</v>
      </c>
      <c r="K55" s="41">
        <v>0</v>
      </c>
      <c r="L55" s="41">
        <v>0</v>
      </c>
      <c r="M55" s="41">
        <v>0</v>
      </c>
      <c r="N55" s="41">
        <v>1</v>
      </c>
      <c r="O55" s="138">
        <v>0</v>
      </c>
      <c r="P55" s="147">
        <v>719254</v>
      </c>
      <c r="Q55" s="139">
        <v>1</v>
      </c>
      <c r="R55" s="139">
        <v>0</v>
      </c>
      <c r="S55" s="139">
        <v>0</v>
      </c>
      <c r="T55" s="140"/>
      <c r="U55" s="139">
        <v>0</v>
      </c>
      <c r="V55" s="141"/>
      <c r="W55" s="141">
        <v>1</v>
      </c>
      <c r="X55" s="24"/>
      <c r="Y55" s="24"/>
      <c r="Z55" s="24"/>
      <c r="AA55" s="24"/>
      <c r="AB55" s="24"/>
      <c r="AC55" s="24"/>
      <c r="AD55" s="24">
        <v>40269</v>
      </c>
      <c r="AE55" s="24"/>
      <c r="AF55" s="24">
        <v>42887</v>
      </c>
      <c r="AG55" s="24"/>
      <c r="AH55" s="31"/>
      <c r="AI55" s="46" t="str">
        <f t="shared" si="6"/>
        <v/>
      </c>
      <c r="AJ55" s="27"/>
      <c r="AK55" s="27"/>
      <c r="AL55" s="27"/>
      <c r="AM55" s="27"/>
      <c r="AN55" s="27"/>
      <c r="AO55" s="27"/>
      <c r="AP55" s="27"/>
      <c r="AQ55" s="29" t="str">
        <f>IF(AND(AD55&lt;&gt;"",AF55="",AG55=""),DATE(YEAR(AD55)+Menu!$E$10,MONTH(AD55)+Menu!$E$11,1),"")</f>
        <v/>
      </c>
      <c r="AR55" s="29">
        <f t="shared" si="7"/>
        <v>42887</v>
      </c>
      <c r="AS55" s="27">
        <f>IF(AND(AR55&lt;&gt;"",AH55="",AG55=""),DATE(YEAR(AR55)+Menu!$E$13,MONTH(AR55)+Menu!$E$14,1),"")</f>
        <v>45352</v>
      </c>
      <c r="AT55" s="27"/>
      <c r="AU55" s="15" t="s">
        <v>138</v>
      </c>
      <c r="AV55" s="15" t="s">
        <v>138</v>
      </c>
      <c r="AW55" s="16" t="s">
        <v>138</v>
      </c>
      <c r="AX55" s="15" t="s">
        <v>138</v>
      </c>
      <c r="AY55" s="15" t="s">
        <v>138</v>
      </c>
      <c r="AZ55" s="15" t="s">
        <v>138</v>
      </c>
      <c r="BA55" s="15" t="s">
        <v>138</v>
      </c>
      <c r="BB55" s="15" t="s">
        <v>138</v>
      </c>
      <c r="BC55" s="16" t="s">
        <v>133</v>
      </c>
      <c r="BD55" s="16" t="s">
        <v>133</v>
      </c>
      <c r="BE55" s="16" t="s">
        <v>133</v>
      </c>
      <c r="BF55" s="16" t="s">
        <v>133</v>
      </c>
      <c r="BG55" s="16" t="s">
        <v>133</v>
      </c>
      <c r="BH55" s="16" t="s">
        <v>133</v>
      </c>
      <c r="BI55" s="16" t="s">
        <v>133</v>
      </c>
      <c r="BJ55" s="15" t="s">
        <v>134</v>
      </c>
      <c r="BK55" s="15" t="s">
        <v>134</v>
      </c>
      <c r="BL55" s="131" t="s">
        <v>134</v>
      </c>
      <c r="BM55" t="s">
        <v>134</v>
      </c>
      <c r="BN55" t="s">
        <v>134</v>
      </c>
      <c r="BO55" t="s">
        <v>134</v>
      </c>
      <c r="BP55" t="s">
        <v>134</v>
      </c>
      <c r="BQ55" t="s">
        <v>135</v>
      </c>
      <c r="BR55" t="s">
        <v>135</v>
      </c>
      <c r="BS55" t="s">
        <v>135</v>
      </c>
      <c r="BT55" t="s">
        <v>135</v>
      </c>
      <c r="BU55" t="s">
        <v>135</v>
      </c>
      <c r="BV55" t="s">
        <v>135</v>
      </c>
      <c r="BW55" t="s">
        <v>135</v>
      </c>
      <c r="BX55" t="s">
        <v>135</v>
      </c>
      <c r="BY55" s="56">
        <v>719254</v>
      </c>
      <c r="BZ55" s="56">
        <v>721188</v>
      </c>
      <c r="CA55" s="56">
        <v>721188</v>
      </c>
      <c r="CB55" s="56">
        <v>721188</v>
      </c>
      <c r="CC55" s="56">
        <v>721188</v>
      </c>
      <c r="CD55" s="56">
        <v>767719.25</v>
      </c>
      <c r="CE55" s="56">
        <v>823556.75</v>
      </c>
      <c r="CF55" s="56">
        <v>879394.25</v>
      </c>
      <c r="CG55" s="56">
        <v>935231.75</v>
      </c>
      <c r="CH55" s="56">
        <v>991069.25</v>
      </c>
      <c r="CI55" s="56">
        <v>1000375</v>
      </c>
      <c r="CJ55" s="56">
        <v>1000375</v>
      </c>
      <c r="CK55" s="56">
        <v>1000375</v>
      </c>
    </row>
    <row r="56" spans="1:89" ht="13" x14ac:dyDescent="0.3">
      <c r="A56" s="179" t="s">
        <v>29</v>
      </c>
      <c r="B56" s="48">
        <v>123870</v>
      </c>
      <c r="C56" s="47" t="s">
        <v>197</v>
      </c>
      <c r="D56" s="49">
        <v>22787</v>
      </c>
      <c r="E56" s="49">
        <v>46538</v>
      </c>
      <c r="F56" s="47" t="s">
        <v>173</v>
      </c>
      <c r="G56" s="47"/>
      <c r="H56" s="47"/>
      <c r="I56" s="41">
        <v>332</v>
      </c>
      <c r="J56" s="41">
        <v>0</v>
      </c>
      <c r="K56" s="41">
        <v>1</v>
      </c>
      <c r="L56" s="41">
        <v>0</v>
      </c>
      <c r="M56" s="41">
        <v>0</v>
      </c>
      <c r="N56" s="41">
        <v>0</v>
      </c>
      <c r="O56" s="138">
        <v>2</v>
      </c>
      <c r="P56" s="147">
        <f>160530*1.225</f>
        <v>196649.25</v>
      </c>
      <c r="Q56" s="139">
        <v>1</v>
      </c>
      <c r="R56" s="139">
        <v>0</v>
      </c>
      <c r="S56" s="139">
        <v>0</v>
      </c>
      <c r="T56" s="140"/>
      <c r="U56" s="139">
        <v>0</v>
      </c>
      <c r="V56" s="141"/>
      <c r="W56" s="141">
        <v>1</v>
      </c>
      <c r="X56" s="24"/>
      <c r="Y56" s="24">
        <v>39986</v>
      </c>
      <c r="Z56" s="24"/>
      <c r="AA56" s="24"/>
      <c r="AB56" s="24"/>
      <c r="AC56" s="24"/>
      <c r="AD56" s="24"/>
      <c r="AE56" s="24"/>
      <c r="AF56" s="24"/>
      <c r="AG56" s="24"/>
      <c r="AH56" s="31"/>
      <c r="AI56" s="46" t="str">
        <f t="shared" si="6"/>
        <v/>
      </c>
      <c r="AJ56" s="27"/>
      <c r="AK56" s="27"/>
      <c r="AL56" s="27"/>
      <c r="AM56" s="27"/>
      <c r="AN56" s="27"/>
      <c r="AO56" s="27"/>
      <c r="AP56" s="27"/>
      <c r="AQ56" s="29" t="str">
        <f>IF(AND(AD56&lt;&gt;"",AF56="",AG56=""),DATE(YEAR(AD56)+Menu!$E$10,MONTH(AD56)+Menu!$E$11,1),"")</f>
        <v/>
      </c>
      <c r="AR56" s="29" t="str">
        <f t="shared" si="7"/>
        <v/>
      </c>
      <c r="AS56" s="27" t="str">
        <f>IF(AND(AR56&lt;&gt;"",AH56="",AG56=""),DATE(YEAR(AR56)+Menu!$E$13,MONTH(AR56)+Menu!$E$14,1),"")</f>
        <v/>
      </c>
      <c r="AT56" s="27"/>
      <c r="AU56" s="15" t="s">
        <v>138</v>
      </c>
      <c r="AV56" s="15" t="s">
        <v>138</v>
      </c>
      <c r="AW56" s="16" t="s">
        <v>138</v>
      </c>
      <c r="AX56" s="15" t="s">
        <v>138</v>
      </c>
      <c r="AY56" s="15" t="s">
        <v>138</v>
      </c>
      <c r="AZ56" s="15" t="s">
        <v>138</v>
      </c>
      <c r="BA56" s="15" t="s">
        <v>138</v>
      </c>
      <c r="BB56" s="16" t="s">
        <v>129</v>
      </c>
      <c r="BC56" s="16" t="s">
        <v>129</v>
      </c>
      <c r="BD56" s="16" t="s">
        <v>129</v>
      </c>
      <c r="BE56" s="16" t="s">
        <v>129</v>
      </c>
      <c r="BF56" s="16" t="s">
        <v>129</v>
      </c>
      <c r="BG56" s="16" t="s">
        <v>129</v>
      </c>
      <c r="BH56" s="16" t="s">
        <v>129</v>
      </c>
      <c r="BI56" s="16" t="s">
        <v>129</v>
      </c>
      <c r="BJ56" s="15" t="s">
        <v>129</v>
      </c>
      <c r="BK56" s="15" t="s">
        <v>129</v>
      </c>
      <c r="BL56" s="131" t="s">
        <v>129</v>
      </c>
      <c r="BM56" t="s">
        <v>129</v>
      </c>
      <c r="BN56" t="s">
        <v>129</v>
      </c>
      <c r="BO56" t="s">
        <v>129</v>
      </c>
      <c r="BP56" t="s">
        <v>129</v>
      </c>
      <c r="BQ56" t="s">
        <v>129</v>
      </c>
      <c r="BR56" t="s">
        <v>129</v>
      </c>
      <c r="BS56" t="s">
        <v>129</v>
      </c>
      <c r="BT56" t="s">
        <v>129</v>
      </c>
      <c r="BU56" t="s">
        <v>138</v>
      </c>
      <c r="BV56" t="s">
        <v>138</v>
      </c>
      <c r="BW56" t="s">
        <v>138</v>
      </c>
      <c r="BX56" t="s">
        <v>138</v>
      </c>
      <c r="BY56" s="56">
        <v>196649.25</v>
      </c>
      <c r="BZ56" s="56">
        <v>196649.25</v>
      </c>
      <c r="CA56" s="56">
        <v>196649.25</v>
      </c>
      <c r="CB56" s="56">
        <v>196649.25</v>
      </c>
      <c r="CC56" s="56">
        <v>196649.25</v>
      </c>
      <c r="CD56" s="56">
        <v>196649.25</v>
      </c>
      <c r="CE56" s="56">
        <v>196649.25</v>
      </c>
      <c r="CF56" s="56">
        <v>196649.25</v>
      </c>
      <c r="CG56" s="56">
        <v>81937.1875</v>
      </c>
      <c r="CH56" s="56">
        <v>0</v>
      </c>
      <c r="CI56" s="56">
        <v>0</v>
      </c>
      <c r="CJ56" s="56">
        <v>0</v>
      </c>
      <c r="CK56" s="56">
        <v>0</v>
      </c>
    </row>
    <row r="57" spans="1:89" ht="13" x14ac:dyDescent="0.3">
      <c r="A57" s="135" t="s">
        <v>30</v>
      </c>
      <c r="B57" s="48">
        <v>152066</v>
      </c>
      <c r="C57" s="47" t="s">
        <v>198</v>
      </c>
      <c r="D57" s="49">
        <v>19422</v>
      </c>
      <c r="E57" s="49">
        <v>43190</v>
      </c>
      <c r="F57" s="47" t="s">
        <v>173</v>
      </c>
      <c r="G57" s="47">
        <v>2009</v>
      </c>
      <c r="H57" s="47" t="s">
        <v>135</v>
      </c>
      <c r="I57" s="41">
        <v>1048</v>
      </c>
      <c r="J57" s="41">
        <v>0</v>
      </c>
      <c r="K57" s="41">
        <v>0</v>
      </c>
      <c r="L57" s="41">
        <v>1</v>
      </c>
      <c r="M57" s="41">
        <v>0</v>
      </c>
      <c r="N57" s="41">
        <v>0</v>
      </c>
      <c r="O57" s="138">
        <v>0</v>
      </c>
      <c r="P57" s="147">
        <v>0</v>
      </c>
      <c r="Q57" s="139">
        <v>1</v>
      </c>
      <c r="R57" s="139">
        <v>0</v>
      </c>
      <c r="S57" s="139">
        <v>0</v>
      </c>
      <c r="T57" s="140"/>
      <c r="U57" s="139">
        <v>0</v>
      </c>
      <c r="V57" s="141"/>
      <c r="W57" s="141">
        <v>0</v>
      </c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31"/>
      <c r="AI57" s="46" t="str">
        <f t="shared" si="6"/>
        <v/>
      </c>
      <c r="AJ57" s="27"/>
      <c r="AK57" s="27"/>
      <c r="AL57" s="27"/>
      <c r="AM57" s="27"/>
      <c r="AN57" s="27"/>
      <c r="AO57" s="27"/>
      <c r="AP57" s="27"/>
      <c r="AQ57" s="29" t="str">
        <f>IF(AND(AD57&lt;&gt;"",AF57="",AG57=""),DATE(YEAR(AD57)+Menu!$E$10,MONTH(AD57)+Menu!$E$11,1),"")</f>
        <v/>
      </c>
      <c r="AR57" s="29" t="str">
        <f t="shared" si="7"/>
        <v/>
      </c>
      <c r="AS57" s="27" t="str">
        <f>IF(AND(AR57&lt;&gt;"",AH57="",AG57=""),DATE(YEAR(AR57)+Menu!$E$13,MONTH(AR57)+Menu!$E$14,1),"")</f>
        <v/>
      </c>
      <c r="AT57" s="27"/>
      <c r="AU57" s="15" t="s">
        <v>138</v>
      </c>
      <c r="AV57" s="15" t="s">
        <v>138</v>
      </c>
      <c r="AW57" s="16" t="s">
        <v>138</v>
      </c>
      <c r="AX57" s="15" t="s">
        <v>138</v>
      </c>
      <c r="AY57" s="15" t="s">
        <v>138</v>
      </c>
      <c r="AZ57" s="15" t="s">
        <v>138</v>
      </c>
      <c r="BA57" s="15" t="s">
        <v>138</v>
      </c>
      <c r="BB57" s="16" t="s">
        <v>135</v>
      </c>
      <c r="BC57" s="16" t="s">
        <v>135</v>
      </c>
      <c r="BD57" s="16" t="s">
        <v>135</v>
      </c>
      <c r="BE57" s="16" t="s">
        <v>135</v>
      </c>
      <c r="BF57" s="16" t="s">
        <v>135</v>
      </c>
      <c r="BG57" s="16" t="s">
        <v>135</v>
      </c>
      <c r="BH57" s="16" t="s">
        <v>135</v>
      </c>
      <c r="BI57" s="16" t="s">
        <v>135</v>
      </c>
      <c r="BJ57" s="15" t="s">
        <v>135</v>
      </c>
      <c r="BK57" s="15" t="s">
        <v>138</v>
      </c>
      <c r="BL57" s="131" t="s">
        <v>138</v>
      </c>
      <c r="BM57" t="s">
        <v>138</v>
      </c>
      <c r="BN57" t="s">
        <v>138</v>
      </c>
      <c r="BO57" t="s">
        <v>138</v>
      </c>
      <c r="BP57" t="s">
        <v>138</v>
      </c>
      <c r="BQ57" t="s">
        <v>138</v>
      </c>
      <c r="BR57" t="s">
        <v>138</v>
      </c>
      <c r="BS57" t="s">
        <v>138</v>
      </c>
      <c r="BT57" t="s">
        <v>138</v>
      </c>
      <c r="BU57" t="s">
        <v>138</v>
      </c>
      <c r="BV57" t="s">
        <v>138</v>
      </c>
      <c r="BW57" t="s">
        <v>138</v>
      </c>
      <c r="BX57" t="s">
        <v>138</v>
      </c>
      <c r="BY57" s="56">
        <v>0</v>
      </c>
      <c r="BZ57" s="56">
        <v>0</v>
      </c>
      <c r="CA57" s="56">
        <v>0</v>
      </c>
      <c r="CB57" s="56">
        <v>0</v>
      </c>
      <c r="CC57" s="56">
        <v>0</v>
      </c>
      <c r="CD57" s="56">
        <v>0</v>
      </c>
      <c r="CE57" s="56">
        <v>0</v>
      </c>
      <c r="CF57" s="56">
        <v>0</v>
      </c>
      <c r="CG57" s="56">
        <v>0</v>
      </c>
      <c r="CH57" s="56">
        <v>0</v>
      </c>
      <c r="CI57" s="56">
        <v>0</v>
      </c>
      <c r="CJ57" s="56">
        <v>0</v>
      </c>
      <c r="CK57" s="56">
        <v>0</v>
      </c>
    </row>
    <row r="58" spans="1:89" ht="13" x14ac:dyDescent="0.3">
      <c r="A58" s="135" t="s">
        <v>31</v>
      </c>
      <c r="B58" s="48">
        <v>105085</v>
      </c>
      <c r="C58" s="47" t="s">
        <v>197</v>
      </c>
      <c r="D58" s="49">
        <v>17576</v>
      </c>
      <c r="E58" s="49">
        <v>41486</v>
      </c>
      <c r="F58" s="47" t="s">
        <v>173</v>
      </c>
      <c r="G58" s="47"/>
      <c r="H58" s="47"/>
      <c r="I58" s="40">
        <v>312</v>
      </c>
      <c r="J58" s="41">
        <v>0</v>
      </c>
      <c r="K58" s="41">
        <v>1</v>
      </c>
      <c r="L58" s="41">
        <v>0</v>
      </c>
      <c r="M58" s="41">
        <v>0</v>
      </c>
      <c r="N58" s="41">
        <v>0</v>
      </c>
      <c r="O58" s="138">
        <v>0</v>
      </c>
      <c r="P58" s="147">
        <v>0</v>
      </c>
      <c r="Q58" s="139">
        <v>0</v>
      </c>
      <c r="R58" s="139">
        <v>0</v>
      </c>
      <c r="S58" s="139">
        <v>0</v>
      </c>
      <c r="T58" s="140"/>
      <c r="U58" s="139">
        <v>0</v>
      </c>
      <c r="V58" s="141"/>
      <c r="W58" s="141">
        <v>0</v>
      </c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31"/>
      <c r="AI58" s="46">
        <f t="shared" si="6"/>
        <v>2013</v>
      </c>
      <c r="AJ58" s="27"/>
      <c r="AK58" s="27"/>
      <c r="AL58" s="27"/>
      <c r="AM58" s="27"/>
      <c r="AN58" s="27"/>
      <c r="AO58" s="27"/>
      <c r="AP58" s="27"/>
      <c r="AQ58" s="29" t="str">
        <f>IF(AND(AD58&lt;&gt;"",AF58="",AG58=""),DATE(YEAR(AD58)+Menu!$E$10,MONTH(AD58)+Menu!$E$11,1),"")</f>
        <v/>
      </c>
      <c r="AR58" s="29" t="str">
        <f t="shared" si="7"/>
        <v/>
      </c>
      <c r="AS58" s="27" t="str">
        <f>IF(AND(AR58&lt;&gt;"",AH58="",AG58=""),DATE(YEAR(AR58)+Menu!$E$13,MONTH(AR58)+Menu!$E$14,1),"")</f>
        <v/>
      </c>
      <c r="AT58" s="27"/>
      <c r="AU58" s="16" t="s">
        <v>135</v>
      </c>
      <c r="AV58" s="16" t="s">
        <v>135</v>
      </c>
      <c r="AW58" s="16" t="s">
        <v>135</v>
      </c>
      <c r="AX58" s="16" t="s">
        <v>135</v>
      </c>
      <c r="AY58" s="16" t="s">
        <v>135</v>
      </c>
      <c r="AZ58" s="16" t="s">
        <v>135</v>
      </c>
      <c r="BA58" s="16" t="s">
        <v>135</v>
      </c>
      <c r="BB58" s="16" t="s">
        <v>135</v>
      </c>
      <c r="BC58" s="16" t="s">
        <v>135</v>
      </c>
      <c r="BD58" s="16" t="s">
        <v>135</v>
      </c>
      <c r="BE58" s="16" t="s">
        <v>135</v>
      </c>
      <c r="BF58" s="15" t="s">
        <v>136</v>
      </c>
      <c r="BG58" s="15" t="s">
        <v>136</v>
      </c>
      <c r="BH58" s="15" t="s">
        <v>136</v>
      </c>
      <c r="BI58" s="15" t="s">
        <v>136</v>
      </c>
      <c r="BJ58" s="15" t="s">
        <v>136</v>
      </c>
      <c r="BK58" s="15" t="s">
        <v>136</v>
      </c>
      <c r="BL58" s="131"/>
      <c r="BY58" s="56">
        <v>0</v>
      </c>
      <c r="BZ58" s="56"/>
      <c r="CA58" s="56"/>
      <c r="CB58" s="56"/>
      <c r="CC58" s="56"/>
      <c r="CD58" s="56"/>
      <c r="CE58" s="56"/>
      <c r="CF58" s="56"/>
      <c r="CG58" s="56"/>
      <c r="CH58" s="56"/>
      <c r="CI58" s="56"/>
      <c r="CJ58" s="56"/>
      <c r="CK58" s="56"/>
    </row>
    <row r="59" spans="1:89" ht="13" x14ac:dyDescent="0.3">
      <c r="A59" s="135" t="s">
        <v>142</v>
      </c>
      <c r="B59" s="48">
        <v>113285</v>
      </c>
      <c r="C59" s="47" t="s">
        <v>196</v>
      </c>
      <c r="D59" s="49">
        <v>21327</v>
      </c>
      <c r="E59" s="49">
        <v>45077</v>
      </c>
      <c r="F59" s="47" t="s">
        <v>173</v>
      </c>
      <c r="G59" s="47"/>
      <c r="H59" s="47"/>
      <c r="I59" s="40">
        <v>0</v>
      </c>
      <c r="J59" s="41">
        <v>1</v>
      </c>
      <c r="K59" s="41">
        <v>0</v>
      </c>
      <c r="L59" s="41">
        <v>0</v>
      </c>
      <c r="M59" s="41">
        <v>0</v>
      </c>
      <c r="N59" s="41">
        <v>0</v>
      </c>
      <c r="O59" s="138">
        <v>0</v>
      </c>
      <c r="P59" s="147">
        <v>0</v>
      </c>
      <c r="Q59" s="139">
        <v>0</v>
      </c>
      <c r="R59" s="139">
        <v>0</v>
      </c>
      <c r="S59" s="139">
        <v>0</v>
      </c>
      <c r="T59" s="140"/>
      <c r="U59" s="139">
        <v>0</v>
      </c>
      <c r="V59" s="141"/>
      <c r="W59" s="141">
        <v>0</v>
      </c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31"/>
      <c r="AI59" s="46">
        <v>2011</v>
      </c>
      <c r="AJ59" s="27"/>
      <c r="AK59" s="27"/>
      <c r="AL59" s="27"/>
      <c r="AM59" s="27"/>
      <c r="AN59" s="27"/>
      <c r="AO59" s="27"/>
      <c r="AP59" s="27"/>
      <c r="AQ59" s="29" t="str">
        <f>IF(AND(AD59&lt;&gt;"",AF59="",AG59=""),DATE(YEAR(AD59)+Menu!$E$10,MONTH(AD59)+Menu!$E$11,1),"")</f>
        <v/>
      </c>
      <c r="AR59" s="29" t="str">
        <f t="shared" si="7"/>
        <v/>
      </c>
      <c r="AS59" s="27" t="str">
        <f>IF(AND(AR59&lt;&gt;"",AH59="",AG59=""),DATE(YEAR(AR59)+Menu!$E$13,MONTH(AR59)+Menu!$E$14,1),"")</f>
        <v/>
      </c>
      <c r="AT59" s="27"/>
      <c r="AU59" s="16" t="s">
        <v>131</v>
      </c>
      <c r="AV59" s="16" t="s">
        <v>131</v>
      </c>
      <c r="AW59" s="16" t="s">
        <v>131</v>
      </c>
      <c r="AX59" s="16" t="s">
        <v>131</v>
      </c>
      <c r="AY59" s="16" t="s">
        <v>131</v>
      </c>
      <c r="AZ59" s="16" t="s">
        <v>131</v>
      </c>
      <c r="BA59" s="16" t="s">
        <v>131</v>
      </c>
      <c r="BB59" s="16" t="s">
        <v>131</v>
      </c>
      <c r="BC59" s="16" t="s">
        <v>131</v>
      </c>
      <c r="BD59" s="15" t="s">
        <v>138</v>
      </c>
      <c r="BE59" s="15" t="s">
        <v>138</v>
      </c>
      <c r="BF59" s="16" t="s">
        <v>138</v>
      </c>
      <c r="BG59" s="16" t="s">
        <v>138</v>
      </c>
      <c r="BH59" s="16" t="s">
        <v>138</v>
      </c>
      <c r="BI59" s="16" t="s">
        <v>138</v>
      </c>
      <c r="BJ59" s="15" t="s">
        <v>138</v>
      </c>
      <c r="BK59" s="15" t="s">
        <v>138</v>
      </c>
      <c r="BL59" s="131"/>
      <c r="BY59" s="56">
        <v>0</v>
      </c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</row>
    <row r="60" spans="1:89" ht="13" x14ac:dyDescent="0.3">
      <c r="A60" s="135" t="s">
        <v>229</v>
      </c>
      <c r="B60" s="48">
        <v>275762</v>
      </c>
      <c r="C60" s="47" t="s">
        <v>197</v>
      </c>
      <c r="D60" s="49">
        <v>25863</v>
      </c>
      <c r="E60" s="49">
        <v>49613</v>
      </c>
      <c r="F60" s="47" t="s">
        <v>173</v>
      </c>
      <c r="G60" s="47"/>
      <c r="H60" s="47"/>
      <c r="I60" s="41">
        <v>324</v>
      </c>
      <c r="J60" s="41">
        <v>0</v>
      </c>
      <c r="K60" s="41">
        <v>1</v>
      </c>
      <c r="L60" s="41">
        <v>0</v>
      </c>
      <c r="M60" s="41">
        <v>0</v>
      </c>
      <c r="N60" s="41">
        <v>0</v>
      </c>
      <c r="O60" s="138">
        <v>1</v>
      </c>
      <c r="P60" s="147">
        <v>296178</v>
      </c>
      <c r="Q60" s="139">
        <v>1</v>
      </c>
      <c r="R60" s="139">
        <v>0</v>
      </c>
      <c r="S60" s="139">
        <v>0</v>
      </c>
      <c r="T60" s="140"/>
      <c r="U60" s="139">
        <v>0</v>
      </c>
      <c r="V60" s="141"/>
      <c r="W60" s="141">
        <v>1</v>
      </c>
      <c r="X60" s="24"/>
      <c r="Y60" s="24"/>
      <c r="Z60" s="24"/>
      <c r="AA60" s="24"/>
      <c r="AB60" s="24">
        <v>42614</v>
      </c>
      <c r="AC60" s="24"/>
      <c r="AD60" s="24"/>
      <c r="AE60" s="24"/>
      <c r="AF60" s="24"/>
      <c r="AG60" s="24"/>
      <c r="AH60" s="31"/>
      <c r="AI60" s="46" t="str">
        <f>IF(YEAR(E60)&lt;2018,YEAR(E60),"")</f>
        <v/>
      </c>
      <c r="AJ60" s="27"/>
      <c r="AK60" s="27"/>
      <c r="AL60" s="27"/>
      <c r="AM60" s="27"/>
      <c r="AN60" s="27"/>
      <c r="AO60" s="27"/>
      <c r="AP60" s="27"/>
      <c r="AQ60" s="29" t="str">
        <f>IF(AND(AD60&lt;&gt;"",AF60="",AG60=""),DATE(YEAR(AD60)+Menu!$E$10,MONTH(AD60)+Menu!$E$11,1),"")</f>
        <v/>
      </c>
      <c r="AR60" s="29" t="str">
        <f t="shared" si="7"/>
        <v/>
      </c>
      <c r="AS60" s="27" t="str">
        <f>IF(AND(AR60&lt;&gt;"",AH60="",AG60=""),DATE(YEAR(AR60)+Menu!$E$13,MONTH(AR60)+Menu!$E$14,1),"")</f>
        <v/>
      </c>
      <c r="AT60" s="27"/>
      <c r="AU60" s="15" t="s">
        <v>138</v>
      </c>
      <c r="AV60" s="15" t="s">
        <v>138</v>
      </c>
      <c r="AW60" s="15" t="s">
        <v>138</v>
      </c>
      <c r="AX60" s="15" t="s">
        <v>138</v>
      </c>
      <c r="AY60" s="15" t="s">
        <v>138</v>
      </c>
      <c r="AZ60" s="15" t="s">
        <v>138</v>
      </c>
      <c r="BA60" s="15" t="s">
        <v>138</v>
      </c>
      <c r="BB60" s="15" t="s">
        <v>138</v>
      </c>
      <c r="BC60" s="15" t="s">
        <v>138</v>
      </c>
      <c r="BD60" s="15" t="s">
        <v>138</v>
      </c>
      <c r="BE60" s="15" t="s">
        <v>138</v>
      </c>
      <c r="BF60" s="15" t="s">
        <v>138</v>
      </c>
      <c r="BG60" s="15" t="s">
        <v>138</v>
      </c>
      <c r="BH60" s="15" t="s">
        <v>138</v>
      </c>
      <c r="BI60" s="15" t="s">
        <v>131</v>
      </c>
      <c r="BJ60" s="15" t="s">
        <v>131</v>
      </c>
      <c r="BK60" s="15" t="s">
        <v>131</v>
      </c>
      <c r="BL60" s="131" t="s">
        <v>131</v>
      </c>
      <c r="BM60" t="s">
        <v>131</v>
      </c>
      <c r="BN60" t="s">
        <v>131</v>
      </c>
      <c r="BO60" t="s">
        <v>131</v>
      </c>
      <c r="BP60" t="s">
        <v>131</v>
      </c>
      <c r="BQ60" t="s">
        <v>131</v>
      </c>
      <c r="BR60" t="s">
        <v>131</v>
      </c>
      <c r="BS60" t="s">
        <v>131</v>
      </c>
      <c r="BT60" t="s">
        <v>131</v>
      </c>
      <c r="BU60" t="s">
        <v>131</v>
      </c>
      <c r="BV60" t="s">
        <v>131</v>
      </c>
      <c r="BW60" t="s">
        <v>131</v>
      </c>
      <c r="BX60" t="s">
        <v>131</v>
      </c>
      <c r="BY60" s="56">
        <v>296178</v>
      </c>
      <c r="BZ60" s="56">
        <v>296178</v>
      </c>
      <c r="CA60" s="56">
        <v>296178</v>
      </c>
      <c r="CB60" s="56">
        <v>296178</v>
      </c>
      <c r="CC60" s="56">
        <v>296178</v>
      </c>
      <c r="CD60" s="56">
        <v>296178</v>
      </c>
      <c r="CE60" s="56">
        <v>296178</v>
      </c>
      <c r="CF60" s="56">
        <v>296178</v>
      </c>
      <c r="CG60" s="56">
        <v>296178</v>
      </c>
      <c r="CH60" s="56">
        <v>296178</v>
      </c>
      <c r="CI60" s="56">
        <v>296178</v>
      </c>
      <c r="CJ60" s="56">
        <v>296178</v>
      </c>
      <c r="CK60" s="56">
        <v>296178</v>
      </c>
    </row>
    <row r="61" spans="1:89" ht="13" x14ac:dyDescent="0.3">
      <c r="A61" s="135" t="s">
        <v>316</v>
      </c>
      <c r="B61" s="48" t="s">
        <v>317</v>
      </c>
      <c r="C61" s="47" t="s">
        <v>318</v>
      </c>
      <c r="D61" s="49">
        <v>20138</v>
      </c>
      <c r="E61" s="49">
        <v>43889</v>
      </c>
      <c r="F61" s="47" t="s">
        <v>173</v>
      </c>
      <c r="G61" s="47"/>
      <c r="H61" s="47"/>
      <c r="I61" s="41">
        <v>306</v>
      </c>
      <c r="J61" s="41">
        <v>0</v>
      </c>
      <c r="K61" s="41">
        <v>1</v>
      </c>
      <c r="L61" s="41">
        <v>0</v>
      </c>
      <c r="M61" s="41">
        <v>0</v>
      </c>
      <c r="N61" s="41">
        <v>0</v>
      </c>
      <c r="O61" s="138">
        <v>0</v>
      </c>
      <c r="P61" s="147">
        <v>0</v>
      </c>
      <c r="Q61" s="139">
        <v>1</v>
      </c>
      <c r="R61" s="139">
        <v>0</v>
      </c>
      <c r="S61" s="139">
        <v>0</v>
      </c>
      <c r="T61" s="140"/>
      <c r="U61" s="139">
        <v>0</v>
      </c>
      <c r="V61" s="141"/>
      <c r="W61" s="141">
        <v>0.35</v>
      </c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31"/>
      <c r="AI61" s="46"/>
      <c r="AJ61" s="27"/>
      <c r="AK61" s="27"/>
      <c r="AL61" s="27"/>
      <c r="AM61" s="27"/>
      <c r="AN61" s="27"/>
      <c r="AO61" s="27"/>
      <c r="AP61" s="27"/>
      <c r="AQ61" s="29"/>
      <c r="AR61" s="29"/>
      <c r="AS61" s="27"/>
      <c r="AT61" s="27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 t="s">
        <v>386</v>
      </c>
      <c r="BL61" s="131" t="s">
        <v>386</v>
      </c>
      <c r="BM61" t="s">
        <v>386</v>
      </c>
      <c r="BN61" t="s">
        <v>138</v>
      </c>
      <c r="BO61" t="s">
        <v>138</v>
      </c>
      <c r="BP61" t="s">
        <v>138</v>
      </c>
      <c r="BQ61" t="s">
        <v>138</v>
      </c>
      <c r="BR61" t="s">
        <v>138</v>
      </c>
      <c r="BS61" t="s">
        <v>138</v>
      </c>
      <c r="BT61" t="s">
        <v>138</v>
      </c>
      <c r="BU61" t="s">
        <v>138</v>
      </c>
      <c r="BV61" t="s">
        <v>138</v>
      </c>
      <c r="BW61" t="s">
        <v>138</v>
      </c>
      <c r="BX61" t="s">
        <v>138</v>
      </c>
      <c r="BY61" s="56">
        <v>0</v>
      </c>
      <c r="BZ61" s="56">
        <v>0</v>
      </c>
      <c r="CA61" s="56">
        <v>0</v>
      </c>
      <c r="CB61" s="56">
        <v>0</v>
      </c>
      <c r="CC61" s="56">
        <v>0</v>
      </c>
      <c r="CD61" s="56">
        <v>0</v>
      </c>
      <c r="CE61" s="56">
        <v>0</v>
      </c>
      <c r="CF61" s="56">
        <v>0</v>
      </c>
      <c r="CG61" s="56">
        <v>0</v>
      </c>
      <c r="CH61" s="56">
        <v>0</v>
      </c>
      <c r="CI61" s="56">
        <v>0</v>
      </c>
      <c r="CJ61" s="56">
        <v>0</v>
      </c>
      <c r="CK61" s="56">
        <v>0</v>
      </c>
    </row>
    <row r="62" spans="1:89" ht="13" x14ac:dyDescent="0.3">
      <c r="A62" s="135" t="s">
        <v>32</v>
      </c>
      <c r="B62" s="48">
        <v>146262</v>
      </c>
      <c r="C62" s="47" t="s">
        <v>196</v>
      </c>
      <c r="D62" s="49">
        <v>26308</v>
      </c>
      <c r="E62" s="49">
        <v>50071</v>
      </c>
      <c r="F62" s="47" t="s">
        <v>173</v>
      </c>
      <c r="G62" s="47"/>
      <c r="H62" s="47"/>
      <c r="I62" s="41">
        <v>421</v>
      </c>
      <c r="J62" s="41">
        <v>1</v>
      </c>
      <c r="K62" s="41">
        <v>0</v>
      </c>
      <c r="L62" s="41">
        <v>0</v>
      </c>
      <c r="M62" s="41">
        <v>0</v>
      </c>
      <c r="N62" s="41">
        <v>0</v>
      </c>
      <c r="O62" s="138">
        <v>2</v>
      </c>
      <c r="P62" s="147">
        <v>0</v>
      </c>
      <c r="Q62" s="139">
        <v>1</v>
      </c>
      <c r="R62" s="139">
        <v>0</v>
      </c>
      <c r="S62" s="139">
        <v>0</v>
      </c>
      <c r="T62" s="140"/>
      <c r="U62" s="139">
        <v>0</v>
      </c>
      <c r="V62" s="141"/>
      <c r="W62" s="141">
        <v>0</v>
      </c>
      <c r="X62" s="24"/>
      <c r="Y62" s="24"/>
      <c r="Z62" s="24">
        <v>40602</v>
      </c>
      <c r="AA62" s="24"/>
      <c r="AB62" s="24"/>
      <c r="AC62" s="24"/>
      <c r="AD62" s="24"/>
      <c r="AE62" s="24"/>
      <c r="AF62" s="24"/>
      <c r="AG62" s="24"/>
      <c r="AH62" s="31"/>
      <c r="AI62" s="46" t="str">
        <f t="shared" ref="AI62:AI92" si="8">IF(YEAR(E62)&lt;2018,YEAR(E62),"")</f>
        <v/>
      </c>
      <c r="AJ62" s="27"/>
      <c r="AK62" s="27"/>
      <c r="AL62" s="27"/>
      <c r="AM62" s="27"/>
      <c r="AN62" s="27"/>
      <c r="AO62" s="27"/>
      <c r="AP62" s="27"/>
      <c r="AQ62" s="29" t="str">
        <f>IF(AND(AD62&lt;&gt;"",AF62="",AG62=""),DATE(YEAR(AD62)+Menu!$E$10,MONTH(AD62)+Menu!$E$11,1),"")</f>
        <v/>
      </c>
      <c r="AR62" s="29" t="str">
        <f t="shared" ref="AR62:AR94" si="9">IF(AF62&lt;&gt;0,AF62,AQ62)</f>
        <v/>
      </c>
      <c r="AS62" s="27" t="str">
        <f>IF(AND(AR62&lt;&gt;"",AH62="",AG62=""),DATE(YEAR(AR62)+Menu!$E$13,MONTH(AR62)+Menu!$E$14,1),"")</f>
        <v/>
      </c>
      <c r="AT62" s="27"/>
      <c r="AU62" s="15" t="s">
        <v>138</v>
      </c>
      <c r="AV62" s="15" t="s">
        <v>138</v>
      </c>
      <c r="AW62" s="16" t="s">
        <v>138</v>
      </c>
      <c r="AX62" s="15" t="s">
        <v>138</v>
      </c>
      <c r="AY62" s="15" t="s">
        <v>138</v>
      </c>
      <c r="AZ62" s="15" t="s">
        <v>138</v>
      </c>
      <c r="BA62" s="15" t="s">
        <v>138</v>
      </c>
      <c r="BB62" s="15" t="s">
        <v>138</v>
      </c>
      <c r="BC62" s="15" t="s">
        <v>138</v>
      </c>
      <c r="BD62" s="16" t="s">
        <v>137</v>
      </c>
      <c r="BE62" s="16" t="s">
        <v>137</v>
      </c>
      <c r="BF62" s="16" t="s">
        <v>137</v>
      </c>
      <c r="BG62" s="16" t="s">
        <v>137</v>
      </c>
      <c r="BH62" s="16" t="s">
        <v>137</v>
      </c>
      <c r="BI62" s="16" t="s">
        <v>137</v>
      </c>
      <c r="BJ62" s="15" t="s">
        <v>137</v>
      </c>
      <c r="BK62" s="15" t="s">
        <v>137</v>
      </c>
      <c r="BL62" s="131" t="s">
        <v>137</v>
      </c>
      <c r="BM62" t="s">
        <v>137</v>
      </c>
      <c r="BN62" t="s">
        <v>137</v>
      </c>
      <c r="BO62" t="s">
        <v>137</v>
      </c>
      <c r="BP62" t="s">
        <v>137</v>
      </c>
      <c r="BQ62" t="s">
        <v>137</v>
      </c>
      <c r="BR62" t="s">
        <v>137</v>
      </c>
      <c r="BS62" t="s">
        <v>137</v>
      </c>
      <c r="BT62" t="s">
        <v>137</v>
      </c>
      <c r="BU62" t="s">
        <v>137</v>
      </c>
      <c r="BV62" t="s">
        <v>137</v>
      </c>
      <c r="BW62" t="s">
        <v>137</v>
      </c>
      <c r="BX62" t="s">
        <v>137</v>
      </c>
      <c r="BY62" s="56">
        <v>0</v>
      </c>
      <c r="BZ62" s="56">
        <v>0</v>
      </c>
      <c r="CA62" s="56">
        <v>0</v>
      </c>
      <c r="CB62" s="56">
        <v>0</v>
      </c>
      <c r="CC62" s="56">
        <v>0</v>
      </c>
      <c r="CD62" s="56">
        <v>0</v>
      </c>
      <c r="CE62" s="56">
        <v>0</v>
      </c>
      <c r="CF62" s="56">
        <v>0</v>
      </c>
      <c r="CG62" s="56">
        <v>0</v>
      </c>
      <c r="CH62" s="56">
        <v>0</v>
      </c>
      <c r="CI62" s="56">
        <v>0</v>
      </c>
      <c r="CJ62" s="56">
        <v>0</v>
      </c>
      <c r="CK62" s="56">
        <v>0</v>
      </c>
    </row>
    <row r="63" spans="1:89" ht="13" x14ac:dyDescent="0.3">
      <c r="A63" s="135" t="s">
        <v>220</v>
      </c>
      <c r="B63" s="148">
        <v>201483</v>
      </c>
      <c r="C63" s="47" t="s">
        <v>196</v>
      </c>
      <c r="D63" s="49">
        <v>32122</v>
      </c>
      <c r="E63" s="49">
        <v>55884</v>
      </c>
      <c r="F63" s="47" t="s">
        <v>173</v>
      </c>
      <c r="G63" s="47">
        <v>2017</v>
      </c>
      <c r="H63" s="47" t="s">
        <v>133</v>
      </c>
      <c r="I63" s="41">
        <v>449</v>
      </c>
      <c r="J63" s="41">
        <v>1</v>
      </c>
      <c r="K63" s="41">
        <v>0</v>
      </c>
      <c r="L63" s="41">
        <v>0</v>
      </c>
      <c r="M63" s="41">
        <v>0</v>
      </c>
      <c r="N63" s="41">
        <v>0</v>
      </c>
      <c r="O63" s="138">
        <v>0</v>
      </c>
      <c r="P63" s="147">
        <v>445136</v>
      </c>
      <c r="Q63" s="139">
        <v>1</v>
      </c>
      <c r="R63" s="139">
        <v>0</v>
      </c>
      <c r="S63" s="139">
        <v>0</v>
      </c>
      <c r="T63" s="140"/>
      <c r="U63" s="139">
        <v>0</v>
      </c>
      <c r="V63" s="141"/>
      <c r="W63" s="141">
        <v>1</v>
      </c>
      <c r="X63" s="24"/>
      <c r="Y63" s="24"/>
      <c r="Z63" s="24"/>
      <c r="AA63" s="24"/>
      <c r="AB63" s="24"/>
      <c r="AC63" s="24"/>
      <c r="AD63" s="24">
        <v>42736</v>
      </c>
      <c r="AE63" s="24"/>
      <c r="AF63" s="24"/>
      <c r="AG63" s="24"/>
      <c r="AH63" s="31"/>
      <c r="AI63" s="46" t="str">
        <f t="shared" si="8"/>
        <v/>
      </c>
      <c r="AJ63" s="27"/>
      <c r="AK63" s="27"/>
      <c r="AL63" s="27"/>
      <c r="AM63" s="27"/>
      <c r="AN63" s="27"/>
      <c r="AO63" s="27"/>
      <c r="AP63" s="27"/>
      <c r="AQ63" s="29">
        <f>IF(AND(AD63&lt;&gt;"",AF63="",AG63=""),DATE(YEAR(AD63)+Menu!$E$10,MONTH(AD63)+Menu!$E$11,1),"")</f>
        <v>45200</v>
      </c>
      <c r="AR63" s="29">
        <f t="shared" si="9"/>
        <v>45200</v>
      </c>
      <c r="AS63" s="27">
        <f>IF(AND(AR63&lt;&gt;"",AH63="",AG63=""),DATE(YEAR(AR63)+Menu!$E$13,MONTH(AR63)+Menu!$E$14,1),"")</f>
        <v>47665</v>
      </c>
      <c r="AT63" s="27"/>
      <c r="AU63" s="15" t="s">
        <v>138</v>
      </c>
      <c r="AV63" s="15" t="s">
        <v>138</v>
      </c>
      <c r="AW63" s="15" t="s">
        <v>138</v>
      </c>
      <c r="AX63" s="15" t="s">
        <v>138</v>
      </c>
      <c r="AY63" s="15" t="s">
        <v>138</v>
      </c>
      <c r="AZ63" s="15" t="s">
        <v>138</v>
      </c>
      <c r="BA63" s="15" t="s">
        <v>138</v>
      </c>
      <c r="BB63" s="15" t="s">
        <v>138</v>
      </c>
      <c r="BC63" s="15" t="s">
        <v>138</v>
      </c>
      <c r="BD63" s="15" t="s">
        <v>138</v>
      </c>
      <c r="BE63" s="15" t="s">
        <v>138</v>
      </c>
      <c r="BF63" s="15" t="s">
        <v>138</v>
      </c>
      <c r="BG63" s="15" t="s">
        <v>138</v>
      </c>
      <c r="BH63" s="15" t="s">
        <v>138</v>
      </c>
      <c r="BI63" s="15" t="s">
        <v>138</v>
      </c>
      <c r="BJ63" s="15" t="s">
        <v>133</v>
      </c>
      <c r="BK63" s="15" t="s">
        <v>133</v>
      </c>
      <c r="BL63" s="131" t="s">
        <v>133</v>
      </c>
      <c r="BM63" t="s">
        <v>133</v>
      </c>
      <c r="BN63" t="s">
        <v>133</v>
      </c>
      <c r="BO63" t="s">
        <v>133</v>
      </c>
      <c r="BP63" t="s">
        <v>134</v>
      </c>
      <c r="BQ63" t="s">
        <v>134</v>
      </c>
      <c r="BR63" t="s">
        <v>134</v>
      </c>
      <c r="BS63" t="s">
        <v>134</v>
      </c>
      <c r="BT63" t="s">
        <v>134</v>
      </c>
      <c r="BU63" t="s">
        <v>134</v>
      </c>
      <c r="BV63" t="s">
        <v>134</v>
      </c>
      <c r="BW63" t="s">
        <v>135</v>
      </c>
      <c r="BX63" t="s">
        <v>135</v>
      </c>
      <c r="BY63" s="56">
        <v>445136</v>
      </c>
      <c r="BZ63" s="56">
        <v>512511</v>
      </c>
      <c r="CA63" s="56">
        <v>512511</v>
      </c>
      <c r="CB63" s="56">
        <v>512511</v>
      </c>
      <c r="CC63" s="56">
        <v>564680.25</v>
      </c>
      <c r="CD63" s="56">
        <v>564680.25</v>
      </c>
      <c r="CE63" s="56">
        <v>564680.25</v>
      </c>
      <c r="CF63" s="56">
        <v>564680.25</v>
      </c>
      <c r="CG63" s="56">
        <v>721188</v>
      </c>
      <c r="CH63" s="56">
        <v>721188</v>
      </c>
      <c r="CI63" s="56">
        <v>721188</v>
      </c>
      <c r="CJ63" s="56">
        <v>749106.75</v>
      </c>
      <c r="CK63" s="56">
        <v>804944.25</v>
      </c>
    </row>
    <row r="64" spans="1:89" ht="13" x14ac:dyDescent="0.3">
      <c r="A64" s="135" t="s">
        <v>33</v>
      </c>
      <c r="B64" s="48">
        <v>111729</v>
      </c>
      <c r="C64" s="47" t="s">
        <v>198</v>
      </c>
      <c r="D64" s="49">
        <v>23721</v>
      </c>
      <c r="E64" s="49">
        <v>47483</v>
      </c>
      <c r="F64" s="47" t="s">
        <v>173</v>
      </c>
      <c r="G64" s="47"/>
      <c r="H64" s="47"/>
      <c r="I64" s="41">
        <v>338</v>
      </c>
      <c r="J64" s="41">
        <v>0</v>
      </c>
      <c r="K64" s="41">
        <v>1</v>
      </c>
      <c r="L64" s="41">
        <v>1</v>
      </c>
      <c r="M64" s="41">
        <v>0</v>
      </c>
      <c r="N64" s="41">
        <v>0</v>
      </c>
      <c r="O64" s="138">
        <v>0</v>
      </c>
      <c r="P64" s="147">
        <v>1010034</v>
      </c>
      <c r="Q64" s="139">
        <v>1</v>
      </c>
      <c r="R64" s="139">
        <v>1</v>
      </c>
      <c r="S64" s="139">
        <v>0</v>
      </c>
      <c r="T64" s="140"/>
      <c r="U64" s="139">
        <v>0</v>
      </c>
      <c r="V64" s="141"/>
      <c r="W64" s="141">
        <v>1</v>
      </c>
      <c r="X64" s="24"/>
      <c r="Y64" s="24"/>
      <c r="Z64" s="24"/>
      <c r="AA64" s="24">
        <v>36647</v>
      </c>
      <c r="AB64" s="24"/>
      <c r="AC64" s="24"/>
      <c r="AD64" s="24"/>
      <c r="AE64" s="24"/>
      <c r="AF64" s="24">
        <v>38353</v>
      </c>
      <c r="AG64" s="24">
        <v>40634</v>
      </c>
      <c r="AH64" s="31"/>
      <c r="AI64" s="46" t="str">
        <f t="shared" si="8"/>
        <v/>
      </c>
      <c r="AJ64" s="27"/>
      <c r="AK64" s="27"/>
      <c r="AL64" s="27"/>
      <c r="AM64" s="27"/>
      <c r="AN64" s="27"/>
      <c r="AO64" s="27"/>
      <c r="AP64" s="27"/>
      <c r="AQ64" s="29" t="str">
        <f>IF(AND(AD64&lt;&gt;"",AF64="",AG64=""),DATE(YEAR(AD64)+Menu!$E$10,MONTH(AD64)+Menu!$E$11,1),"")</f>
        <v/>
      </c>
      <c r="AR64" s="29">
        <f t="shared" si="9"/>
        <v>38353</v>
      </c>
      <c r="AS64" s="27" t="str">
        <f>IF(AND(AR64&lt;&gt;"",AH64="",AG64=""),DATE(YEAR(AR64)+Menu!$E$13,MONTH(AR64)+Menu!$E$14,1),"")</f>
        <v/>
      </c>
      <c r="AT64" s="27"/>
      <c r="AU64" s="16" t="s">
        <v>130</v>
      </c>
      <c r="AV64" s="16" t="s">
        <v>130</v>
      </c>
      <c r="AW64" s="16" t="s">
        <v>130</v>
      </c>
      <c r="AX64" s="16" t="s">
        <v>134</v>
      </c>
      <c r="AY64" s="16" t="s">
        <v>134</v>
      </c>
      <c r="AZ64" s="16" t="s">
        <v>134</v>
      </c>
      <c r="BA64" s="16" t="s">
        <v>134</v>
      </c>
      <c r="BB64" s="16" t="s">
        <v>134</v>
      </c>
      <c r="BC64" s="16" t="s">
        <v>134</v>
      </c>
      <c r="BD64" s="16" t="s">
        <v>135</v>
      </c>
      <c r="BE64" s="16" t="s">
        <v>135</v>
      </c>
      <c r="BF64" s="16" t="s">
        <v>135</v>
      </c>
      <c r="BG64" s="16" t="s">
        <v>135</v>
      </c>
      <c r="BH64" s="16" t="s">
        <v>135</v>
      </c>
      <c r="BI64" s="16" t="s">
        <v>135</v>
      </c>
      <c r="BJ64" s="15" t="s">
        <v>135</v>
      </c>
      <c r="BK64" s="15" t="s">
        <v>135</v>
      </c>
      <c r="BL64" s="131" t="s">
        <v>135</v>
      </c>
      <c r="BM64" t="s">
        <v>135</v>
      </c>
      <c r="BN64" t="s">
        <v>135</v>
      </c>
      <c r="BO64" t="s">
        <v>135</v>
      </c>
      <c r="BP64" t="s">
        <v>135</v>
      </c>
      <c r="BQ64" t="s">
        <v>135</v>
      </c>
      <c r="BR64" t="s">
        <v>135</v>
      </c>
      <c r="BS64" t="s">
        <v>135</v>
      </c>
      <c r="BT64" t="s">
        <v>135</v>
      </c>
      <c r="BU64" t="s">
        <v>135</v>
      </c>
      <c r="BV64" t="s">
        <v>138</v>
      </c>
      <c r="BW64" t="s">
        <v>138</v>
      </c>
      <c r="BX64" t="s">
        <v>138</v>
      </c>
      <c r="BY64" s="56">
        <v>1010034</v>
      </c>
      <c r="BZ64" s="56">
        <v>1000375</v>
      </c>
      <c r="CA64" s="56">
        <v>1000375</v>
      </c>
      <c r="CB64" s="56">
        <v>1000375</v>
      </c>
      <c r="CC64" s="56">
        <v>1000375</v>
      </c>
      <c r="CD64" s="56">
        <v>1000375</v>
      </c>
      <c r="CE64" s="56">
        <v>1000375</v>
      </c>
      <c r="CF64" s="56">
        <v>1000375</v>
      </c>
      <c r="CG64" s="56">
        <v>1000375</v>
      </c>
      <c r="CH64" s="56">
        <v>1000375</v>
      </c>
      <c r="CI64" s="56">
        <v>1000375</v>
      </c>
      <c r="CJ64" s="56">
        <v>0</v>
      </c>
      <c r="CK64" s="56">
        <v>0</v>
      </c>
    </row>
    <row r="65" spans="1:89" ht="13" x14ac:dyDescent="0.3">
      <c r="A65" s="135" t="s">
        <v>34</v>
      </c>
      <c r="B65" s="48">
        <v>182447</v>
      </c>
      <c r="C65" s="47" t="s">
        <v>200</v>
      </c>
      <c r="D65" s="49">
        <v>27519</v>
      </c>
      <c r="E65" s="49">
        <v>50921</v>
      </c>
      <c r="F65" s="47" t="s">
        <v>172</v>
      </c>
      <c r="G65" s="47">
        <v>2008</v>
      </c>
      <c r="H65" s="47" t="s">
        <v>133</v>
      </c>
      <c r="I65" s="41">
        <v>824</v>
      </c>
      <c r="J65" s="41">
        <v>0</v>
      </c>
      <c r="K65" s="41">
        <v>0</v>
      </c>
      <c r="L65" s="41">
        <v>0</v>
      </c>
      <c r="M65" s="41">
        <v>1</v>
      </c>
      <c r="N65" s="41">
        <v>0</v>
      </c>
      <c r="O65" s="138">
        <v>0</v>
      </c>
      <c r="P65" s="147">
        <f>745776</f>
        <v>745776</v>
      </c>
      <c r="Q65" s="139">
        <v>1</v>
      </c>
      <c r="R65" s="139">
        <v>1</v>
      </c>
      <c r="S65" s="139">
        <v>0</v>
      </c>
      <c r="T65" s="140"/>
      <c r="U65" s="139">
        <f>-U251*5/12</f>
        <v>-51750.125</v>
      </c>
      <c r="V65" s="141">
        <v>2039</v>
      </c>
      <c r="W65" s="141">
        <v>1</v>
      </c>
      <c r="X65" s="24"/>
      <c r="Y65" s="24"/>
      <c r="Z65" s="24"/>
      <c r="AA65" s="24"/>
      <c r="AB65" s="24"/>
      <c r="AC65" s="24"/>
      <c r="AD65" s="24">
        <v>39692</v>
      </c>
      <c r="AE65" s="24"/>
      <c r="AF65" s="24">
        <v>41852</v>
      </c>
      <c r="AG65" s="24"/>
      <c r="AH65" s="31">
        <v>43739</v>
      </c>
      <c r="AI65" s="46" t="str">
        <f t="shared" si="8"/>
        <v/>
      </c>
      <c r="AJ65" s="27"/>
      <c r="AK65" s="27"/>
      <c r="AL65" s="27"/>
      <c r="AM65" s="27"/>
      <c r="AN65" s="27"/>
      <c r="AO65" s="27"/>
      <c r="AP65" s="27"/>
      <c r="AQ65" s="29" t="str">
        <f>IF(AND(AD65&lt;&gt;"",AF65="",AG65=""),DATE(YEAR(AD65)+Menu!$E$10,MONTH(AD65)+Menu!$E$11,1),"")</f>
        <v/>
      </c>
      <c r="AR65" s="29">
        <f t="shared" si="9"/>
        <v>41852</v>
      </c>
      <c r="AS65" s="27" t="str">
        <f>IF(AND(AR65&lt;&gt;"",AH65="",AG65=""),DATE(YEAR(AR65)+Menu!$E$13,MONTH(AR65)+Menu!$E$14,1),"")</f>
        <v/>
      </c>
      <c r="AT65" s="27"/>
      <c r="AU65" s="15" t="s">
        <v>138</v>
      </c>
      <c r="AV65" s="15" t="s">
        <v>138</v>
      </c>
      <c r="AW65" s="16" t="s">
        <v>138</v>
      </c>
      <c r="AX65" s="15" t="s">
        <v>138</v>
      </c>
      <c r="AY65" s="15" t="s">
        <v>138</v>
      </c>
      <c r="AZ65" s="15" t="s">
        <v>138</v>
      </c>
      <c r="BA65" s="16" t="s">
        <v>133</v>
      </c>
      <c r="BB65" s="16" t="s">
        <v>133</v>
      </c>
      <c r="BC65" s="16" t="s">
        <v>133</v>
      </c>
      <c r="BD65" s="16" t="s">
        <v>133</v>
      </c>
      <c r="BE65" s="16" t="s">
        <v>133</v>
      </c>
      <c r="BF65" s="16" t="s">
        <v>133</v>
      </c>
      <c r="BG65" s="16" t="s">
        <v>134</v>
      </c>
      <c r="BH65" s="16" t="s">
        <v>134</v>
      </c>
      <c r="BI65" s="16" t="s">
        <v>134</v>
      </c>
      <c r="BJ65" s="15" t="s">
        <v>134</v>
      </c>
      <c r="BK65" s="15" t="s">
        <v>134</v>
      </c>
      <c r="BL65" s="131" t="s">
        <v>135</v>
      </c>
      <c r="BM65" t="s">
        <v>135</v>
      </c>
      <c r="BN65" t="s">
        <v>135</v>
      </c>
      <c r="BO65" t="s">
        <v>135</v>
      </c>
      <c r="BP65" t="s">
        <v>135</v>
      </c>
      <c r="BQ65" t="s">
        <v>135</v>
      </c>
      <c r="BR65" t="s">
        <v>135</v>
      </c>
      <c r="BS65" t="s">
        <v>135</v>
      </c>
      <c r="BT65" t="s">
        <v>135</v>
      </c>
      <c r="BU65" t="s">
        <v>135</v>
      </c>
      <c r="BV65" t="s">
        <v>135</v>
      </c>
      <c r="BW65" t="s">
        <v>135</v>
      </c>
      <c r="BX65" t="s">
        <v>135</v>
      </c>
      <c r="BY65" s="56">
        <v>745776</v>
      </c>
      <c r="BZ65" s="56">
        <v>801613.5</v>
      </c>
      <c r="CA65" s="56">
        <v>857451</v>
      </c>
      <c r="CB65" s="56">
        <v>913288.5</v>
      </c>
      <c r="CC65" s="56">
        <v>969126</v>
      </c>
      <c r="CD65" s="56">
        <v>1000375</v>
      </c>
      <c r="CE65" s="56">
        <v>1000375</v>
      </c>
      <c r="CF65" s="56">
        <v>1000375</v>
      </c>
      <c r="CG65" s="56">
        <v>1000375</v>
      </c>
      <c r="CH65" s="56">
        <v>1000375</v>
      </c>
      <c r="CI65" s="56">
        <v>1000375</v>
      </c>
      <c r="CJ65" s="56">
        <v>1000375</v>
      </c>
      <c r="CK65" s="56">
        <v>1000375</v>
      </c>
    </row>
    <row r="66" spans="1:89" ht="13" x14ac:dyDescent="0.3">
      <c r="A66" s="135" t="s">
        <v>35</v>
      </c>
      <c r="B66" s="48">
        <v>190315</v>
      </c>
      <c r="C66" s="47" t="s">
        <v>200</v>
      </c>
      <c r="D66" s="49">
        <v>26599</v>
      </c>
      <c r="E66" s="49">
        <v>50344</v>
      </c>
      <c r="F66" s="47" t="s">
        <v>173</v>
      </c>
      <c r="G66" s="47">
        <v>2009</v>
      </c>
      <c r="H66" s="47" t="s">
        <v>133</v>
      </c>
      <c r="I66" s="41">
        <v>826</v>
      </c>
      <c r="J66" s="41">
        <v>0</v>
      </c>
      <c r="K66" s="41">
        <v>0</v>
      </c>
      <c r="L66" s="41">
        <v>0</v>
      </c>
      <c r="M66" s="41">
        <v>1</v>
      </c>
      <c r="N66" s="41">
        <v>0</v>
      </c>
      <c r="O66" s="138">
        <v>0</v>
      </c>
      <c r="P66" s="147">
        <v>766294</v>
      </c>
      <c r="Q66" s="139">
        <v>1</v>
      </c>
      <c r="R66" s="139">
        <v>1</v>
      </c>
      <c r="S66" s="139">
        <v>0</v>
      </c>
      <c r="T66" s="140"/>
      <c r="U66" s="139">
        <v>0</v>
      </c>
      <c r="V66" s="141"/>
      <c r="W66" s="141">
        <v>1</v>
      </c>
      <c r="X66" s="24"/>
      <c r="Y66" s="24"/>
      <c r="Z66" s="24"/>
      <c r="AA66" s="24"/>
      <c r="AB66" s="24"/>
      <c r="AC66" s="24"/>
      <c r="AD66" s="24">
        <v>39814</v>
      </c>
      <c r="AE66" s="24"/>
      <c r="AF66" s="24">
        <v>42461</v>
      </c>
      <c r="AG66" s="24"/>
      <c r="AH66" s="31"/>
      <c r="AI66" s="46" t="str">
        <f t="shared" si="8"/>
        <v/>
      </c>
      <c r="AJ66" s="27"/>
      <c r="AK66" s="27"/>
      <c r="AL66" s="27"/>
      <c r="AM66" s="27"/>
      <c r="AN66" s="27"/>
      <c r="AO66" s="27"/>
      <c r="AP66" s="27"/>
      <c r="AQ66" s="29" t="str">
        <f>IF(AND(AD66&lt;&gt;"",AF66="",AG66=""),DATE(YEAR(AD66)+Menu!$E$10,MONTH(AD66)+Menu!$E$11,1),"")</f>
        <v/>
      </c>
      <c r="AR66" s="29">
        <f t="shared" si="9"/>
        <v>42461</v>
      </c>
      <c r="AS66" s="27">
        <f>IF(AND(AR66&lt;&gt;"",AH66="",AG66=""),DATE(YEAR(AR66)+Menu!$E$13,MONTH(AR66)+Menu!$E$14,1),"")</f>
        <v>44927</v>
      </c>
      <c r="AT66" s="27"/>
      <c r="AU66" s="15" t="s">
        <v>138</v>
      </c>
      <c r="AV66" s="15" t="s">
        <v>138</v>
      </c>
      <c r="AW66" s="16" t="s">
        <v>138</v>
      </c>
      <c r="AX66" s="15" t="s">
        <v>138</v>
      </c>
      <c r="AY66" s="15" t="s">
        <v>138</v>
      </c>
      <c r="AZ66" s="15" t="s">
        <v>138</v>
      </c>
      <c r="BA66" s="15" t="s">
        <v>138</v>
      </c>
      <c r="BB66" s="16" t="s">
        <v>133</v>
      </c>
      <c r="BC66" s="16" t="s">
        <v>133</v>
      </c>
      <c r="BD66" s="16" t="s">
        <v>133</v>
      </c>
      <c r="BE66" s="16" t="s">
        <v>133</v>
      </c>
      <c r="BF66" s="16" t="s">
        <v>133</v>
      </c>
      <c r="BG66" s="16" t="s">
        <v>133</v>
      </c>
      <c r="BH66" s="16" t="s">
        <v>133</v>
      </c>
      <c r="BI66" s="16" t="s">
        <v>134</v>
      </c>
      <c r="BJ66" s="15" t="s">
        <v>134</v>
      </c>
      <c r="BK66" s="15" t="s">
        <v>134</v>
      </c>
      <c r="BL66" s="131" t="s">
        <v>134</v>
      </c>
      <c r="BM66" t="s">
        <v>134</v>
      </c>
      <c r="BN66" t="s">
        <v>134</v>
      </c>
      <c r="BO66" t="s">
        <v>134</v>
      </c>
      <c r="BP66" t="s">
        <v>135</v>
      </c>
      <c r="BQ66" t="s">
        <v>135</v>
      </c>
      <c r="BR66" t="s">
        <v>135</v>
      </c>
      <c r="BS66" t="s">
        <v>135</v>
      </c>
      <c r="BT66" t="s">
        <v>135</v>
      </c>
      <c r="BU66" t="s">
        <v>135</v>
      </c>
      <c r="BV66" t="s">
        <v>135</v>
      </c>
      <c r="BW66" t="s">
        <v>135</v>
      </c>
      <c r="BX66" t="s">
        <v>135</v>
      </c>
      <c r="BY66" s="56">
        <v>766294</v>
      </c>
      <c r="BZ66" s="56">
        <v>721188</v>
      </c>
      <c r="CA66" s="56">
        <v>721188</v>
      </c>
      <c r="CB66" s="56">
        <v>721188</v>
      </c>
      <c r="CC66" s="56">
        <v>777025.5</v>
      </c>
      <c r="CD66" s="56">
        <v>832863</v>
      </c>
      <c r="CE66" s="56">
        <v>888700.5</v>
      </c>
      <c r="CF66" s="56">
        <v>944538</v>
      </c>
      <c r="CG66" s="56">
        <v>1000375</v>
      </c>
      <c r="CH66" s="56">
        <v>1000375</v>
      </c>
      <c r="CI66" s="56">
        <v>1000375</v>
      </c>
      <c r="CJ66" s="56">
        <v>1000375</v>
      </c>
      <c r="CK66" s="56">
        <v>1000375</v>
      </c>
    </row>
    <row r="67" spans="1:89" ht="13" x14ac:dyDescent="0.3">
      <c r="A67" s="135" t="s">
        <v>36</v>
      </c>
      <c r="B67" s="48">
        <v>101475</v>
      </c>
      <c r="C67" s="47" t="s">
        <v>196</v>
      </c>
      <c r="D67" s="49">
        <v>26792</v>
      </c>
      <c r="E67" s="49">
        <v>50556</v>
      </c>
      <c r="F67" s="47" t="s">
        <v>173</v>
      </c>
      <c r="G67" s="47"/>
      <c r="H67" s="47"/>
      <c r="I67" s="41">
        <v>426</v>
      </c>
      <c r="J67" s="41">
        <v>1</v>
      </c>
      <c r="K67" s="41">
        <v>0</v>
      </c>
      <c r="L67" s="41">
        <v>0</v>
      </c>
      <c r="M67" s="41">
        <v>0</v>
      </c>
      <c r="N67" s="41">
        <v>0</v>
      </c>
      <c r="O67" s="138">
        <v>0</v>
      </c>
      <c r="P67" s="147">
        <v>733023</v>
      </c>
      <c r="Q67" s="139">
        <v>1</v>
      </c>
      <c r="R67" s="139">
        <v>1</v>
      </c>
      <c r="S67" s="139">
        <v>0</v>
      </c>
      <c r="T67" s="140"/>
      <c r="U67" s="139">
        <v>0</v>
      </c>
      <c r="V67" s="141"/>
      <c r="W67" s="141">
        <v>1</v>
      </c>
      <c r="X67" s="24"/>
      <c r="Y67" s="24"/>
      <c r="Z67" s="24"/>
      <c r="AA67" s="24">
        <v>37712</v>
      </c>
      <c r="AB67" s="24"/>
      <c r="AC67" s="24"/>
      <c r="AD67" s="24">
        <v>38808</v>
      </c>
      <c r="AE67" s="24"/>
      <c r="AF67" s="24">
        <v>41426</v>
      </c>
      <c r="AG67" s="24"/>
      <c r="AH67" s="31">
        <v>44044</v>
      </c>
      <c r="AI67" s="46" t="str">
        <f t="shared" si="8"/>
        <v/>
      </c>
      <c r="AJ67" s="27"/>
      <c r="AK67" s="27"/>
      <c r="AL67" s="27"/>
      <c r="AM67" s="27"/>
      <c r="AN67" s="27"/>
      <c r="AO67" s="27"/>
      <c r="AP67" s="27"/>
      <c r="AQ67" s="29" t="str">
        <f>IF(AND(AD67&lt;&gt;"",AF67="",AG67=""),DATE(YEAR(AD67)+Menu!$E$10,MONTH(AD67)+Menu!$E$11,1),"")</f>
        <v/>
      </c>
      <c r="AR67" s="29">
        <f t="shared" si="9"/>
        <v>41426</v>
      </c>
      <c r="AS67" s="27" t="str">
        <f>IF(AND(AR67&lt;&gt;"",AH67="",AG67=""),DATE(YEAR(AR67)+Menu!$E$13,MONTH(AR67)+Menu!$E$14,1),"")</f>
        <v/>
      </c>
      <c r="AT67" s="27"/>
      <c r="AU67" s="15" t="s">
        <v>138</v>
      </c>
      <c r="AV67" s="16" t="s">
        <v>130</v>
      </c>
      <c r="AW67" s="16" t="s">
        <v>130</v>
      </c>
      <c r="AX67" s="16" t="s">
        <v>130</v>
      </c>
      <c r="AY67" s="16" t="s">
        <v>133</v>
      </c>
      <c r="AZ67" s="16" t="s">
        <v>133</v>
      </c>
      <c r="BA67" s="16" t="s">
        <v>133</v>
      </c>
      <c r="BB67" s="16" t="s">
        <v>133</v>
      </c>
      <c r="BC67" s="16" t="s">
        <v>133</v>
      </c>
      <c r="BD67" s="16" t="s">
        <v>133</v>
      </c>
      <c r="BE67" s="16" t="s">
        <v>133</v>
      </c>
      <c r="BF67" s="16" t="s">
        <v>134</v>
      </c>
      <c r="BG67" s="16" t="s">
        <v>134</v>
      </c>
      <c r="BH67" s="16" t="s">
        <v>134</v>
      </c>
      <c r="BI67" s="16" t="s">
        <v>134</v>
      </c>
      <c r="BJ67" s="15" t="s">
        <v>134</v>
      </c>
      <c r="BK67" s="15" t="s">
        <v>134</v>
      </c>
      <c r="BL67" s="131" t="s">
        <v>134</v>
      </c>
      <c r="BM67" t="s">
        <v>135</v>
      </c>
      <c r="BN67" t="s">
        <v>135</v>
      </c>
      <c r="BO67" t="s">
        <v>135</v>
      </c>
      <c r="BP67" t="s">
        <v>135</v>
      </c>
      <c r="BQ67" t="s">
        <v>135</v>
      </c>
      <c r="BR67" t="s">
        <v>135</v>
      </c>
      <c r="BS67" t="s">
        <v>135</v>
      </c>
      <c r="BT67" t="s">
        <v>135</v>
      </c>
      <c r="BU67" t="s">
        <v>135</v>
      </c>
      <c r="BV67" t="s">
        <v>135</v>
      </c>
      <c r="BW67" t="s">
        <v>135</v>
      </c>
      <c r="BX67" t="s">
        <v>135</v>
      </c>
      <c r="BY67" s="56">
        <v>733023</v>
      </c>
      <c r="BZ67" s="56">
        <v>756288.625</v>
      </c>
      <c r="CA67" s="56">
        <v>812126.125</v>
      </c>
      <c r="CB67" s="56">
        <v>867963.625</v>
      </c>
      <c r="CC67" s="56">
        <v>923801.125</v>
      </c>
      <c r="CD67" s="56">
        <v>979638.625</v>
      </c>
      <c r="CE67" s="56">
        <v>1000375</v>
      </c>
      <c r="CF67" s="56">
        <v>1000375</v>
      </c>
      <c r="CG67" s="56">
        <v>1000375</v>
      </c>
      <c r="CH67" s="56">
        <v>1000375</v>
      </c>
      <c r="CI67" s="56">
        <v>1000375</v>
      </c>
      <c r="CJ67" s="56">
        <v>1000375</v>
      </c>
      <c r="CK67" s="56">
        <v>1000375</v>
      </c>
    </row>
    <row r="68" spans="1:89" ht="13" x14ac:dyDescent="0.3">
      <c r="A68" s="135" t="s">
        <v>37</v>
      </c>
      <c r="B68" s="48">
        <v>189938</v>
      </c>
      <c r="C68" s="47" t="s">
        <v>197</v>
      </c>
      <c r="D68" s="49">
        <v>27451</v>
      </c>
      <c r="E68" s="49">
        <v>51195</v>
      </c>
      <c r="F68" s="47" t="s">
        <v>173</v>
      </c>
      <c r="G68" s="47">
        <v>2009</v>
      </c>
      <c r="H68" s="47" t="s">
        <v>133</v>
      </c>
      <c r="I68" s="41">
        <v>315</v>
      </c>
      <c r="J68" s="41">
        <v>0</v>
      </c>
      <c r="K68" s="41">
        <v>1</v>
      </c>
      <c r="L68" s="41">
        <v>0</v>
      </c>
      <c r="M68" s="41">
        <v>0</v>
      </c>
      <c r="N68" s="41">
        <v>0</v>
      </c>
      <c r="O68" s="138">
        <v>0</v>
      </c>
      <c r="P68" s="147">
        <v>783861</v>
      </c>
      <c r="Q68" s="139">
        <v>1</v>
      </c>
      <c r="R68" s="139">
        <v>0</v>
      </c>
      <c r="S68" s="139">
        <v>0</v>
      </c>
      <c r="T68" s="140"/>
      <c r="U68" s="139">
        <v>0</v>
      </c>
      <c r="V68" s="141"/>
      <c r="W68" s="141">
        <v>1</v>
      </c>
      <c r="X68" s="24"/>
      <c r="Y68" s="24"/>
      <c r="Z68" s="24"/>
      <c r="AA68" s="24"/>
      <c r="AB68" s="24"/>
      <c r="AC68" s="24"/>
      <c r="AD68" s="24">
        <v>40057</v>
      </c>
      <c r="AE68" s="24"/>
      <c r="AF68" s="24">
        <v>42370</v>
      </c>
      <c r="AG68" s="24"/>
      <c r="AH68" s="31"/>
      <c r="AI68" s="46" t="str">
        <f t="shared" si="8"/>
        <v/>
      </c>
      <c r="AJ68" s="27"/>
      <c r="AK68" s="27"/>
      <c r="AL68" s="27"/>
      <c r="AM68" s="27"/>
      <c r="AN68" s="27"/>
      <c r="AO68" s="27"/>
      <c r="AP68" s="27"/>
      <c r="AQ68" s="29" t="str">
        <f>IF(AND(AD68&lt;&gt;"",AF68="",AG68=""),DATE(YEAR(AD68)+Menu!$E$10,MONTH(AD68)+Menu!$E$11,1),"")</f>
        <v/>
      </c>
      <c r="AR68" s="29">
        <f t="shared" si="9"/>
        <v>42370</v>
      </c>
      <c r="AS68" s="27">
        <f>IF(AND(AR68&lt;&gt;"",AH68="",AG68=""),DATE(YEAR(AR68)+Menu!$E$13,MONTH(AR68)+Menu!$E$14,1),"")</f>
        <v>44835</v>
      </c>
      <c r="AT68" s="27"/>
      <c r="AU68" s="15" t="s">
        <v>138</v>
      </c>
      <c r="AV68" s="15" t="s">
        <v>138</v>
      </c>
      <c r="AW68" s="16" t="s">
        <v>138</v>
      </c>
      <c r="AX68" s="15" t="s">
        <v>138</v>
      </c>
      <c r="AY68" s="15" t="s">
        <v>138</v>
      </c>
      <c r="AZ68" s="15" t="s">
        <v>138</v>
      </c>
      <c r="BA68" s="15" t="s">
        <v>138</v>
      </c>
      <c r="BB68" s="16" t="s">
        <v>133</v>
      </c>
      <c r="BC68" s="16" t="s">
        <v>133</v>
      </c>
      <c r="BD68" s="16" t="s">
        <v>133</v>
      </c>
      <c r="BE68" s="16" t="s">
        <v>133</v>
      </c>
      <c r="BF68" s="16" t="s">
        <v>133</v>
      </c>
      <c r="BG68" s="16" t="s">
        <v>133</v>
      </c>
      <c r="BH68" s="16" t="s">
        <v>133</v>
      </c>
      <c r="BI68" s="16" t="s">
        <v>134</v>
      </c>
      <c r="BJ68" s="15" t="s">
        <v>134</v>
      </c>
      <c r="BK68" s="15" t="s">
        <v>134</v>
      </c>
      <c r="BL68" s="131" t="s">
        <v>134</v>
      </c>
      <c r="BM68" t="s">
        <v>134</v>
      </c>
      <c r="BN68" t="s">
        <v>134</v>
      </c>
      <c r="BO68" t="s">
        <v>135</v>
      </c>
      <c r="BP68" t="s">
        <v>135</v>
      </c>
      <c r="BQ68" t="s">
        <v>135</v>
      </c>
      <c r="BR68" t="s">
        <v>135</v>
      </c>
      <c r="BS68" t="s">
        <v>135</v>
      </c>
      <c r="BT68" t="s">
        <v>135</v>
      </c>
      <c r="BU68" t="s">
        <v>135</v>
      </c>
      <c r="BV68" t="s">
        <v>135</v>
      </c>
      <c r="BW68" t="s">
        <v>135</v>
      </c>
      <c r="BX68" t="s">
        <v>135</v>
      </c>
      <c r="BY68" s="56">
        <v>783861</v>
      </c>
      <c r="BZ68" s="56">
        <v>721188</v>
      </c>
      <c r="CA68" s="56">
        <v>721188</v>
      </c>
      <c r="CB68" s="56">
        <v>735147.375</v>
      </c>
      <c r="CC68" s="56">
        <v>790984.875</v>
      </c>
      <c r="CD68" s="56">
        <v>846822.375</v>
      </c>
      <c r="CE68" s="56">
        <v>902659.875</v>
      </c>
      <c r="CF68" s="56">
        <v>958497.375</v>
      </c>
      <c r="CG68" s="56">
        <v>1000375</v>
      </c>
      <c r="CH68" s="56">
        <v>1000375</v>
      </c>
      <c r="CI68" s="56">
        <v>1000375</v>
      </c>
      <c r="CJ68" s="56">
        <v>1000375</v>
      </c>
      <c r="CK68" s="56">
        <v>1000375</v>
      </c>
    </row>
    <row r="69" spans="1:89" ht="13" x14ac:dyDescent="0.3">
      <c r="A69" s="42" t="s">
        <v>38</v>
      </c>
      <c r="B69" s="43">
        <v>217963</v>
      </c>
      <c r="C69" s="42" t="s">
        <v>196</v>
      </c>
      <c r="D69" s="44">
        <v>23712</v>
      </c>
      <c r="E69" s="44">
        <v>47483</v>
      </c>
      <c r="F69" s="42" t="s">
        <v>173</v>
      </c>
      <c r="G69" s="47"/>
      <c r="H69" s="47"/>
      <c r="I69" s="40">
        <v>1</v>
      </c>
      <c r="J69" s="41">
        <v>0</v>
      </c>
      <c r="K69" s="41">
        <v>0</v>
      </c>
      <c r="L69" s="41">
        <v>0</v>
      </c>
      <c r="M69" s="41">
        <v>0</v>
      </c>
      <c r="N69" s="41">
        <v>0</v>
      </c>
      <c r="O69" s="138">
        <v>0</v>
      </c>
      <c r="P69" s="147">
        <v>0</v>
      </c>
      <c r="Q69" s="139">
        <v>0</v>
      </c>
      <c r="R69" s="139">
        <v>0</v>
      </c>
      <c r="S69" s="139">
        <v>0</v>
      </c>
      <c r="T69" s="140"/>
      <c r="U69" s="139">
        <v>0</v>
      </c>
      <c r="V69" s="141"/>
      <c r="W69" s="141">
        <v>0</v>
      </c>
      <c r="X69" s="24"/>
      <c r="Y69" s="24"/>
      <c r="Z69" s="24"/>
      <c r="AA69" s="24"/>
      <c r="AB69" s="24">
        <v>40976</v>
      </c>
      <c r="AC69" s="24"/>
      <c r="AD69" s="24"/>
      <c r="AE69" s="24"/>
      <c r="AF69" s="24"/>
      <c r="AG69" s="24"/>
      <c r="AH69" s="31"/>
      <c r="AI69" s="46" t="str">
        <f t="shared" si="8"/>
        <v/>
      </c>
      <c r="AJ69" s="27"/>
      <c r="AK69" s="27"/>
      <c r="AL69" s="27"/>
      <c r="AM69" s="27"/>
      <c r="AN69" s="27"/>
      <c r="AO69" s="27"/>
      <c r="AP69" s="27"/>
      <c r="AQ69" s="29" t="str">
        <f>IF(AND(AD69&lt;&gt;"",AF69="",AG69=""),DATE(YEAR(AD69)+Menu!$E$10,MONTH(AD69)+Menu!$E$11,1),"")</f>
        <v/>
      </c>
      <c r="AR69" s="29" t="str">
        <f t="shared" si="9"/>
        <v/>
      </c>
      <c r="AS69" s="27" t="str">
        <f>IF(AND(AR69&lt;&gt;"",AH69="",AG69=""),DATE(YEAR(AR69)+Menu!$E$13,MONTH(AR69)+Menu!$E$14,1),"")</f>
        <v/>
      </c>
      <c r="AT69" s="27"/>
      <c r="AU69" s="15" t="s">
        <v>138</v>
      </c>
      <c r="AV69" s="15" t="s">
        <v>138</v>
      </c>
      <c r="AW69" s="16" t="s">
        <v>138</v>
      </c>
      <c r="AX69" s="15" t="s">
        <v>138</v>
      </c>
      <c r="AY69" s="15" t="s">
        <v>138</v>
      </c>
      <c r="AZ69" s="15" t="s">
        <v>138</v>
      </c>
      <c r="BA69" s="15" t="s">
        <v>138</v>
      </c>
      <c r="BB69" s="15" t="s">
        <v>138</v>
      </c>
      <c r="BC69" s="15" t="s">
        <v>138</v>
      </c>
      <c r="BD69" s="15" t="s">
        <v>138</v>
      </c>
      <c r="BE69" s="16" t="s">
        <v>131</v>
      </c>
      <c r="BF69" s="16" t="s">
        <v>131</v>
      </c>
      <c r="BG69" s="16" t="s">
        <v>131</v>
      </c>
      <c r="BH69" s="16" t="s">
        <v>131</v>
      </c>
      <c r="BI69" s="16" t="s">
        <v>131</v>
      </c>
      <c r="BJ69" s="15" t="s">
        <v>131</v>
      </c>
      <c r="BK69" s="15" t="s">
        <v>131</v>
      </c>
      <c r="BL69" s="131" t="s">
        <v>131</v>
      </c>
      <c r="BM69" t="s">
        <v>131</v>
      </c>
      <c r="BN69" t="s">
        <v>131</v>
      </c>
      <c r="BO69" t="s">
        <v>131</v>
      </c>
      <c r="BP69" t="s">
        <v>131</v>
      </c>
      <c r="BQ69" t="s">
        <v>131</v>
      </c>
      <c r="BR69" t="s">
        <v>131</v>
      </c>
      <c r="BS69" t="s">
        <v>131</v>
      </c>
      <c r="BT69" t="s">
        <v>131</v>
      </c>
      <c r="BU69" t="s">
        <v>131</v>
      </c>
      <c r="BV69" t="s">
        <v>131</v>
      </c>
      <c r="BW69" t="s">
        <v>138</v>
      </c>
      <c r="BX69" t="s">
        <v>138</v>
      </c>
      <c r="BY69" s="56">
        <v>0</v>
      </c>
      <c r="BZ69" s="56">
        <v>0</v>
      </c>
      <c r="CA69" s="56">
        <v>0</v>
      </c>
      <c r="CB69" s="56">
        <v>0</v>
      </c>
      <c r="CC69" s="56">
        <v>0</v>
      </c>
      <c r="CD69" s="56">
        <v>0</v>
      </c>
      <c r="CE69" s="56">
        <v>0</v>
      </c>
      <c r="CF69" s="56">
        <v>0</v>
      </c>
      <c r="CG69" s="56">
        <v>0</v>
      </c>
      <c r="CH69" s="56">
        <v>0</v>
      </c>
      <c r="CI69" s="56">
        <v>0</v>
      </c>
      <c r="CJ69" s="56">
        <v>0</v>
      </c>
      <c r="CK69" s="56">
        <v>0</v>
      </c>
    </row>
    <row r="70" spans="1:89" ht="13" x14ac:dyDescent="0.3">
      <c r="A70" s="135" t="s">
        <v>39</v>
      </c>
      <c r="B70" s="48">
        <v>171600</v>
      </c>
      <c r="C70" s="47" t="s">
        <v>196</v>
      </c>
      <c r="D70" s="49">
        <v>25564</v>
      </c>
      <c r="E70" s="49">
        <v>49309</v>
      </c>
      <c r="F70" s="47" t="s">
        <v>173</v>
      </c>
      <c r="G70" s="47"/>
      <c r="H70" s="47"/>
      <c r="I70" s="41">
        <v>421</v>
      </c>
      <c r="J70" s="41">
        <v>1</v>
      </c>
      <c r="K70" s="41">
        <v>0</v>
      </c>
      <c r="L70" s="41">
        <v>0</v>
      </c>
      <c r="M70" s="41">
        <v>0</v>
      </c>
      <c r="N70" s="41">
        <v>0</v>
      </c>
      <c r="O70" s="138">
        <v>2</v>
      </c>
      <c r="P70" s="147">
        <v>0</v>
      </c>
      <c r="Q70" s="139">
        <v>1</v>
      </c>
      <c r="R70" s="139">
        <v>0</v>
      </c>
      <c r="S70" s="139">
        <v>0</v>
      </c>
      <c r="T70" s="140"/>
      <c r="U70" s="139">
        <v>0</v>
      </c>
      <c r="V70" s="141"/>
      <c r="W70" s="141">
        <v>0</v>
      </c>
      <c r="X70" s="24"/>
      <c r="Y70" s="24"/>
      <c r="Z70" s="24">
        <v>40602</v>
      </c>
      <c r="AA70" s="24"/>
      <c r="AB70" s="24"/>
      <c r="AC70" s="24">
        <v>41984</v>
      </c>
      <c r="AD70" s="24"/>
      <c r="AE70" s="24"/>
      <c r="AF70" s="24"/>
      <c r="AG70" s="24"/>
      <c r="AH70" s="31"/>
      <c r="AI70" s="46" t="str">
        <f t="shared" si="8"/>
        <v/>
      </c>
      <c r="AJ70" s="27"/>
      <c r="AK70" s="27"/>
      <c r="AL70" s="27"/>
      <c r="AM70" s="27"/>
      <c r="AN70" s="27"/>
      <c r="AO70" s="27"/>
      <c r="AP70" s="27"/>
      <c r="AQ70" s="29" t="str">
        <f>IF(AND(AD70&lt;&gt;"",AF70="",AG70=""),DATE(YEAR(AD70)+Menu!$E$10,MONTH(AD70)+Menu!$E$11,1),"")</f>
        <v/>
      </c>
      <c r="AR70" s="29" t="str">
        <f t="shared" si="9"/>
        <v/>
      </c>
      <c r="AS70" s="27" t="str">
        <f>IF(AND(AR70&lt;&gt;"",AH70="",AG70=""),DATE(YEAR(AR70)+Menu!$E$13,MONTH(AR70)+Menu!$E$14,1),"")</f>
        <v/>
      </c>
      <c r="AT70" s="27"/>
      <c r="AU70" s="15" t="s">
        <v>138</v>
      </c>
      <c r="AV70" s="15" t="s">
        <v>138</v>
      </c>
      <c r="AW70" s="16" t="s">
        <v>138</v>
      </c>
      <c r="AX70" s="15" t="s">
        <v>138</v>
      </c>
      <c r="AY70" s="15" t="s">
        <v>138</v>
      </c>
      <c r="AZ70" s="15" t="s">
        <v>138</v>
      </c>
      <c r="BA70" s="15" t="s">
        <v>138</v>
      </c>
      <c r="BB70" s="15" t="s">
        <v>138</v>
      </c>
      <c r="BC70" s="15" t="s">
        <v>138</v>
      </c>
      <c r="BD70" s="16" t="s">
        <v>137</v>
      </c>
      <c r="BE70" s="16" t="s">
        <v>137</v>
      </c>
      <c r="BF70" s="16" t="s">
        <v>137</v>
      </c>
      <c r="BG70" s="16" t="s">
        <v>132</v>
      </c>
      <c r="BH70" s="16" t="s">
        <v>132</v>
      </c>
      <c r="BI70" s="16" t="s">
        <v>132</v>
      </c>
      <c r="BJ70" s="16" t="s">
        <v>132</v>
      </c>
      <c r="BK70" s="16" t="s">
        <v>132</v>
      </c>
      <c r="BL70" s="132" t="s">
        <v>132</v>
      </c>
      <c r="BM70" t="s">
        <v>132</v>
      </c>
      <c r="BN70" t="s">
        <v>132</v>
      </c>
      <c r="BO70" t="s">
        <v>132</v>
      </c>
      <c r="BP70" t="s">
        <v>132</v>
      </c>
      <c r="BQ70" t="s">
        <v>132</v>
      </c>
      <c r="BR70" t="s">
        <v>132</v>
      </c>
      <c r="BS70" t="s">
        <v>132</v>
      </c>
      <c r="BT70" t="s">
        <v>132</v>
      </c>
      <c r="BU70" t="s">
        <v>132</v>
      </c>
      <c r="BV70" t="s">
        <v>132</v>
      </c>
      <c r="BW70" t="s">
        <v>132</v>
      </c>
      <c r="BX70" t="s">
        <v>132</v>
      </c>
      <c r="BY70" s="56">
        <v>0</v>
      </c>
      <c r="BZ70" s="56">
        <v>0</v>
      </c>
      <c r="CA70" s="56">
        <v>0</v>
      </c>
      <c r="CB70" s="56">
        <v>0</v>
      </c>
      <c r="CC70" s="56">
        <v>0</v>
      </c>
      <c r="CD70" s="56">
        <v>0</v>
      </c>
      <c r="CE70" s="56">
        <v>0</v>
      </c>
      <c r="CF70" s="56">
        <v>0</v>
      </c>
      <c r="CG70" s="56">
        <v>0</v>
      </c>
      <c r="CH70" s="56">
        <v>0</v>
      </c>
      <c r="CI70" s="56">
        <v>0</v>
      </c>
      <c r="CJ70" s="56">
        <v>0</v>
      </c>
      <c r="CK70" s="56">
        <v>0</v>
      </c>
    </row>
    <row r="71" spans="1:89" ht="13" x14ac:dyDescent="0.3">
      <c r="A71" s="135" t="s">
        <v>139</v>
      </c>
      <c r="B71" s="48">
        <v>107296</v>
      </c>
      <c r="C71" s="47" t="s">
        <v>196</v>
      </c>
      <c r="D71" s="49" t="e">
        <v>#N/A</v>
      </c>
      <c r="E71" s="49">
        <v>44681</v>
      </c>
      <c r="F71" s="47" t="s">
        <v>173</v>
      </c>
      <c r="G71" s="47"/>
      <c r="H71" s="47"/>
      <c r="I71" s="41">
        <v>406</v>
      </c>
      <c r="J71" s="41">
        <v>1</v>
      </c>
      <c r="K71" s="41">
        <v>0</v>
      </c>
      <c r="L71" s="41">
        <v>0</v>
      </c>
      <c r="M71" s="41">
        <v>0</v>
      </c>
      <c r="N71" s="41">
        <v>0</v>
      </c>
      <c r="O71" s="138">
        <v>0</v>
      </c>
      <c r="P71" s="147">
        <v>0</v>
      </c>
      <c r="Q71" s="139">
        <v>0</v>
      </c>
      <c r="R71" s="139">
        <v>0</v>
      </c>
      <c r="S71" s="139">
        <v>0</v>
      </c>
      <c r="T71" s="140"/>
      <c r="U71" s="139">
        <v>0</v>
      </c>
      <c r="V71" s="141"/>
      <c r="W71" s="141">
        <v>1</v>
      </c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31"/>
      <c r="AI71" s="46" t="str">
        <f t="shared" si="8"/>
        <v/>
      </c>
      <c r="AJ71" s="27"/>
      <c r="AK71" s="27"/>
      <c r="AL71" s="27"/>
      <c r="AM71" s="27"/>
      <c r="AN71" s="27"/>
      <c r="AO71" s="27"/>
      <c r="AP71" s="27"/>
      <c r="AQ71" s="29" t="str">
        <f>IF(AND(AD71&lt;&gt;"",AF71="",AG71=""),DATE(YEAR(AD71)+Menu!$E$10,MONTH(AD71)+Menu!$E$11,1),"")</f>
        <v/>
      </c>
      <c r="AR71" s="29" t="str">
        <f t="shared" si="9"/>
        <v/>
      </c>
      <c r="AS71" s="27" t="str">
        <f>IF(AND(AR71&lt;&gt;"",AH71="",AG71=""),DATE(YEAR(AR71)+Menu!$E$13,MONTH(AR71)+Menu!$E$14,1),"")</f>
        <v/>
      </c>
      <c r="AT71" s="27"/>
      <c r="AU71" s="15" t="s">
        <v>138</v>
      </c>
      <c r="AV71" s="15" t="s">
        <v>138</v>
      </c>
      <c r="AW71" s="16" t="s">
        <v>138</v>
      </c>
      <c r="AX71" s="15" t="s">
        <v>138</v>
      </c>
      <c r="AY71" s="15" t="s">
        <v>138</v>
      </c>
      <c r="AZ71" s="15" t="s">
        <v>138</v>
      </c>
      <c r="BA71" s="15" t="s">
        <v>138</v>
      </c>
      <c r="BB71" s="15" t="s">
        <v>138</v>
      </c>
      <c r="BC71" s="15" t="s">
        <v>138</v>
      </c>
      <c r="BD71" s="15" t="s">
        <v>138</v>
      </c>
      <c r="BE71" s="15" t="s">
        <v>138</v>
      </c>
      <c r="BF71" s="16" t="s">
        <v>138</v>
      </c>
      <c r="BG71" s="16" t="s">
        <v>138</v>
      </c>
      <c r="BH71" s="16" t="s">
        <v>138</v>
      </c>
      <c r="BI71" s="16" t="s">
        <v>138</v>
      </c>
      <c r="BJ71" s="15" t="s">
        <v>138</v>
      </c>
      <c r="BK71" s="15" t="s">
        <v>386</v>
      </c>
      <c r="BL71" s="131" t="s">
        <v>386</v>
      </c>
      <c r="BM71" t="s">
        <v>386</v>
      </c>
      <c r="BN71" t="s">
        <v>386</v>
      </c>
      <c r="BO71" t="s">
        <v>386</v>
      </c>
      <c r="BP71" t="s">
        <v>138</v>
      </c>
      <c r="BQ71" t="s">
        <v>138</v>
      </c>
      <c r="BR71" t="s">
        <v>138</v>
      </c>
      <c r="BS71" t="s">
        <v>138</v>
      </c>
      <c r="BT71" t="s">
        <v>138</v>
      </c>
      <c r="BU71" t="s">
        <v>138</v>
      </c>
      <c r="BV71" t="s">
        <v>138</v>
      </c>
      <c r="BW71" t="s">
        <v>138</v>
      </c>
      <c r="BX71" t="s">
        <v>138</v>
      </c>
      <c r="BY71" s="56">
        <v>0</v>
      </c>
      <c r="BZ71" s="56">
        <v>0</v>
      </c>
      <c r="CA71" s="56">
        <v>0</v>
      </c>
      <c r="CB71" s="56">
        <v>0</v>
      </c>
      <c r="CC71" s="56">
        <v>0</v>
      </c>
      <c r="CD71" s="56">
        <v>0</v>
      </c>
      <c r="CE71" s="56">
        <v>0</v>
      </c>
      <c r="CF71" s="56">
        <v>0</v>
      </c>
      <c r="CG71" s="56">
        <v>0</v>
      </c>
      <c r="CH71" s="56">
        <v>0</v>
      </c>
      <c r="CI71" s="56">
        <v>0</v>
      </c>
      <c r="CJ71" s="56">
        <v>0</v>
      </c>
      <c r="CK71" s="56">
        <v>0</v>
      </c>
    </row>
    <row r="72" spans="1:89" ht="13" x14ac:dyDescent="0.3">
      <c r="A72" s="135" t="s">
        <v>235</v>
      </c>
      <c r="B72" s="48">
        <v>190049</v>
      </c>
      <c r="C72" s="47"/>
      <c r="D72" s="49">
        <v>27680</v>
      </c>
      <c r="E72" s="49">
        <v>51440</v>
      </c>
      <c r="F72" s="47" t="s">
        <v>173</v>
      </c>
      <c r="G72" s="47">
        <v>2009</v>
      </c>
      <c r="H72" s="47"/>
      <c r="I72" s="41">
        <v>380</v>
      </c>
      <c r="J72" s="41"/>
      <c r="K72" s="41"/>
      <c r="L72" s="41"/>
      <c r="M72" s="41"/>
      <c r="N72" s="41"/>
      <c r="O72" s="138">
        <v>0</v>
      </c>
      <c r="P72" s="147">
        <v>0</v>
      </c>
      <c r="Q72" s="139">
        <v>0</v>
      </c>
      <c r="R72" s="139">
        <v>0</v>
      </c>
      <c r="S72" s="139">
        <v>0</v>
      </c>
      <c r="T72" s="140"/>
      <c r="U72" s="139">
        <v>0</v>
      </c>
      <c r="V72" s="141"/>
      <c r="W72" s="141">
        <v>1</v>
      </c>
      <c r="X72" s="24">
        <v>41095</v>
      </c>
      <c r="Y72" s="24"/>
      <c r="Z72" s="24"/>
      <c r="AA72" s="24"/>
      <c r="AB72" s="24"/>
      <c r="AC72" s="24"/>
      <c r="AD72" s="24"/>
      <c r="AE72" s="24"/>
      <c r="AF72" s="24"/>
      <c r="AG72" s="24"/>
      <c r="AH72" s="31"/>
      <c r="AI72" s="46" t="str">
        <f t="shared" si="8"/>
        <v/>
      </c>
      <c r="AJ72" s="27"/>
      <c r="AK72" s="27"/>
      <c r="AL72" s="27"/>
      <c r="AM72" s="27"/>
      <c r="AN72" s="27"/>
      <c r="AO72" s="27"/>
      <c r="AP72" s="27"/>
      <c r="AQ72" s="29" t="str">
        <f>IF(AND(AD72&lt;&gt;"",AF72="",AG72=""),DATE(YEAR(AD72)+Menu!$E$10,MONTH(AD72)+Menu!$E$11,1),"")</f>
        <v/>
      </c>
      <c r="AR72" s="29" t="str">
        <f t="shared" si="9"/>
        <v/>
      </c>
      <c r="AS72" s="27" t="str">
        <f>IF(AND(AR72&lt;&gt;"",AH72="",AG72=""),DATE(YEAR(AR72)+Menu!$E$13,MONTH(AR72)+Menu!$E$14,1),"")</f>
        <v/>
      </c>
      <c r="AT72" s="27"/>
      <c r="AU72" s="15" t="s">
        <v>138</v>
      </c>
      <c r="AV72" s="15" t="s">
        <v>138</v>
      </c>
      <c r="AW72" s="16" t="s">
        <v>138</v>
      </c>
      <c r="AX72" s="15" t="s">
        <v>138</v>
      </c>
      <c r="AY72" s="15" t="s">
        <v>138</v>
      </c>
      <c r="AZ72" s="15" t="s">
        <v>138</v>
      </c>
      <c r="BA72" s="15" t="s">
        <v>138</v>
      </c>
      <c r="BB72" s="15" t="s">
        <v>138</v>
      </c>
      <c r="BC72" s="15" t="s">
        <v>138</v>
      </c>
      <c r="BD72" s="15" t="s">
        <v>138</v>
      </c>
      <c r="BE72" s="15" t="s">
        <v>239</v>
      </c>
      <c r="BF72" s="16" t="s">
        <v>239</v>
      </c>
      <c r="BG72" s="16" t="s">
        <v>239</v>
      </c>
      <c r="BH72" s="16" t="s">
        <v>239</v>
      </c>
      <c r="BI72" s="16" t="s">
        <v>239</v>
      </c>
      <c r="BJ72" s="15" t="s">
        <v>239</v>
      </c>
      <c r="BK72" s="15" t="s">
        <v>239</v>
      </c>
      <c r="BL72" s="131" t="s">
        <v>239</v>
      </c>
      <c r="BM72" t="s">
        <v>239</v>
      </c>
      <c r="BN72" t="s">
        <v>239</v>
      </c>
      <c r="BO72" t="s">
        <v>239</v>
      </c>
      <c r="BP72" t="s">
        <v>239</v>
      </c>
      <c r="BQ72" t="s">
        <v>239</v>
      </c>
      <c r="BR72" t="s">
        <v>239</v>
      </c>
      <c r="BS72" t="s">
        <v>239</v>
      </c>
      <c r="BT72" t="s">
        <v>239</v>
      </c>
      <c r="BU72" t="s">
        <v>239</v>
      </c>
      <c r="BV72" t="s">
        <v>239</v>
      </c>
      <c r="BW72" t="s">
        <v>239</v>
      </c>
      <c r="BX72" t="s">
        <v>239</v>
      </c>
      <c r="BY72" s="56">
        <v>0</v>
      </c>
      <c r="BZ72" s="56">
        <v>0</v>
      </c>
      <c r="CA72" s="56">
        <v>0</v>
      </c>
      <c r="CB72" s="56">
        <v>0</v>
      </c>
      <c r="CC72" s="56">
        <v>0</v>
      </c>
      <c r="CD72" s="56">
        <v>0</v>
      </c>
      <c r="CE72" s="56">
        <v>0</v>
      </c>
      <c r="CF72" s="56">
        <v>0</v>
      </c>
      <c r="CG72" s="56">
        <v>0</v>
      </c>
      <c r="CH72" s="56">
        <v>0</v>
      </c>
      <c r="CI72" s="56">
        <v>0</v>
      </c>
      <c r="CJ72" s="56">
        <v>0</v>
      </c>
      <c r="CK72" s="56">
        <v>0</v>
      </c>
    </row>
    <row r="73" spans="1:89" ht="13" x14ac:dyDescent="0.3">
      <c r="A73" s="135" t="s">
        <v>149</v>
      </c>
      <c r="B73" s="148"/>
      <c r="C73" s="47" t="s">
        <v>196</v>
      </c>
      <c r="D73" s="49">
        <v>16060</v>
      </c>
      <c r="E73" s="49">
        <v>39844</v>
      </c>
      <c r="F73" s="47" t="s">
        <v>173</v>
      </c>
      <c r="G73" s="47"/>
      <c r="H73" s="47"/>
      <c r="I73" s="40">
        <v>440</v>
      </c>
      <c r="J73" s="41">
        <v>1</v>
      </c>
      <c r="K73" s="41">
        <v>0</v>
      </c>
      <c r="L73" s="41">
        <v>0</v>
      </c>
      <c r="M73" s="41">
        <v>0</v>
      </c>
      <c r="N73" s="41">
        <v>0</v>
      </c>
      <c r="O73" s="138">
        <v>0</v>
      </c>
      <c r="P73" s="147">
        <v>0</v>
      </c>
      <c r="Q73" s="139">
        <v>0</v>
      </c>
      <c r="R73" s="139">
        <v>0</v>
      </c>
      <c r="S73" s="139">
        <v>0</v>
      </c>
      <c r="T73" s="140"/>
      <c r="U73" s="139">
        <v>0</v>
      </c>
      <c r="V73" s="141"/>
      <c r="W73" s="141">
        <v>0</v>
      </c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31"/>
      <c r="AI73" s="46">
        <f t="shared" si="8"/>
        <v>2009</v>
      </c>
      <c r="AJ73" s="27"/>
      <c r="AK73" s="27"/>
      <c r="AL73" s="27"/>
      <c r="AM73" s="27"/>
      <c r="AN73" s="27"/>
      <c r="AO73" s="27"/>
      <c r="AP73" s="27"/>
      <c r="AQ73" s="29" t="str">
        <f>IF(AND(AD73&lt;&gt;"",AF73="",AG73=""),DATE(YEAR(AD73)+Menu!$E$10,MONTH(AD73)+Menu!$E$11,1),"")</f>
        <v/>
      </c>
      <c r="AR73" s="29" t="str">
        <f t="shared" si="9"/>
        <v/>
      </c>
      <c r="AS73" s="27" t="str">
        <f>IF(AND(AR73&lt;&gt;"",AH73="",AG73=""),DATE(YEAR(AR73)+Menu!$E$13,MONTH(AR73)+Menu!$E$14,1),"")</f>
        <v/>
      </c>
      <c r="AT73" s="27"/>
      <c r="AU73" s="16" t="s">
        <v>135</v>
      </c>
      <c r="AV73" s="16" t="s">
        <v>135</v>
      </c>
      <c r="AW73" s="16" t="s">
        <v>135</v>
      </c>
      <c r="AX73" s="16" t="s">
        <v>135</v>
      </c>
      <c r="AY73" s="16" t="s">
        <v>135</v>
      </c>
      <c r="AZ73" s="16" t="s">
        <v>135</v>
      </c>
      <c r="BA73" s="16" t="s">
        <v>135</v>
      </c>
      <c r="BB73" s="16" t="s">
        <v>138</v>
      </c>
      <c r="BC73" s="16" t="s">
        <v>138</v>
      </c>
      <c r="BD73" s="16" t="s">
        <v>138</v>
      </c>
      <c r="BE73" s="16" t="s">
        <v>138</v>
      </c>
      <c r="BF73" s="16" t="s">
        <v>138</v>
      </c>
      <c r="BG73" s="16" t="s">
        <v>138</v>
      </c>
      <c r="BH73" s="16" t="s">
        <v>138</v>
      </c>
      <c r="BI73" s="16" t="s">
        <v>138</v>
      </c>
      <c r="BJ73" s="16" t="s">
        <v>138</v>
      </c>
      <c r="BK73" s="16" t="s">
        <v>138</v>
      </c>
      <c r="BL73" s="132"/>
      <c r="BY73" s="56">
        <v>0</v>
      </c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</row>
    <row r="74" spans="1:89" ht="13" x14ac:dyDescent="0.3">
      <c r="A74" s="135" t="s">
        <v>216</v>
      </c>
      <c r="B74" s="148">
        <v>254787</v>
      </c>
      <c r="C74" s="47" t="s">
        <v>201</v>
      </c>
      <c r="D74" s="49">
        <v>29532</v>
      </c>
      <c r="E74" s="49">
        <v>53296</v>
      </c>
      <c r="F74" s="47" t="s">
        <v>173</v>
      </c>
      <c r="G74" s="47">
        <v>2015</v>
      </c>
      <c r="H74" s="47" t="s">
        <v>133</v>
      </c>
      <c r="I74" s="41">
        <v>893</v>
      </c>
      <c r="J74" s="41">
        <v>0</v>
      </c>
      <c r="K74" s="41">
        <v>0</v>
      </c>
      <c r="L74" s="41">
        <v>0</v>
      </c>
      <c r="M74" s="41">
        <v>0</v>
      </c>
      <c r="N74" s="41">
        <v>1</v>
      </c>
      <c r="O74" s="138">
        <v>0</v>
      </c>
      <c r="P74" s="147">
        <v>0</v>
      </c>
      <c r="Q74" s="139">
        <v>1</v>
      </c>
      <c r="R74" s="139">
        <v>0</v>
      </c>
      <c r="S74" s="139">
        <v>500000</v>
      </c>
      <c r="T74" s="140">
        <v>45748</v>
      </c>
      <c r="U74" s="139">
        <v>0</v>
      </c>
      <c r="V74" s="141"/>
      <c r="W74" s="141">
        <v>1</v>
      </c>
      <c r="X74" s="24"/>
      <c r="Y74" s="24"/>
      <c r="Z74" s="24"/>
      <c r="AA74" s="24"/>
      <c r="AB74" s="24"/>
      <c r="AC74" s="24"/>
      <c r="AD74" s="24">
        <v>42095</v>
      </c>
      <c r="AE74" s="24"/>
      <c r="AF74" s="24"/>
      <c r="AG74" s="24"/>
      <c r="AH74" s="31"/>
      <c r="AI74" s="46" t="str">
        <f t="shared" si="8"/>
        <v/>
      </c>
      <c r="AJ74" s="27"/>
      <c r="AK74" s="27"/>
      <c r="AL74" s="27"/>
      <c r="AM74" s="27"/>
      <c r="AN74" s="27"/>
      <c r="AO74" s="27"/>
      <c r="AP74" s="27"/>
      <c r="AQ74" s="29">
        <f>IF(AND(AD74&lt;&gt;"",AF74="",AG74=""),DATE(YEAR(AD74)+Menu!$E$10,MONTH(AD74)+Menu!$E$11,1),"")</f>
        <v>44562</v>
      </c>
      <c r="AR74" s="29">
        <f t="shared" si="9"/>
        <v>44562</v>
      </c>
      <c r="AS74" s="27">
        <f>IF(AND(AR74&lt;&gt;"",AH74="",AG74=""),DATE(YEAR(AR74)+Menu!$E$13,MONTH(AR74)+Menu!$E$14,1),"")</f>
        <v>47027</v>
      </c>
      <c r="AT74" s="27"/>
      <c r="AU74" s="15" t="s">
        <v>138</v>
      </c>
      <c r="AV74" s="15" t="s">
        <v>138</v>
      </c>
      <c r="AW74" s="15" t="s">
        <v>138</v>
      </c>
      <c r="AX74" s="15" t="s">
        <v>138</v>
      </c>
      <c r="AY74" s="15" t="s">
        <v>138</v>
      </c>
      <c r="AZ74" s="15" t="s">
        <v>138</v>
      </c>
      <c r="BA74" s="15" t="s">
        <v>138</v>
      </c>
      <c r="BB74" s="15" t="s">
        <v>138</v>
      </c>
      <c r="BC74" s="15" t="s">
        <v>138</v>
      </c>
      <c r="BD74" s="15" t="s">
        <v>138</v>
      </c>
      <c r="BE74" s="15" t="s">
        <v>138</v>
      </c>
      <c r="BF74" s="15" t="s">
        <v>138</v>
      </c>
      <c r="BG74" s="15" t="s">
        <v>138</v>
      </c>
      <c r="BH74" s="15" t="s">
        <v>133</v>
      </c>
      <c r="BI74" s="15" t="s">
        <v>133</v>
      </c>
      <c r="BJ74" s="15" t="s">
        <v>133</v>
      </c>
      <c r="BK74" s="15" t="s">
        <v>133</v>
      </c>
      <c r="BL74" s="131" t="s">
        <v>133</v>
      </c>
      <c r="BM74" t="s">
        <v>133</v>
      </c>
      <c r="BN74" t="s">
        <v>133</v>
      </c>
      <c r="BO74" t="s">
        <v>134</v>
      </c>
      <c r="BP74" t="s">
        <v>134</v>
      </c>
      <c r="BQ74" t="s">
        <v>134</v>
      </c>
      <c r="BR74" t="s">
        <v>134</v>
      </c>
      <c r="BS74" t="s">
        <v>134</v>
      </c>
      <c r="BT74" t="s">
        <v>134</v>
      </c>
      <c r="BU74" t="s">
        <v>135</v>
      </c>
      <c r="BV74" t="s">
        <v>135</v>
      </c>
      <c r="BW74" t="s">
        <v>135</v>
      </c>
      <c r="BX74" t="s">
        <v>135</v>
      </c>
      <c r="BY74" s="56">
        <v>0</v>
      </c>
      <c r="BZ74" s="56">
        <v>0</v>
      </c>
      <c r="CA74" s="56">
        <v>0</v>
      </c>
      <c r="CB74" s="56">
        <v>721188</v>
      </c>
      <c r="CC74" s="56">
        <v>721188</v>
      </c>
      <c r="CD74" s="56">
        <v>721188</v>
      </c>
      <c r="CE74" s="56">
        <v>665891</v>
      </c>
      <c r="CF74" s="56">
        <v>721188</v>
      </c>
      <c r="CG74" s="56">
        <v>721188</v>
      </c>
      <c r="CH74" s="56">
        <v>735147.375</v>
      </c>
      <c r="CI74" s="56">
        <v>790984.875</v>
      </c>
      <c r="CJ74" s="56">
        <v>846822.375</v>
      </c>
      <c r="CK74" s="56">
        <v>902659.875</v>
      </c>
    </row>
    <row r="75" spans="1:89" ht="13" x14ac:dyDescent="0.3">
      <c r="A75" s="135" t="s">
        <v>40</v>
      </c>
      <c r="B75" s="48">
        <v>113762</v>
      </c>
      <c r="C75" s="47" t="s">
        <v>198</v>
      </c>
      <c r="D75" s="49">
        <v>21659</v>
      </c>
      <c r="E75" s="49">
        <v>45412</v>
      </c>
      <c r="F75" s="47" t="s">
        <v>173</v>
      </c>
      <c r="G75" s="47"/>
      <c r="H75" s="47"/>
      <c r="I75" s="41">
        <v>1034</v>
      </c>
      <c r="J75" s="41">
        <v>0</v>
      </c>
      <c r="K75" s="41">
        <v>0</v>
      </c>
      <c r="L75" s="41">
        <v>1</v>
      </c>
      <c r="M75" s="41">
        <v>0</v>
      </c>
      <c r="N75" s="41">
        <v>0</v>
      </c>
      <c r="O75" s="138">
        <v>0</v>
      </c>
      <c r="P75" s="147">
        <v>1067731</v>
      </c>
      <c r="Q75" s="139">
        <v>1</v>
      </c>
      <c r="R75" s="139">
        <v>1</v>
      </c>
      <c r="S75" s="139">
        <v>0</v>
      </c>
      <c r="T75" s="140"/>
      <c r="U75" s="139">
        <f>-SUM(U241:U243)*MONTH(E75)/12</f>
        <v>-163479.92500000002</v>
      </c>
      <c r="V75" s="141">
        <v>2024</v>
      </c>
      <c r="W75" s="141">
        <v>1</v>
      </c>
      <c r="X75" s="24"/>
      <c r="Y75" s="24"/>
      <c r="Z75" s="24"/>
      <c r="AA75" s="24"/>
      <c r="AB75" s="24"/>
      <c r="AC75" s="24"/>
      <c r="AD75" s="24"/>
      <c r="AE75" s="24"/>
      <c r="AF75" s="24">
        <v>35582</v>
      </c>
      <c r="AG75" s="24">
        <v>36831</v>
      </c>
      <c r="AH75" s="31"/>
      <c r="AI75" s="46" t="str">
        <f t="shared" si="8"/>
        <v/>
      </c>
      <c r="AJ75" s="27"/>
      <c r="AK75" s="27"/>
      <c r="AL75" s="27"/>
      <c r="AM75" s="27"/>
      <c r="AN75" s="27"/>
      <c r="AO75" s="27"/>
      <c r="AP75" s="27"/>
      <c r="AQ75" s="29" t="str">
        <f>IF(AND(AD75&lt;&gt;"",AF75="",AG75=""),DATE(YEAR(AD75)+Menu!$E$10,MONTH(AD75)+Menu!$E$11,1),"")</f>
        <v/>
      </c>
      <c r="AR75" s="29">
        <f t="shared" si="9"/>
        <v>35582</v>
      </c>
      <c r="AS75" s="27" t="str">
        <f>IF(AND(AR75&lt;&gt;"",AH75="",AG75=""),DATE(YEAR(AR75)+Menu!$E$13,MONTH(AR75)+Menu!$E$14,1),"")</f>
        <v/>
      </c>
      <c r="AT75" s="27"/>
      <c r="AU75" s="16" t="s">
        <v>135</v>
      </c>
      <c r="AV75" s="16" t="s">
        <v>135</v>
      </c>
      <c r="AW75" s="16" t="s">
        <v>135</v>
      </c>
      <c r="AX75" s="16" t="s">
        <v>135</v>
      </c>
      <c r="AY75" s="16" t="s">
        <v>135</v>
      </c>
      <c r="AZ75" s="16" t="s">
        <v>135</v>
      </c>
      <c r="BA75" s="16" t="s">
        <v>135</v>
      </c>
      <c r="BB75" s="16" t="s">
        <v>135</v>
      </c>
      <c r="BC75" s="16" t="s">
        <v>135</v>
      </c>
      <c r="BD75" s="16" t="s">
        <v>135</v>
      </c>
      <c r="BE75" s="16" t="s">
        <v>135</v>
      </c>
      <c r="BF75" s="16" t="s">
        <v>135</v>
      </c>
      <c r="BG75" s="16" t="s">
        <v>135</v>
      </c>
      <c r="BH75" s="16" t="s">
        <v>135</v>
      </c>
      <c r="BI75" s="16" t="s">
        <v>135</v>
      </c>
      <c r="BJ75" s="15" t="s">
        <v>135</v>
      </c>
      <c r="BK75" s="15" t="s">
        <v>135</v>
      </c>
      <c r="BL75" s="131" t="s">
        <v>135</v>
      </c>
      <c r="BM75" t="s">
        <v>135</v>
      </c>
      <c r="BN75" t="s">
        <v>135</v>
      </c>
      <c r="BO75" t="s">
        <v>135</v>
      </c>
      <c r="BP75" t="s">
        <v>135</v>
      </c>
      <c r="BQ75" t="s">
        <v>138</v>
      </c>
      <c r="BR75" t="s">
        <v>138</v>
      </c>
      <c r="BS75" t="s">
        <v>138</v>
      </c>
      <c r="BT75" t="s">
        <v>138</v>
      </c>
      <c r="BU75" t="s">
        <v>138</v>
      </c>
      <c r="BV75" t="s">
        <v>138</v>
      </c>
      <c r="BW75" t="s">
        <v>138</v>
      </c>
      <c r="BX75" t="s">
        <v>138</v>
      </c>
      <c r="BY75" s="56">
        <v>1067731</v>
      </c>
      <c r="BZ75" s="56">
        <v>1000375</v>
      </c>
      <c r="CA75" s="56">
        <v>1000375</v>
      </c>
      <c r="CB75" s="56">
        <v>1000375</v>
      </c>
      <c r="CC75" s="56">
        <v>1000375</v>
      </c>
      <c r="CD75" s="56">
        <v>169978.4083333333</v>
      </c>
      <c r="CE75" s="56">
        <v>0</v>
      </c>
      <c r="CF75" s="56">
        <v>0</v>
      </c>
      <c r="CG75" s="56">
        <v>0</v>
      </c>
      <c r="CH75" s="56">
        <v>0</v>
      </c>
      <c r="CI75" s="56">
        <v>0</v>
      </c>
      <c r="CJ75" s="56">
        <v>0</v>
      </c>
      <c r="CK75" s="56">
        <v>0</v>
      </c>
    </row>
    <row r="76" spans="1:89" ht="13" x14ac:dyDescent="0.3">
      <c r="A76" s="135" t="s">
        <v>41</v>
      </c>
      <c r="B76" s="48">
        <v>105245</v>
      </c>
      <c r="C76" s="47" t="s">
        <v>196</v>
      </c>
      <c r="D76" s="49">
        <v>22305</v>
      </c>
      <c r="E76" s="49">
        <v>46053</v>
      </c>
      <c r="F76" s="47" t="s">
        <v>173</v>
      </c>
      <c r="G76" s="47"/>
      <c r="H76" s="47"/>
      <c r="I76" s="41">
        <v>379</v>
      </c>
      <c r="J76" s="41">
        <v>1</v>
      </c>
      <c r="K76" s="41">
        <v>0</v>
      </c>
      <c r="L76" s="41">
        <v>0</v>
      </c>
      <c r="M76" s="41">
        <v>0</v>
      </c>
      <c r="N76" s="41">
        <v>0</v>
      </c>
      <c r="O76" s="138">
        <v>1</v>
      </c>
      <c r="P76" s="147">
        <v>270272</v>
      </c>
      <c r="Q76" s="139">
        <v>1</v>
      </c>
      <c r="R76" s="139">
        <v>0</v>
      </c>
      <c r="S76" s="139">
        <v>0</v>
      </c>
      <c r="T76" s="140"/>
      <c r="U76" s="139">
        <v>0</v>
      </c>
      <c r="V76" s="141"/>
      <c r="W76" s="141">
        <v>1</v>
      </c>
      <c r="X76" s="24"/>
      <c r="Y76" s="24">
        <v>35521</v>
      </c>
      <c r="Z76" s="24"/>
      <c r="AA76" s="24"/>
      <c r="AB76" s="24"/>
      <c r="AC76" s="24"/>
      <c r="AD76" s="24"/>
      <c r="AE76" s="24"/>
      <c r="AF76" s="24"/>
      <c r="AG76" s="24"/>
      <c r="AH76" s="31"/>
      <c r="AI76" s="46" t="str">
        <f t="shared" si="8"/>
        <v/>
      </c>
      <c r="AJ76" s="27"/>
      <c r="AK76" s="27"/>
      <c r="AL76" s="27"/>
      <c r="AM76" s="27"/>
      <c r="AN76" s="27"/>
      <c r="AO76" s="27"/>
      <c r="AP76" s="27"/>
      <c r="AQ76" s="29" t="str">
        <f>IF(AND(AD76&lt;&gt;"",AF76="",AG76=""),DATE(YEAR(AD76)+Menu!$E$10,MONTH(AD76)+Menu!$E$11,1),"")</f>
        <v/>
      </c>
      <c r="AR76" s="29" t="str">
        <f t="shared" si="9"/>
        <v/>
      </c>
      <c r="AS76" s="27" t="str">
        <f>IF(AND(AR76&lt;&gt;"",AH76="",AG76=""),DATE(YEAR(AR76)+Menu!$E$13,MONTH(AR76)+Menu!$E$14,1),"")</f>
        <v/>
      </c>
      <c r="AT76" s="27"/>
      <c r="AU76" s="16" t="s">
        <v>129</v>
      </c>
      <c r="AV76" s="16" t="s">
        <v>129</v>
      </c>
      <c r="AW76" s="16" t="s">
        <v>129</v>
      </c>
      <c r="AX76" s="16" t="s">
        <v>129</v>
      </c>
      <c r="AY76" s="16" t="s">
        <v>129</v>
      </c>
      <c r="AZ76" s="16" t="s">
        <v>129</v>
      </c>
      <c r="BA76" s="16" t="s">
        <v>129</v>
      </c>
      <c r="BB76" s="16" t="s">
        <v>129</v>
      </c>
      <c r="BC76" s="16" t="s">
        <v>129</v>
      </c>
      <c r="BD76" s="16" t="s">
        <v>129</v>
      </c>
      <c r="BE76" s="16" t="s">
        <v>129</v>
      </c>
      <c r="BF76" s="16" t="s">
        <v>129</v>
      </c>
      <c r="BG76" s="16" t="s">
        <v>129</v>
      </c>
      <c r="BH76" s="16" t="s">
        <v>129</v>
      </c>
      <c r="BI76" s="16" t="s">
        <v>129</v>
      </c>
      <c r="BJ76" s="15" t="s">
        <v>129</v>
      </c>
      <c r="BK76" s="15" t="s">
        <v>129</v>
      </c>
      <c r="BL76" s="131" t="s">
        <v>129</v>
      </c>
      <c r="BM76" t="s">
        <v>129</v>
      </c>
      <c r="BN76" t="s">
        <v>129</v>
      </c>
      <c r="BO76" t="s">
        <v>129</v>
      </c>
      <c r="BP76" t="s">
        <v>129</v>
      </c>
      <c r="BQ76" t="s">
        <v>129</v>
      </c>
      <c r="BR76" t="s">
        <v>129</v>
      </c>
      <c r="BS76" t="s">
        <v>129</v>
      </c>
      <c r="BT76" t="s">
        <v>138</v>
      </c>
      <c r="BU76" t="s">
        <v>138</v>
      </c>
      <c r="BV76" t="s">
        <v>138</v>
      </c>
      <c r="BW76" t="s">
        <v>138</v>
      </c>
      <c r="BX76" t="s">
        <v>138</v>
      </c>
      <c r="BY76" s="56">
        <v>270272</v>
      </c>
      <c r="BZ76" s="56">
        <v>270272</v>
      </c>
      <c r="CA76" s="56">
        <v>270272</v>
      </c>
      <c r="CB76" s="56">
        <v>270272</v>
      </c>
      <c r="CC76" s="56">
        <v>270272</v>
      </c>
      <c r="CD76" s="56">
        <v>270272</v>
      </c>
      <c r="CE76" s="56">
        <v>270272</v>
      </c>
      <c r="CF76" s="56">
        <v>22522.666666666668</v>
      </c>
      <c r="CG76" s="56">
        <v>0</v>
      </c>
      <c r="CH76" s="56">
        <v>0</v>
      </c>
      <c r="CI76" s="56">
        <v>0</v>
      </c>
      <c r="CJ76" s="56">
        <v>0</v>
      </c>
      <c r="CK76" s="56">
        <v>0</v>
      </c>
    </row>
    <row r="77" spans="1:89" ht="13" x14ac:dyDescent="0.3">
      <c r="A77" s="135" t="s">
        <v>42</v>
      </c>
      <c r="B77" s="48">
        <v>112500</v>
      </c>
      <c r="C77" s="47" t="s">
        <v>197</v>
      </c>
      <c r="D77" s="49">
        <v>18331</v>
      </c>
      <c r="E77" s="49">
        <v>42094</v>
      </c>
      <c r="F77" s="47" t="s">
        <v>173</v>
      </c>
      <c r="G77" s="47"/>
      <c r="H77" s="47"/>
      <c r="I77" s="40">
        <v>346</v>
      </c>
      <c r="J77" s="41">
        <v>0</v>
      </c>
      <c r="K77" s="41">
        <v>1</v>
      </c>
      <c r="L77" s="41">
        <v>0</v>
      </c>
      <c r="M77" s="41">
        <v>0</v>
      </c>
      <c r="N77" s="41">
        <v>0</v>
      </c>
      <c r="O77" s="138">
        <v>0</v>
      </c>
      <c r="P77" s="147">
        <v>0</v>
      </c>
      <c r="Q77" s="139">
        <v>0</v>
      </c>
      <c r="R77" s="139">
        <v>0</v>
      </c>
      <c r="S77" s="139">
        <v>0</v>
      </c>
      <c r="T77" s="140"/>
      <c r="U77" s="139">
        <v>0</v>
      </c>
      <c r="V77" s="141"/>
      <c r="W77" s="141">
        <v>0</v>
      </c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31"/>
      <c r="AI77" s="46">
        <f t="shared" si="8"/>
        <v>2015</v>
      </c>
      <c r="AJ77" s="27"/>
      <c r="AK77" s="27"/>
      <c r="AL77" s="27"/>
      <c r="AM77" s="27"/>
      <c r="AN77" s="27"/>
      <c r="AO77" s="27"/>
      <c r="AP77" s="27"/>
      <c r="AQ77" s="29" t="str">
        <f>IF(AND(AD77&lt;&gt;"",AF77="",AG77=""),DATE(YEAR(AD77)+Menu!$E$10,MONTH(AD77)+Menu!$E$11,1),"")</f>
        <v/>
      </c>
      <c r="AR77" s="29" t="str">
        <f t="shared" si="9"/>
        <v/>
      </c>
      <c r="AS77" s="27" t="str">
        <f>IF(AND(AR77&lt;&gt;"",AH77="",AG77=""),DATE(YEAR(AR77)+Menu!$E$13,MONTH(AR77)+Menu!$E$14,1),"")</f>
        <v/>
      </c>
      <c r="AT77" s="27"/>
      <c r="AU77" s="16" t="s">
        <v>135</v>
      </c>
      <c r="AV77" s="16" t="s">
        <v>135</v>
      </c>
      <c r="AW77" s="16" t="s">
        <v>135</v>
      </c>
      <c r="AX77" s="16" t="s">
        <v>135</v>
      </c>
      <c r="AY77" s="16" t="s">
        <v>135</v>
      </c>
      <c r="AZ77" s="16" t="s">
        <v>135</v>
      </c>
      <c r="BA77" s="16" t="s">
        <v>135</v>
      </c>
      <c r="BB77" s="16" t="s">
        <v>135</v>
      </c>
      <c r="BC77" s="16" t="s">
        <v>135</v>
      </c>
      <c r="BD77" s="16" t="s">
        <v>135</v>
      </c>
      <c r="BE77" s="16" t="s">
        <v>135</v>
      </c>
      <c r="BF77" s="16" t="s">
        <v>135</v>
      </c>
      <c r="BG77" s="16" t="s">
        <v>135</v>
      </c>
      <c r="BH77" s="16" t="s">
        <v>136</v>
      </c>
      <c r="BI77" s="16" t="s">
        <v>136</v>
      </c>
      <c r="BJ77" s="15" t="s">
        <v>136</v>
      </c>
      <c r="BK77" s="15" t="s">
        <v>136</v>
      </c>
      <c r="BL77" s="131"/>
      <c r="BY77" s="56">
        <v>0</v>
      </c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</row>
    <row r="78" spans="1:89" ht="13" x14ac:dyDescent="0.3">
      <c r="A78" s="135" t="s">
        <v>43</v>
      </c>
      <c r="B78" s="48">
        <v>105264</v>
      </c>
      <c r="C78" s="47" t="s">
        <v>197</v>
      </c>
      <c r="D78" s="49">
        <v>18527</v>
      </c>
      <c r="E78" s="49">
        <v>42277</v>
      </c>
      <c r="F78" s="47" t="s">
        <v>173</v>
      </c>
      <c r="G78" s="47"/>
      <c r="H78" s="47"/>
      <c r="I78" s="40">
        <v>349</v>
      </c>
      <c r="J78" s="41">
        <v>0</v>
      </c>
      <c r="K78" s="41">
        <v>1</v>
      </c>
      <c r="L78" s="41">
        <v>0</v>
      </c>
      <c r="M78" s="41">
        <v>0</v>
      </c>
      <c r="N78" s="41">
        <v>0</v>
      </c>
      <c r="O78" s="138">
        <v>0</v>
      </c>
      <c r="P78" s="147">
        <v>0</v>
      </c>
      <c r="Q78" s="139">
        <v>0</v>
      </c>
      <c r="R78" s="139">
        <v>0</v>
      </c>
      <c r="S78" s="139">
        <v>0</v>
      </c>
      <c r="T78" s="140"/>
      <c r="U78" s="139">
        <v>0</v>
      </c>
      <c r="V78" s="141"/>
      <c r="W78" s="141">
        <v>0</v>
      </c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31"/>
      <c r="AI78" s="46">
        <f t="shared" si="8"/>
        <v>2015</v>
      </c>
      <c r="AJ78" s="27"/>
      <c r="AK78" s="27"/>
      <c r="AL78" s="27"/>
      <c r="AM78" s="27"/>
      <c r="AN78" s="27"/>
      <c r="AO78" s="27"/>
      <c r="AP78" s="27"/>
      <c r="AQ78" s="29" t="str">
        <f>IF(AND(AD78&lt;&gt;"",AF78="",AG78=""),DATE(YEAR(AD78)+Menu!$E$10,MONTH(AD78)+Menu!$E$11,1),"")</f>
        <v/>
      </c>
      <c r="AR78" s="29" t="str">
        <f t="shared" si="9"/>
        <v/>
      </c>
      <c r="AS78" s="27" t="str">
        <f>IF(AND(AR78&lt;&gt;"",AH78="",AG78=""),DATE(YEAR(AR78)+Menu!$E$13,MONTH(AR78)+Menu!$E$14,1),"")</f>
        <v/>
      </c>
      <c r="AT78" s="27"/>
      <c r="AU78" s="16" t="s">
        <v>135</v>
      </c>
      <c r="AV78" s="16" t="s">
        <v>135</v>
      </c>
      <c r="AW78" s="16" t="s">
        <v>135</v>
      </c>
      <c r="AX78" s="16" t="s">
        <v>135</v>
      </c>
      <c r="AY78" s="16" t="s">
        <v>135</v>
      </c>
      <c r="AZ78" s="16" t="s">
        <v>135</v>
      </c>
      <c r="BA78" s="16" t="s">
        <v>135</v>
      </c>
      <c r="BB78" s="16" t="s">
        <v>135</v>
      </c>
      <c r="BC78" s="16" t="s">
        <v>135</v>
      </c>
      <c r="BD78" s="16" t="s">
        <v>135</v>
      </c>
      <c r="BE78" s="16" t="s">
        <v>135</v>
      </c>
      <c r="BF78" s="16" t="s">
        <v>135</v>
      </c>
      <c r="BG78" s="16" t="s">
        <v>135</v>
      </c>
      <c r="BH78" s="16" t="s">
        <v>136</v>
      </c>
      <c r="BI78" s="16" t="s">
        <v>136</v>
      </c>
      <c r="BJ78" s="15" t="s">
        <v>136</v>
      </c>
      <c r="BK78" s="15" t="s">
        <v>136</v>
      </c>
      <c r="BL78" s="131"/>
      <c r="BY78" s="56">
        <v>0</v>
      </c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</row>
    <row r="79" spans="1:89" ht="13" x14ac:dyDescent="0.3">
      <c r="A79" s="180" t="s">
        <v>44</v>
      </c>
      <c r="B79" s="48">
        <v>105270</v>
      </c>
      <c r="C79" s="47" t="s">
        <v>197</v>
      </c>
      <c r="D79" s="49">
        <v>19806</v>
      </c>
      <c r="E79" s="49">
        <v>43646</v>
      </c>
      <c r="F79" s="47" t="s">
        <v>173</v>
      </c>
      <c r="G79" s="47"/>
      <c r="H79" s="47"/>
      <c r="I79" s="41">
        <v>343</v>
      </c>
      <c r="J79" s="41">
        <v>0</v>
      </c>
      <c r="K79" s="41">
        <v>1</v>
      </c>
      <c r="L79" s="41">
        <v>0</v>
      </c>
      <c r="M79" s="41">
        <v>0</v>
      </c>
      <c r="N79" s="41">
        <v>0</v>
      </c>
      <c r="O79" s="138">
        <v>2</v>
      </c>
      <c r="P79" s="147">
        <v>0</v>
      </c>
      <c r="Q79" s="139">
        <v>1</v>
      </c>
      <c r="R79" s="139">
        <v>0</v>
      </c>
      <c r="S79" s="139">
        <v>0</v>
      </c>
      <c r="T79" s="140"/>
      <c r="U79" s="139">
        <v>0</v>
      </c>
      <c r="V79" s="141"/>
      <c r="W79" s="141">
        <v>1</v>
      </c>
      <c r="X79" s="24"/>
      <c r="Y79" s="24"/>
      <c r="Z79" s="24"/>
      <c r="AA79" s="24"/>
      <c r="AB79" s="24">
        <v>38860</v>
      </c>
      <c r="AC79" s="24"/>
      <c r="AD79" s="24"/>
      <c r="AE79" s="24"/>
      <c r="AF79" s="24"/>
      <c r="AG79" s="24"/>
      <c r="AH79" s="31"/>
      <c r="AI79" s="46" t="str">
        <f t="shared" si="8"/>
        <v/>
      </c>
      <c r="AJ79" s="27"/>
      <c r="AK79" s="27"/>
      <c r="AL79" s="27"/>
      <c r="AM79" s="27"/>
      <c r="AN79" s="27"/>
      <c r="AO79" s="27"/>
      <c r="AP79" s="27"/>
      <c r="AQ79" s="29" t="str">
        <f>IF(AND(AD79&lt;&gt;"",AF79="",AG79=""),DATE(YEAR(AD79)+Menu!$E$10,MONTH(AD79)+Menu!$E$11,1),"")</f>
        <v/>
      </c>
      <c r="AR79" s="29" t="str">
        <f t="shared" si="9"/>
        <v/>
      </c>
      <c r="AS79" s="27" t="str">
        <f>IF(AND(AR79&lt;&gt;"",AH79="",AG79=""),DATE(YEAR(AR79)+Menu!$E$13,MONTH(AR79)+Menu!$E$14,1),"")</f>
        <v/>
      </c>
      <c r="AT79" s="27">
        <v>43861</v>
      </c>
      <c r="AU79" s="16" t="s">
        <v>138</v>
      </c>
      <c r="AV79" s="16" t="s">
        <v>138</v>
      </c>
      <c r="AW79" s="16" t="s">
        <v>138</v>
      </c>
      <c r="AX79" s="16" t="s">
        <v>138</v>
      </c>
      <c r="AY79" s="16" t="s">
        <v>131</v>
      </c>
      <c r="AZ79" s="16" t="s">
        <v>131</v>
      </c>
      <c r="BA79" s="16" t="s">
        <v>131</v>
      </c>
      <c r="BB79" s="16" t="s">
        <v>131</v>
      </c>
      <c r="BC79" s="16" t="s">
        <v>131</v>
      </c>
      <c r="BD79" s="16" t="s">
        <v>131</v>
      </c>
      <c r="BE79" s="16" t="s">
        <v>131</v>
      </c>
      <c r="BF79" s="15" t="s">
        <v>131</v>
      </c>
      <c r="BG79" s="15" t="s">
        <v>131</v>
      </c>
      <c r="BH79" s="15" t="s">
        <v>131</v>
      </c>
      <c r="BI79" s="15" t="s">
        <v>131</v>
      </c>
      <c r="BJ79" s="15" t="s">
        <v>131</v>
      </c>
      <c r="BK79" s="15" t="s">
        <v>131</v>
      </c>
      <c r="BL79" s="131" t="s">
        <v>138</v>
      </c>
      <c r="BM79" t="s">
        <v>138</v>
      </c>
      <c r="BN79" t="s">
        <v>138</v>
      </c>
      <c r="BO79" t="s">
        <v>138</v>
      </c>
      <c r="BP79" t="s">
        <v>138</v>
      </c>
      <c r="BQ79" t="s">
        <v>138</v>
      </c>
      <c r="BR79" t="s">
        <v>138</v>
      </c>
      <c r="BS79" t="s">
        <v>138</v>
      </c>
      <c r="BT79" t="s">
        <v>138</v>
      </c>
      <c r="BU79" t="s">
        <v>138</v>
      </c>
      <c r="BV79" t="s">
        <v>138</v>
      </c>
      <c r="BW79" t="s">
        <v>138</v>
      </c>
      <c r="BX79" t="s">
        <v>138</v>
      </c>
      <c r="BY79" s="56">
        <v>0</v>
      </c>
      <c r="BZ79" s="56">
        <v>0</v>
      </c>
      <c r="CA79" s="56">
        <v>0</v>
      </c>
      <c r="CB79" s="56">
        <v>0</v>
      </c>
      <c r="CC79" s="56">
        <v>0</v>
      </c>
      <c r="CD79" s="56">
        <v>0</v>
      </c>
      <c r="CE79" s="56">
        <v>0</v>
      </c>
      <c r="CF79" s="56">
        <v>0</v>
      </c>
      <c r="CG79" s="56">
        <v>0</v>
      </c>
      <c r="CH79" s="56">
        <v>0</v>
      </c>
      <c r="CI79" s="56">
        <v>0</v>
      </c>
      <c r="CJ79" s="56">
        <v>0</v>
      </c>
      <c r="CK79" s="56">
        <v>0</v>
      </c>
    </row>
    <row r="80" spans="1:89" ht="13" x14ac:dyDescent="0.3">
      <c r="A80" s="135" t="s">
        <v>45</v>
      </c>
      <c r="B80" s="48">
        <v>161577</v>
      </c>
      <c r="C80" s="47" t="s">
        <v>200</v>
      </c>
      <c r="D80" s="14">
        <v>24473</v>
      </c>
      <c r="E80" s="49">
        <v>48244</v>
      </c>
      <c r="F80" s="47" t="s">
        <v>173</v>
      </c>
      <c r="G80" s="47"/>
      <c r="H80" s="47"/>
      <c r="I80" s="45">
        <v>564</v>
      </c>
      <c r="J80" s="41">
        <v>0</v>
      </c>
      <c r="K80" s="41">
        <v>0</v>
      </c>
      <c r="L80" s="41">
        <v>0</v>
      </c>
      <c r="M80" s="41">
        <v>1</v>
      </c>
      <c r="N80" s="41">
        <v>0</v>
      </c>
      <c r="O80" s="138">
        <v>0</v>
      </c>
      <c r="P80" s="147">
        <v>0</v>
      </c>
      <c r="Q80" s="139">
        <v>0</v>
      </c>
      <c r="R80" s="139">
        <v>0</v>
      </c>
      <c r="S80" s="139">
        <v>0</v>
      </c>
      <c r="T80" s="140"/>
      <c r="U80" s="139">
        <v>0</v>
      </c>
      <c r="V80" s="141"/>
      <c r="W80" s="141">
        <v>0</v>
      </c>
      <c r="X80" s="24"/>
      <c r="Y80" s="24"/>
      <c r="Z80" s="24"/>
      <c r="AA80" s="24"/>
      <c r="AB80" s="24"/>
      <c r="AC80" s="24"/>
      <c r="AD80" s="24"/>
      <c r="AE80" s="24"/>
      <c r="AF80" s="24"/>
      <c r="AG80" s="24">
        <v>40179</v>
      </c>
      <c r="AH80" s="31"/>
      <c r="AI80" s="46" t="str">
        <f t="shared" si="8"/>
        <v/>
      </c>
      <c r="AJ80" s="27"/>
      <c r="AK80" s="27"/>
      <c r="AL80" s="27"/>
      <c r="AM80" s="27"/>
      <c r="AN80" s="27"/>
      <c r="AO80" s="27"/>
      <c r="AP80" s="27"/>
      <c r="AQ80" s="29" t="str">
        <f>IF(AND(AD80&lt;&gt;"",AF80="",AG80=""),DATE(YEAR(AD80)+Menu!$E$10,MONTH(AD80)+Menu!$E$11,1),"")</f>
        <v/>
      </c>
      <c r="AR80" s="29" t="str">
        <f t="shared" si="9"/>
        <v/>
      </c>
      <c r="AS80" s="27" t="str">
        <f>IF(AND(AR80&lt;&gt;"",AH80="",AG80=""),DATE(YEAR(AR80)+Menu!$E$13,MONTH(AR80)+Menu!$E$14,1),"")</f>
        <v/>
      </c>
      <c r="AT80" s="27"/>
      <c r="AU80" s="15" t="s">
        <v>138</v>
      </c>
      <c r="AV80" s="15" t="s">
        <v>138</v>
      </c>
      <c r="AW80" s="16" t="s">
        <v>138</v>
      </c>
      <c r="AX80" s="16" t="s">
        <v>138</v>
      </c>
      <c r="AY80" s="16" t="s">
        <v>138</v>
      </c>
      <c r="AZ80" s="16" t="s">
        <v>138</v>
      </c>
      <c r="BA80" s="16" t="s">
        <v>138</v>
      </c>
      <c r="BB80" s="16" t="s">
        <v>138</v>
      </c>
      <c r="BC80" s="16" t="s">
        <v>135</v>
      </c>
      <c r="BD80" s="16" t="s">
        <v>135</v>
      </c>
      <c r="BE80" s="16" t="s">
        <v>135</v>
      </c>
      <c r="BF80" s="16" t="s">
        <v>135</v>
      </c>
      <c r="BG80" s="16" t="s">
        <v>135</v>
      </c>
      <c r="BH80" s="16" t="s">
        <v>135</v>
      </c>
      <c r="BI80" s="16" t="s">
        <v>135</v>
      </c>
      <c r="BJ80" s="15" t="s">
        <v>135</v>
      </c>
      <c r="BK80" s="15" t="s">
        <v>135</v>
      </c>
      <c r="BL80" s="131" t="s">
        <v>135</v>
      </c>
      <c r="BM80" t="s">
        <v>135</v>
      </c>
      <c r="BN80" t="s">
        <v>135</v>
      </c>
      <c r="BO80" t="s">
        <v>135</v>
      </c>
      <c r="BP80" t="s">
        <v>135</v>
      </c>
      <c r="BQ80" t="s">
        <v>135</v>
      </c>
      <c r="BR80" t="s">
        <v>135</v>
      </c>
      <c r="BS80" t="s">
        <v>135</v>
      </c>
      <c r="BT80" t="s">
        <v>135</v>
      </c>
      <c r="BU80" t="s">
        <v>135</v>
      </c>
      <c r="BV80" t="s">
        <v>135</v>
      </c>
      <c r="BW80" t="s">
        <v>135</v>
      </c>
      <c r="BX80" t="s">
        <v>135</v>
      </c>
      <c r="BY80" s="56">
        <v>0</v>
      </c>
      <c r="BZ80" s="56">
        <v>0</v>
      </c>
      <c r="CA80" s="56">
        <v>0</v>
      </c>
      <c r="CB80" s="56">
        <v>0</v>
      </c>
      <c r="CC80" s="56">
        <v>0</v>
      </c>
      <c r="CD80" s="56">
        <v>0</v>
      </c>
      <c r="CE80" s="56">
        <v>0</v>
      </c>
      <c r="CF80" s="56">
        <v>0</v>
      </c>
      <c r="CG80" s="56">
        <v>0</v>
      </c>
      <c r="CH80" s="56">
        <v>0</v>
      </c>
      <c r="CI80" s="56">
        <v>0</v>
      </c>
      <c r="CJ80" s="56">
        <v>0</v>
      </c>
      <c r="CK80" s="56">
        <v>0</v>
      </c>
    </row>
    <row r="81" spans="1:89" ht="13" x14ac:dyDescent="0.3">
      <c r="A81" s="135" t="s">
        <v>217</v>
      </c>
      <c r="B81" s="148">
        <v>212341</v>
      </c>
      <c r="C81" s="47" t="s">
        <v>200</v>
      </c>
      <c r="D81" s="49">
        <v>24164</v>
      </c>
      <c r="E81" s="49">
        <v>47907</v>
      </c>
      <c r="F81" s="47" t="s">
        <v>173</v>
      </c>
      <c r="G81" s="47">
        <v>2015</v>
      </c>
      <c r="H81" s="47" t="s">
        <v>134</v>
      </c>
      <c r="I81" s="41">
        <v>1057</v>
      </c>
      <c r="J81" s="41">
        <v>0</v>
      </c>
      <c r="K81" s="41">
        <v>0</v>
      </c>
      <c r="L81" s="41">
        <v>1</v>
      </c>
      <c r="M81" s="41">
        <v>1</v>
      </c>
      <c r="N81" s="41">
        <v>0</v>
      </c>
      <c r="O81" s="138">
        <v>0</v>
      </c>
      <c r="P81" s="147">
        <v>747142</v>
      </c>
      <c r="Q81" s="139">
        <v>1</v>
      </c>
      <c r="R81" s="139">
        <v>1</v>
      </c>
      <c r="S81" s="139">
        <v>0</v>
      </c>
      <c r="T81" s="140"/>
      <c r="U81" s="139">
        <v>0</v>
      </c>
      <c r="V81" s="141"/>
      <c r="W81" s="141">
        <v>1</v>
      </c>
      <c r="X81" s="24"/>
      <c r="Y81" s="24"/>
      <c r="Z81" s="24"/>
      <c r="AA81" s="24"/>
      <c r="AB81" s="24"/>
      <c r="AC81" s="24"/>
      <c r="AD81" s="24"/>
      <c r="AE81" s="24"/>
      <c r="AF81" s="24">
        <v>42095</v>
      </c>
      <c r="AG81" s="24"/>
      <c r="AH81" s="31"/>
      <c r="AI81" s="46" t="str">
        <f t="shared" si="8"/>
        <v/>
      </c>
      <c r="AJ81" s="27"/>
      <c r="AK81" s="27"/>
      <c r="AL81" s="27"/>
      <c r="AM81" s="27"/>
      <c r="AN81" s="27"/>
      <c r="AO81" s="27"/>
      <c r="AP81" s="27"/>
      <c r="AQ81" s="29" t="str">
        <f>IF(AND(AD81&lt;&gt;"",AF81="",AG81=""),DATE(YEAR(AD81)+Menu!$E$10,MONTH(AD81)+Menu!$E$11,1),"")</f>
        <v/>
      </c>
      <c r="AR81" s="29">
        <f t="shared" si="9"/>
        <v>42095</v>
      </c>
      <c r="AS81" s="27">
        <f>IF(AND(AR81&lt;&gt;"",AH81="",AG81=""),DATE(YEAR(AR81)+Menu!$E$13,MONTH(AR81)+Menu!$E$14,1),"")</f>
        <v>44562</v>
      </c>
      <c r="AT81" s="27"/>
      <c r="AU81" s="15" t="s">
        <v>138</v>
      </c>
      <c r="AV81" s="15" t="s">
        <v>138</v>
      </c>
      <c r="AW81" s="15" t="s">
        <v>138</v>
      </c>
      <c r="AX81" s="15" t="s">
        <v>138</v>
      </c>
      <c r="AY81" s="15" t="s">
        <v>138</v>
      </c>
      <c r="AZ81" s="15" t="s">
        <v>138</v>
      </c>
      <c r="BA81" s="15" t="s">
        <v>138</v>
      </c>
      <c r="BB81" s="15" t="s">
        <v>138</v>
      </c>
      <c r="BC81" s="15" t="s">
        <v>138</v>
      </c>
      <c r="BD81" s="15" t="s">
        <v>138</v>
      </c>
      <c r="BE81" s="15" t="s">
        <v>138</v>
      </c>
      <c r="BF81" s="15" t="s">
        <v>138</v>
      </c>
      <c r="BG81" s="15" t="s">
        <v>138</v>
      </c>
      <c r="BH81" s="15" t="s">
        <v>134</v>
      </c>
      <c r="BI81" s="15" t="s">
        <v>134</v>
      </c>
      <c r="BJ81" s="15" t="s">
        <v>134</v>
      </c>
      <c r="BK81" s="15" t="s">
        <v>134</v>
      </c>
      <c r="BL81" s="131" t="s">
        <v>134</v>
      </c>
      <c r="BM81" t="s">
        <v>134</v>
      </c>
      <c r="BN81" t="s">
        <v>134</v>
      </c>
      <c r="BO81" t="s">
        <v>135</v>
      </c>
      <c r="BP81" t="s">
        <v>135</v>
      </c>
      <c r="BQ81" t="s">
        <v>135</v>
      </c>
      <c r="BR81" t="s">
        <v>135</v>
      </c>
      <c r="BS81" t="s">
        <v>135</v>
      </c>
      <c r="BT81" t="s">
        <v>135</v>
      </c>
      <c r="BU81" t="s">
        <v>135</v>
      </c>
      <c r="BV81" t="s">
        <v>135</v>
      </c>
      <c r="BW81" t="s">
        <v>135</v>
      </c>
      <c r="BX81" t="s">
        <v>138</v>
      </c>
      <c r="BY81" s="56">
        <v>747142</v>
      </c>
      <c r="BZ81" s="56">
        <v>721188</v>
      </c>
      <c r="CA81" s="56">
        <v>721188</v>
      </c>
      <c r="CB81" s="56">
        <v>777025.5</v>
      </c>
      <c r="CC81" s="56">
        <v>832863</v>
      </c>
      <c r="CD81" s="56">
        <v>888700.5</v>
      </c>
      <c r="CE81" s="56">
        <v>944538</v>
      </c>
      <c r="CF81" s="56">
        <v>1000375</v>
      </c>
      <c r="CG81" s="56">
        <v>1000375</v>
      </c>
      <c r="CH81" s="56">
        <v>1000375</v>
      </c>
      <c r="CI81" s="56">
        <v>1000375</v>
      </c>
      <c r="CJ81" s="56">
        <v>1000375</v>
      </c>
      <c r="CK81" s="56">
        <v>166729.16666666666</v>
      </c>
    </row>
    <row r="82" spans="1:89" ht="13" x14ac:dyDescent="0.3">
      <c r="A82" s="135" t="s">
        <v>46</v>
      </c>
      <c r="B82" s="48">
        <v>190693</v>
      </c>
      <c r="C82" s="47" t="s">
        <v>201</v>
      </c>
      <c r="D82" s="49">
        <v>28277</v>
      </c>
      <c r="E82" s="49">
        <v>51682</v>
      </c>
      <c r="F82" s="47" t="s">
        <v>172</v>
      </c>
      <c r="G82" s="47">
        <v>2009</v>
      </c>
      <c r="H82" s="47" t="s">
        <v>133</v>
      </c>
      <c r="I82" s="41">
        <v>886</v>
      </c>
      <c r="J82" s="41">
        <v>1</v>
      </c>
      <c r="K82" s="41">
        <v>0</v>
      </c>
      <c r="L82" s="41">
        <v>0</v>
      </c>
      <c r="M82" s="41">
        <v>0</v>
      </c>
      <c r="N82" s="41">
        <v>1</v>
      </c>
      <c r="O82" s="138">
        <v>0</v>
      </c>
      <c r="P82" s="147">
        <v>694691</v>
      </c>
      <c r="Q82" s="139">
        <v>1</v>
      </c>
      <c r="R82" s="139">
        <v>0</v>
      </c>
      <c r="S82" s="139">
        <v>0</v>
      </c>
      <c r="T82" s="140"/>
      <c r="U82" s="139">
        <v>0</v>
      </c>
      <c r="V82" s="141"/>
      <c r="W82" s="141">
        <v>1</v>
      </c>
      <c r="X82" s="24"/>
      <c r="Y82" s="24"/>
      <c r="Z82" s="24"/>
      <c r="AA82" s="24"/>
      <c r="AB82" s="24"/>
      <c r="AC82" s="24"/>
      <c r="AD82" s="24">
        <v>39845</v>
      </c>
      <c r="AE82" s="24"/>
      <c r="AF82" s="24">
        <v>43191</v>
      </c>
      <c r="AG82" s="24"/>
      <c r="AH82" s="31"/>
      <c r="AI82" s="46" t="str">
        <f t="shared" si="8"/>
        <v/>
      </c>
      <c r="AJ82" s="27"/>
      <c r="AK82" s="27"/>
      <c r="AL82" s="27"/>
      <c r="AM82" s="27"/>
      <c r="AN82" s="27"/>
      <c r="AO82" s="27"/>
      <c r="AP82" s="27"/>
      <c r="AQ82" s="29" t="str">
        <f>IF(AND(AD82&lt;&gt;"",AF82="",AG82=""),DATE(YEAR(AD82)+Menu!$E$10,MONTH(AD82)+Menu!$E$11,1),"")</f>
        <v/>
      </c>
      <c r="AR82" s="29">
        <f t="shared" si="9"/>
        <v>43191</v>
      </c>
      <c r="AS82" s="27">
        <f>IF(AND(AR82&lt;&gt;"",AH82="",AG82=""),DATE(YEAR(AR82)+Menu!$E$13,MONTH(AR82)+Menu!$E$14,1),"")</f>
        <v>45658</v>
      </c>
      <c r="AT82" s="27"/>
      <c r="AU82" s="15" t="s">
        <v>138</v>
      </c>
      <c r="AV82" s="15" t="s">
        <v>138</v>
      </c>
      <c r="AW82" s="16" t="s">
        <v>138</v>
      </c>
      <c r="AX82" s="15" t="s">
        <v>138</v>
      </c>
      <c r="AY82" s="15" t="s">
        <v>138</v>
      </c>
      <c r="AZ82" s="15" t="s">
        <v>138</v>
      </c>
      <c r="BA82" s="15" t="s">
        <v>138</v>
      </c>
      <c r="BB82" s="16" t="s">
        <v>133</v>
      </c>
      <c r="BC82" s="16" t="s">
        <v>133</v>
      </c>
      <c r="BD82" s="16" t="s">
        <v>133</v>
      </c>
      <c r="BE82" s="16" t="s">
        <v>133</v>
      </c>
      <c r="BF82" s="16" t="s">
        <v>133</v>
      </c>
      <c r="BG82" s="16" t="s">
        <v>133</v>
      </c>
      <c r="BH82" s="16" t="s">
        <v>133</v>
      </c>
      <c r="BI82" s="16" t="s">
        <v>133</v>
      </c>
      <c r="BJ82" s="15" t="s">
        <v>133</v>
      </c>
      <c r="BK82" s="15" t="s">
        <v>134</v>
      </c>
      <c r="BL82" s="131" t="s">
        <v>134</v>
      </c>
      <c r="BM82" t="s">
        <v>134</v>
      </c>
      <c r="BN82" t="s">
        <v>134</v>
      </c>
      <c r="BO82" t="s">
        <v>134</v>
      </c>
      <c r="BP82" t="s">
        <v>134</v>
      </c>
      <c r="BQ82" t="s">
        <v>134</v>
      </c>
      <c r="BR82" t="s">
        <v>135</v>
      </c>
      <c r="BS82" t="s">
        <v>135</v>
      </c>
      <c r="BT82" t="s">
        <v>135</v>
      </c>
      <c r="BU82" t="s">
        <v>135</v>
      </c>
      <c r="BV82" t="s">
        <v>135</v>
      </c>
      <c r="BW82" t="s">
        <v>135</v>
      </c>
      <c r="BX82" t="s">
        <v>135</v>
      </c>
      <c r="BY82" s="56">
        <v>694691</v>
      </c>
      <c r="BZ82" s="56">
        <v>721188</v>
      </c>
      <c r="CA82" s="56">
        <v>721188</v>
      </c>
      <c r="CB82" s="56">
        <v>721188</v>
      </c>
      <c r="CC82" s="56">
        <v>721188</v>
      </c>
      <c r="CD82" s="56">
        <v>721188</v>
      </c>
      <c r="CE82" s="56">
        <v>777025.5</v>
      </c>
      <c r="CF82" s="56">
        <v>832863</v>
      </c>
      <c r="CG82" s="56">
        <v>888700.5</v>
      </c>
      <c r="CH82" s="56">
        <v>944538</v>
      </c>
      <c r="CI82" s="56">
        <v>1000375</v>
      </c>
      <c r="CJ82" s="56">
        <v>1000375</v>
      </c>
      <c r="CK82" s="56">
        <v>1000375</v>
      </c>
    </row>
    <row r="83" spans="1:89" ht="13" x14ac:dyDescent="0.3">
      <c r="A83" s="135" t="s">
        <v>228</v>
      </c>
      <c r="B83" s="48">
        <v>190209</v>
      </c>
      <c r="C83" s="47" t="s">
        <v>198</v>
      </c>
      <c r="D83" s="49">
        <v>25473</v>
      </c>
      <c r="E83" s="49">
        <v>49217</v>
      </c>
      <c r="F83" s="47" t="s">
        <v>173</v>
      </c>
      <c r="G83" s="47"/>
      <c r="H83" s="47"/>
      <c r="I83" s="41">
        <v>1047</v>
      </c>
      <c r="J83" s="41">
        <v>0</v>
      </c>
      <c r="K83" s="41">
        <v>0</v>
      </c>
      <c r="L83" s="41">
        <v>1</v>
      </c>
      <c r="M83" s="41">
        <v>0</v>
      </c>
      <c r="N83" s="41">
        <v>0</v>
      </c>
      <c r="O83" s="138">
        <v>2</v>
      </c>
      <c r="P83" s="147">
        <v>0</v>
      </c>
      <c r="Q83" s="139">
        <v>1</v>
      </c>
      <c r="R83" s="139">
        <v>0</v>
      </c>
      <c r="S83" s="139">
        <v>0</v>
      </c>
      <c r="T83" s="140"/>
      <c r="U83" s="139">
        <v>0</v>
      </c>
      <c r="V83" s="141"/>
      <c r="W83" s="141">
        <v>1</v>
      </c>
      <c r="X83" s="24"/>
      <c r="Y83" s="24">
        <v>42318</v>
      </c>
      <c r="Z83" s="24"/>
      <c r="AA83" s="24"/>
      <c r="AB83" s="24"/>
      <c r="AC83" s="24"/>
      <c r="AD83" s="24"/>
      <c r="AE83" s="24"/>
      <c r="AF83" s="24"/>
      <c r="AG83" s="24"/>
      <c r="AH83" s="31"/>
      <c r="AI83" s="46" t="str">
        <f t="shared" si="8"/>
        <v/>
      </c>
      <c r="AJ83" s="27"/>
      <c r="AK83" s="27"/>
      <c r="AL83" s="27"/>
      <c r="AM83" s="27"/>
      <c r="AN83" s="27"/>
      <c r="AO83" s="27"/>
      <c r="AP83" s="27"/>
      <c r="AQ83" s="29" t="str">
        <f>IF(AND(AD83&lt;&gt;"",AF83="",AG83=""),DATE(YEAR(AD83)+Menu!$E$10,MONTH(AD83)+Menu!$E$11,1),"")</f>
        <v/>
      </c>
      <c r="AR83" s="29" t="str">
        <f t="shared" si="9"/>
        <v/>
      </c>
      <c r="AS83" s="27" t="str">
        <f>IF(AND(AR83&lt;&gt;"",AH83="",AG83=""),DATE(YEAR(AR83)+Menu!$E$13,MONTH(AR83)+Menu!$E$14,1),"")</f>
        <v/>
      </c>
      <c r="AT83" s="27"/>
      <c r="AU83" s="15" t="s">
        <v>138</v>
      </c>
      <c r="AV83" s="15" t="s">
        <v>138</v>
      </c>
      <c r="AW83" s="15" t="s">
        <v>138</v>
      </c>
      <c r="AX83" s="15" t="s">
        <v>138</v>
      </c>
      <c r="AY83" s="15" t="s">
        <v>138</v>
      </c>
      <c r="AZ83" s="15" t="s">
        <v>138</v>
      </c>
      <c r="BA83" s="15" t="s">
        <v>138</v>
      </c>
      <c r="BB83" s="15" t="s">
        <v>138</v>
      </c>
      <c r="BC83" s="15" t="s">
        <v>138</v>
      </c>
      <c r="BD83" s="15" t="s">
        <v>138</v>
      </c>
      <c r="BE83" s="15" t="s">
        <v>138</v>
      </c>
      <c r="BF83" s="15" t="s">
        <v>138</v>
      </c>
      <c r="BG83" s="15" t="s">
        <v>138</v>
      </c>
      <c r="BH83" s="16" t="s">
        <v>129</v>
      </c>
      <c r="BI83" s="16" t="s">
        <v>129</v>
      </c>
      <c r="BJ83" s="15" t="s">
        <v>129</v>
      </c>
      <c r="BK83" s="15" t="s">
        <v>129</v>
      </c>
      <c r="BL83" s="131" t="s">
        <v>129</v>
      </c>
      <c r="BM83" t="s">
        <v>129</v>
      </c>
      <c r="BN83" t="s">
        <v>129</v>
      </c>
      <c r="BO83" t="s">
        <v>129</v>
      </c>
      <c r="BP83" t="s">
        <v>129</v>
      </c>
      <c r="BQ83" t="s">
        <v>129</v>
      </c>
      <c r="BR83" t="s">
        <v>129</v>
      </c>
      <c r="BS83" t="s">
        <v>129</v>
      </c>
      <c r="BT83" t="s">
        <v>129</v>
      </c>
      <c r="BU83" t="s">
        <v>129</v>
      </c>
      <c r="BV83" t="s">
        <v>129</v>
      </c>
      <c r="BW83" t="s">
        <v>129</v>
      </c>
      <c r="BX83" t="s">
        <v>129</v>
      </c>
      <c r="BY83" s="56">
        <v>0</v>
      </c>
      <c r="BZ83" s="56">
        <v>0</v>
      </c>
      <c r="CA83" s="56">
        <v>0</v>
      </c>
      <c r="CB83" s="56">
        <v>0</v>
      </c>
      <c r="CC83" s="56">
        <v>0</v>
      </c>
      <c r="CD83" s="56">
        <v>0</v>
      </c>
      <c r="CE83" s="56">
        <v>0</v>
      </c>
      <c r="CF83" s="56">
        <v>0</v>
      </c>
      <c r="CG83" s="56">
        <v>0</v>
      </c>
      <c r="CH83" s="56">
        <v>0</v>
      </c>
      <c r="CI83" s="56">
        <v>0</v>
      </c>
      <c r="CJ83" s="56">
        <v>0</v>
      </c>
      <c r="CK83" s="56">
        <v>0</v>
      </c>
    </row>
    <row r="84" spans="1:89" ht="13" x14ac:dyDescent="0.3">
      <c r="A84" s="135" t="s">
        <v>169</v>
      </c>
      <c r="B84" s="48">
        <v>207354</v>
      </c>
      <c r="C84" s="47" t="s">
        <v>197</v>
      </c>
      <c r="D84" s="49">
        <v>30397</v>
      </c>
      <c r="E84" s="49">
        <v>53782</v>
      </c>
      <c r="F84" s="47" t="s">
        <v>172</v>
      </c>
      <c r="G84" s="47">
        <v>2013</v>
      </c>
      <c r="H84" s="47" t="s">
        <v>133</v>
      </c>
      <c r="I84" s="41">
        <v>322</v>
      </c>
      <c r="J84" s="41">
        <v>0</v>
      </c>
      <c r="K84" s="41">
        <v>1</v>
      </c>
      <c r="L84" s="41">
        <v>0</v>
      </c>
      <c r="M84" s="41">
        <v>0</v>
      </c>
      <c r="N84" s="41">
        <v>0</v>
      </c>
      <c r="O84" s="138">
        <v>0</v>
      </c>
      <c r="P84" s="147">
        <v>527248</v>
      </c>
      <c r="Q84" s="139">
        <v>1</v>
      </c>
      <c r="R84" s="139">
        <v>0</v>
      </c>
      <c r="S84" s="139">
        <v>0</v>
      </c>
      <c r="T84" s="140"/>
      <c r="U84" s="139">
        <v>0</v>
      </c>
      <c r="V84" s="141"/>
      <c r="W84" s="141">
        <v>1</v>
      </c>
      <c r="X84" s="24"/>
      <c r="Y84" s="24"/>
      <c r="Z84" s="24"/>
      <c r="AA84" s="24"/>
      <c r="AB84" s="24"/>
      <c r="AC84" s="24"/>
      <c r="AD84" s="24">
        <v>41306</v>
      </c>
      <c r="AE84" s="24"/>
      <c r="AF84" s="24"/>
      <c r="AG84" s="24"/>
      <c r="AH84" s="31"/>
      <c r="AI84" s="46" t="str">
        <f t="shared" si="8"/>
        <v/>
      </c>
      <c r="AJ84" s="27"/>
      <c r="AK84" s="27"/>
      <c r="AL84" s="27"/>
      <c r="AM84" s="27"/>
      <c r="AN84" s="27"/>
      <c r="AO84" s="27"/>
      <c r="AP84" s="27"/>
      <c r="AQ84" s="29">
        <v>43831</v>
      </c>
      <c r="AR84" s="29">
        <f t="shared" si="9"/>
        <v>43831</v>
      </c>
      <c r="AS84" s="27">
        <f>IF(AND(AR84&lt;&gt;"",AH84="",AG84=""),DATE(YEAR(AR84)+Menu!$E$13,MONTH(AR84)+Menu!$E$14,1),"")</f>
        <v>46296</v>
      </c>
      <c r="AT84" s="27"/>
      <c r="AU84" s="15" t="s">
        <v>138</v>
      </c>
      <c r="AV84" s="15" t="s">
        <v>138</v>
      </c>
      <c r="AW84" s="16" t="s">
        <v>138</v>
      </c>
      <c r="AX84" s="16" t="s">
        <v>138</v>
      </c>
      <c r="AY84" s="16" t="s">
        <v>138</v>
      </c>
      <c r="AZ84" s="16" t="s">
        <v>138</v>
      </c>
      <c r="BA84" s="16" t="s">
        <v>138</v>
      </c>
      <c r="BB84" s="16" t="s">
        <v>138</v>
      </c>
      <c r="BC84" s="16" t="s">
        <v>138</v>
      </c>
      <c r="BD84" s="16" t="s">
        <v>138</v>
      </c>
      <c r="BE84" s="16" t="s">
        <v>138</v>
      </c>
      <c r="BF84" s="15" t="s">
        <v>133</v>
      </c>
      <c r="BG84" s="15" t="s">
        <v>133</v>
      </c>
      <c r="BH84" s="15" t="s">
        <v>133</v>
      </c>
      <c r="BI84" s="15" t="s">
        <v>133</v>
      </c>
      <c r="BJ84" s="15" t="s">
        <v>133</v>
      </c>
      <c r="BK84" s="15" t="s">
        <v>133</v>
      </c>
      <c r="BL84" s="131" t="s">
        <v>134</v>
      </c>
      <c r="BM84" t="s">
        <v>134</v>
      </c>
      <c r="BN84" t="s">
        <v>134</v>
      </c>
      <c r="BO84" t="s">
        <v>134</v>
      </c>
      <c r="BP84" t="s">
        <v>134</v>
      </c>
      <c r="BQ84" t="s">
        <v>134</v>
      </c>
      <c r="BR84" t="s">
        <v>134</v>
      </c>
      <c r="BS84" t="s">
        <v>135</v>
      </c>
      <c r="BT84" t="s">
        <v>135</v>
      </c>
      <c r="BU84" t="s">
        <v>135</v>
      </c>
      <c r="BV84" t="s">
        <v>135</v>
      </c>
      <c r="BW84" t="s">
        <v>135</v>
      </c>
      <c r="BX84" t="s">
        <v>135</v>
      </c>
      <c r="BY84" s="56">
        <v>527248</v>
      </c>
      <c r="BZ84" s="56">
        <v>721188</v>
      </c>
      <c r="CA84" s="56">
        <v>721188</v>
      </c>
      <c r="CB84" s="56">
        <v>721188</v>
      </c>
      <c r="CC84" s="56">
        <v>721188</v>
      </c>
      <c r="CD84" s="56">
        <v>721188</v>
      </c>
      <c r="CE84" s="56">
        <v>721188</v>
      </c>
      <c r="CF84" s="56">
        <v>735147.375</v>
      </c>
      <c r="CG84" s="56">
        <v>790984.875</v>
      </c>
      <c r="CH84" s="56">
        <v>846822.375</v>
      </c>
      <c r="CI84" s="56">
        <v>902659.875</v>
      </c>
      <c r="CJ84" s="56">
        <v>958497.375</v>
      </c>
      <c r="CK84" s="56">
        <v>1000375</v>
      </c>
    </row>
    <row r="85" spans="1:89" ht="13" x14ac:dyDescent="0.3">
      <c r="A85" s="135" t="s">
        <v>47</v>
      </c>
      <c r="B85" s="148">
        <v>178548</v>
      </c>
      <c r="C85" s="47" t="s">
        <v>200</v>
      </c>
      <c r="D85" s="49">
        <v>25723</v>
      </c>
      <c r="E85" s="49">
        <v>49125</v>
      </c>
      <c r="F85" s="47" t="s">
        <v>172</v>
      </c>
      <c r="G85" s="47"/>
      <c r="H85" s="47"/>
      <c r="I85" s="45">
        <v>571</v>
      </c>
      <c r="J85" s="41">
        <v>0</v>
      </c>
      <c r="K85" s="41">
        <v>0</v>
      </c>
      <c r="L85" s="41">
        <v>0</v>
      </c>
      <c r="M85" s="41">
        <v>1</v>
      </c>
      <c r="N85" s="41">
        <v>0</v>
      </c>
      <c r="O85" s="138">
        <v>0</v>
      </c>
      <c r="P85" s="147">
        <v>0</v>
      </c>
      <c r="Q85" s="139">
        <v>0</v>
      </c>
      <c r="R85" s="139">
        <v>0</v>
      </c>
      <c r="S85" s="139">
        <v>0</v>
      </c>
      <c r="T85" s="140"/>
      <c r="U85" s="139">
        <v>0</v>
      </c>
      <c r="V85" s="141"/>
      <c r="W85" s="141">
        <v>0</v>
      </c>
      <c r="X85" s="24"/>
      <c r="Y85" s="24"/>
      <c r="Z85" s="24"/>
      <c r="AA85" s="24"/>
      <c r="AB85" s="24"/>
      <c r="AC85" s="24"/>
      <c r="AD85" s="24"/>
      <c r="AE85" s="24"/>
      <c r="AF85" s="24">
        <v>39203</v>
      </c>
      <c r="AG85" s="24"/>
      <c r="AH85" s="31">
        <v>44197</v>
      </c>
      <c r="AI85" s="46" t="str">
        <f t="shared" si="8"/>
        <v/>
      </c>
      <c r="AJ85" s="27"/>
      <c r="AK85" s="27"/>
      <c r="AL85" s="27"/>
      <c r="AM85" s="27"/>
      <c r="AN85" s="27"/>
      <c r="AO85" s="27"/>
      <c r="AP85" s="27"/>
      <c r="AQ85" s="29" t="str">
        <f>IF(AND(AD85&lt;&gt;"",AF85="",AG85=""),DATE(YEAR(AD85)+Menu!$E$10,MONTH(AD85)+Menu!$E$11,1),"")</f>
        <v/>
      </c>
      <c r="AR85" s="29">
        <f t="shared" si="9"/>
        <v>39203</v>
      </c>
      <c r="AS85" s="27" t="str">
        <f>IF(AND(AR85&lt;&gt;"",AH85="",AG85=""),DATE(YEAR(AR85)+Menu!$E$13,MONTH(AR85)+Menu!$E$14,1),"")</f>
        <v/>
      </c>
      <c r="AT85" s="27"/>
      <c r="AU85" s="15" t="s">
        <v>138</v>
      </c>
      <c r="AV85" s="15" t="s">
        <v>138</v>
      </c>
      <c r="AW85" s="16" t="s">
        <v>138</v>
      </c>
      <c r="AX85" s="15" t="s">
        <v>138</v>
      </c>
      <c r="AY85" s="15" t="s">
        <v>138</v>
      </c>
      <c r="AZ85" s="16" t="s">
        <v>134</v>
      </c>
      <c r="BA85" s="16" t="s">
        <v>134</v>
      </c>
      <c r="BB85" s="16" t="s">
        <v>134</v>
      </c>
      <c r="BC85" s="16" t="s">
        <v>134</v>
      </c>
      <c r="BD85" s="16" t="s">
        <v>134</v>
      </c>
      <c r="BE85" s="16" t="s">
        <v>134</v>
      </c>
      <c r="BF85" s="16" t="s">
        <v>134</v>
      </c>
      <c r="BG85" s="16" t="s">
        <v>134</v>
      </c>
      <c r="BH85" s="16" t="s">
        <v>134</v>
      </c>
      <c r="BI85" s="16" t="s">
        <v>134</v>
      </c>
      <c r="BJ85" s="15" t="s">
        <v>134</v>
      </c>
      <c r="BK85" s="15" t="s">
        <v>134</v>
      </c>
      <c r="BL85" s="131" t="s">
        <v>134</v>
      </c>
      <c r="BM85" t="s">
        <v>134</v>
      </c>
      <c r="BN85" t="s">
        <v>135</v>
      </c>
      <c r="BO85" t="s">
        <v>135</v>
      </c>
      <c r="BP85" t="s">
        <v>135</v>
      </c>
      <c r="BQ85" t="s">
        <v>135</v>
      </c>
      <c r="BR85" t="s">
        <v>135</v>
      </c>
      <c r="BS85" t="s">
        <v>135</v>
      </c>
      <c r="BT85" t="s">
        <v>135</v>
      </c>
      <c r="BU85" t="s">
        <v>135</v>
      </c>
      <c r="BV85" t="s">
        <v>135</v>
      </c>
      <c r="BW85" t="s">
        <v>135</v>
      </c>
      <c r="BX85" t="s">
        <v>135</v>
      </c>
      <c r="BY85" s="56">
        <v>0</v>
      </c>
      <c r="BZ85" s="56">
        <v>0</v>
      </c>
      <c r="CA85" s="56">
        <v>0</v>
      </c>
      <c r="CB85" s="56">
        <v>0</v>
      </c>
      <c r="CC85" s="56">
        <v>0</v>
      </c>
      <c r="CD85" s="56">
        <v>0</v>
      </c>
      <c r="CE85" s="56">
        <v>0</v>
      </c>
      <c r="CF85" s="56">
        <v>0</v>
      </c>
      <c r="CG85" s="56">
        <v>0</v>
      </c>
      <c r="CH85" s="56">
        <v>0</v>
      </c>
      <c r="CI85" s="56">
        <v>0</v>
      </c>
      <c r="CJ85" s="56">
        <v>0</v>
      </c>
      <c r="CK85" s="56">
        <v>0</v>
      </c>
    </row>
    <row r="86" spans="1:89" ht="13" x14ac:dyDescent="0.3">
      <c r="A86" s="135" t="s">
        <v>166</v>
      </c>
      <c r="B86" s="48">
        <v>101874</v>
      </c>
      <c r="C86" s="47" t="s">
        <v>198</v>
      </c>
      <c r="D86" s="49">
        <v>26756</v>
      </c>
      <c r="E86" s="49">
        <v>50525</v>
      </c>
      <c r="F86" s="47" t="s">
        <v>173</v>
      </c>
      <c r="G86" s="47">
        <v>2012</v>
      </c>
      <c r="H86" s="47" t="s">
        <v>134</v>
      </c>
      <c r="I86" s="41">
        <v>1039</v>
      </c>
      <c r="J86" s="41">
        <v>0</v>
      </c>
      <c r="K86" s="41">
        <v>0</v>
      </c>
      <c r="L86" s="41">
        <v>1</v>
      </c>
      <c r="M86" s="41">
        <v>0</v>
      </c>
      <c r="N86" s="41">
        <v>0</v>
      </c>
      <c r="O86" s="138">
        <v>0</v>
      </c>
      <c r="P86" s="147">
        <v>158723.25</v>
      </c>
      <c r="Q86" s="139">
        <v>1</v>
      </c>
      <c r="R86" s="139">
        <v>0</v>
      </c>
      <c r="S86" s="139">
        <v>625000</v>
      </c>
      <c r="T86" s="140">
        <v>44136</v>
      </c>
      <c r="U86" s="139">
        <v>0</v>
      </c>
      <c r="V86" s="141"/>
      <c r="W86" s="141">
        <v>1</v>
      </c>
      <c r="X86" s="24"/>
      <c r="Y86" s="24"/>
      <c r="Z86" s="24"/>
      <c r="AA86" s="24"/>
      <c r="AB86" s="24"/>
      <c r="AC86" s="24"/>
      <c r="AD86" s="24"/>
      <c r="AE86" s="24"/>
      <c r="AF86" s="24">
        <v>41214</v>
      </c>
      <c r="AG86" s="24"/>
      <c r="AH86" s="31">
        <v>44105</v>
      </c>
      <c r="AI86" s="46" t="str">
        <f t="shared" si="8"/>
        <v/>
      </c>
      <c r="AJ86" s="27"/>
      <c r="AK86" s="27"/>
      <c r="AL86" s="27"/>
      <c r="AM86" s="27"/>
      <c r="AN86" s="27"/>
      <c r="AO86" s="27"/>
      <c r="AP86" s="27"/>
      <c r="AQ86" s="29" t="str">
        <f>IF(AND(AD86&lt;&gt;"",AF86="",AG86=""),DATE(YEAR(AD86)+Menu!$E$10,MONTH(AD86)+Menu!$E$11,1),"")</f>
        <v/>
      </c>
      <c r="AR86" s="29">
        <f t="shared" si="9"/>
        <v>41214</v>
      </c>
      <c r="AS86" s="27" t="str">
        <f>IF(AND(AR86&lt;&gt;"",AH86="",AG86=""),DATE(YEAR(AR86)+Menu!$E$13,MONTH(AR86)+Menu!$E$14,1),"")</f>
        <v/>
      </c>
      <c r="AT86" s="27"/>
      <c r="AU86" s="15" t="s">
        <v>138</v>
      </c>
      <c r="AV86" s="15" t="s">
        <v>138</v>
      </c>
      <c r="AW86" s="16" t="s">
        <v>138</v>
      </c>
      <c r="AX86" s="16" t="s">
        <v>138</v>
      </c>
      <c r="AY86" s="16" t="s">
        <v>138</v>
      </c>
      <c r="AZ86" s="16" t="s">
        <v>138</v>
      </c>
      <c r="BA86" s="16" t="s">
        <v>138</v>
      </c>
      <c r="BB86" s="16" t="s">
        <v>138</v>
      </c>
      <c r="BC86" s="16" t="s">
        <v>138</v>
      </c>
      <c r="BD86" s="16" t="s">
        <v>138</v>
      </c>
      <c r="BE86" s="16" t="s">
        <v>134</v>
      </c>
      <c r="BF86" s="16" t="s">
        <v>134</v>
      </c>
      <c r="BG86" s="16" t="s">
        <v>134</v>
      </c>
      <c r="BH86" s="16" t="s">
        <v>134</v>
      </c>
      <c r="BI86" s="16" t="s">
        <v>134</v>
      </c>
      <c r="BJ86" s="15" t="s">
        <v>134</v>
      </c>
      <c r="BK86" s="15" t="s">
        <v>134</v>
      </c>
      <c r="BL86" s="131" t="s">
        <v>135</v>
      </c>
      <c r="BM86" t="s">
        <v>135</v>
      </c>
      <c r="BN86" t="s">
        <v>135</v>
      </c>
      <c r="BO86" t="s">
        <v>135</v>
      </c>
      <c r="BP86" t="s">
        <v>135</v>
      </c>
      <c r="BQ86" t="s">
        <v>135</v>
      </c>
      <c r="BR86" t="s">
        <v>135</v>
      </c>
      <c r="BS86" t="s">
        <v>135</v>
      </c>
      <c r="BT86" t="s">
        <v>135</v>
      </c>
      <c r="BU86" t="s">
        <v>135</v>
      </c>
      <c r="BV86" t="s">
        <v>135</v>
      </c>
      <c r="BW86" t="s">
        <v>135</v>
      </c>
      <c r="BX86" t="s">
        <v>135</v>
      </c>
      <c r="BY86" s="56">
        <v>158723.25</v>
      </c>
      <c r="BZ86" s="56">
        <v>276849.29166666669</v>
      </c>
      <c r="CA86" s="56">
        <v>853520.125</v>
      </c>
      <c r="CB86" s="56">
        <v>909357.625</v>
      </c>
      <c r="CC86" s="56">
        <v>965195.125</v>
      </c>
      <c r="CD86" s="56">
        <v>1000375</v>
      </c>
      <c r="CE86" s="56">
        <v>1000375</v>
      </c>
      <c r="CF86" s="56">
        <v>1000375</v>
      </c>
      <c r="CG86" s="56">
        <v>1000375</v>
      </c>
      <c r="CH86" s="56">
        <v>1000375</v>
      </c>
      <c r="CI86" s="56">
        <v>1000375</v>
      </c>
      <c r="CJ86" s="56">
        <v>1000375</v>
      </c>
      <c r="CK86" s="56">
        <v>1000375</v>
      </c>
    </row>
    <row r="87" spans="1:89" ht="13" x14ac:dyDescent="0.3">
      <c r="A87" s="135" t="s">
        <v>437</v>
      </c>
      <c r="B87" s="48">
        <v>104472</v>
      </c>
      <c r="C87" s="47" t="s">
        <v>198</v>
      </c>
      <c r="D87" s="49">
        <v>21905</v>
      </c>
      <c r="E87" s="49">
        <v>45657</v>
      </c>
      <c r="F87" s="47" t="s">
        <v>173</v>
      </c>
      <c r="G87" s="47">
        <v>2012</v>
      </c>
      <c r="H87" s="47" t="s">
        <v>134</v>
      </c>
      <c r="I87" s="41">
        <v>1039</v>
      </c>
      <c r="J87" s="41">
        <v>0</v>
      </c>
      <c r="K87" s="41">
        <v>0</v>
      </c>
      <c r="L87" s="41">
        <v>1</v>
      </c>
      <c r="M87" s="41">
        <v>0</v>
      </c>
      <c r="N87" s="41">
        <v>0</v>
      </c>
      <c r="O87" s="138">
        <v>0</v>
      </c>
      <c r="P87" s="147">
        <f>158431*1.225*W87</f>
        <v>38815.595000000001</v>
      </c>
      <c r="Q87" s="139">
        <v>1</v>
      </c>
      <c r="R87" s="139">
        <v>0</v>
      </c>
      <c r="S87" s="139">
        <v>0</v>
      </c>
      <c r="T87" s="140"/>
      <c r="U87" s="139">
        <v>0</v>
      </c>
      <c r="V87" s="141"/>
      <c r="W87" s="141">
        <v>0.2</v>
      </c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31"/>
      <c r="AI87" s="46" t="str">
        <f>IF(YEAR(E87)&lt;2018,YEAR(E87),"")</f>
        <v/>
      </c>
      <c r="AJ87" s="27"/>
      <c r="AK87" s="27"/>
      <c r="AL87" s="27"/>
      <c r="AM87" s="27"/>
      <c r="AN87" s="27"/>
      <c r="AO87" s="27"/>
      <c r="AP87" s="27"/>
      <c r="AQ87" s="29" t="str">
        <f>IF(AND(AD87&lt;&gt;"",AF87="",AG87=""),DATE(YEAR(AD87)+Menu!$E$10,MONTH(AD87)+Menu!$E$11,1),"")</f>
        <v/>
      </c>
      <c r="AR87" s="29" t="str">
        <f>IF(AF87&lt;&gt;0,AF87,AQ87)</f>
        <v/>
      </c>
      <c r="AS87" s="27" t="str">
        <f>IF(AND(AR87&lt;&gt;"",AH87="",AG87=""),DATE(YEAR(AR87)+Menu!$E$13,MONTH(AR87)+Menu!$E$14,1),"")</f>
        <v/>
      </c>
      <c r="AT87" s="27"/>
      <c r="AU87" s="15" t="s">
        <v>138</v>
      </c>
      <c r="AV87" s="15" t="s">
        <v>138</v>
      </c>
      <c r="AW87" s="16" t="s">
        <v>138</v>
      </c>
      <c r="AX87" s="16" t="s">
        <v>138</v>
      </c>
      <c r="AY87" s="16" t="s">
        <v>138</v>
      </c>
      <c r="AZ87" s="16" t="s">
        <v>138</v>
      </c>
      <c r="BA87" s="16" t="s">
        <v>138</v>
      </c>
      <c r="BB87" s="16" t="s">
        <v>138</v>
      </c>
      <c r="BC87" s="16" t="s">
        <v>138</v>
      </c>
      <c r="BD87" s="16" t="s">
        <v>138</v>
      </c>
      <c r="BE87" s="16" t="s">
        <v>138</v>
      </c>
      <c r="BF87" s="16" t="s">
        <v>138</v>
      </c>
      <c r="BG87" s="16" t="s">
        <v>138</v>
      </c>
      <c r="BH87" s="16" t="s">
        <v>138</v>
      </c>
      <c r="BI87" s="16" t="s">
        <v>138</v>
      </c>
      <c r="BJ87" s="16" t="s">
        <v>138</v>
      </c>
      <c r="BK87" s="131" t="s">
        <v>389</v>
      </c>
      <c r="BL87" s="131" t="s">
        <v>389</v>
      </c>
      <c r="BM87" t="s">
        <v>389</v>
      </c>
      <c r="BN87" t="s">
        <v>389</v>
      </c>
      <c r="BO87" t="s">
        <v>389</v>
      </c>
      <c r="BP87" t="s">
        <v>389</v>
      </c>
      <c r="BQ87" t="s">
        <v>389</v>
      </c>
      <c r="BR87" t="s">
        <v>138</v>
      </c>
      <c r="BS87" t="s">
        <v>138</v>
      </c>
      <c r="BT87" t="s">
        <v>138</v>
      </c>
      <c r="BU87" t="s">
        <v>138</v>
      </c>
      <c r="BV87" t="s">
        <v>138</v>
      </c>
      <c r="BW87" t="s">
        <v>138</v>
      </c>
      <c r="BX87" t="s">
        <v>138</v>
      </c>
      <c r="BY87" s="56">
        <v>38815.595000000001</v>
      </c>
      <c r="BZ87" s="56">
        <v>38815.595000000001</v>
      </c>
      <c r="CA87" s="56">
        <v>38815.595000000001</v>
      </c>
      <c r="CB87" s="56">
        <v>38815.595000000001</v>
      </c>
      <c r="CC87" s="56">
        <v>38815.595000000001</v>
      </c>
      <c r="CD87" s="56">
        <v>38815.595000000001</v>
      </c>
      <c r="CE87" s="56">
        <v>0</v>
      </c>
      <c r="CF87" s="56">
        <v>0</v>
      </c>
      <c r="CG87" s="56">
        <v>0</v>
      </c>
      <c r="CH87" s="56">
        <v>0</v>
      </c>
      <c r="CI87" s="56">
        <v>0</v>
      </c>
      <c r="CJ87" s="56">
        <v>0</v>
      </c>
      <c r="CK87" s="56">
        <v>0</v>
      </c>
    </row>
    <row r="88" spans="1:89" ht="13" x14ac:dyDescent="0.3">
      <c r="A88" s="135" t="s">
        <v>48</v>
      </c>
      <c r="B88" s="48">
        <v>155721</v>
      </c>
      <c r="C88" s="47" t="s">
        <v>198</v>
      </c>
      <c r="D88" s="49">
        <v>19626</v>
      </c>
      <c r="E88" s="49">
        <v>43373</v>
      </c>
      <c r="F88" s="47" t="s">
        <v>173</v>
      </c>
      <c r="G88" s="47">
        <v>2009</v>
      </c>
      <c r="H88" s="47" t="s">
        <v>135</v>
      </c>
      <c r="I88" s="41">
        <v>1049</v>
      </c>
      <c r="J88" s="41">
        <v>0</v>
      </c>
      <c r="K88" s="41">
        <v>0</v>
      </c>
      <c r="L88" s="41">
        <v>1</v>
      </c>
      <c r="M88" s="41">
        <v>0</v>
      </c>
      <c r="N88" s="41">
        <v>0</v>
      </c>
      <c r="O88" s="138">
        <v>0</v>
      </c>
      <c r="P88" s="147">
        <v>0</v>
      </c>
      <c r="Q88" s="139">
        <v>1</v>
      </c>
      <c r="R88" s="139">
        <v>0</v>
      </c>
      <c r="S88" s="139">
        <v>0</v>
      </c>
      <c r="T88" s="140"/>
      <c r="U88" s="139">
        <v>0</v>
      </c>
      <c r="V88" s="141"/>
      <c r="W88" s="141">
        <v>0</v>
      </c>
      <c r="X88" s="24"/>
      <c r="Y88" s="24"/>
      <c r="Z88" s="24"/>
      <c r="AA88" s="24"/>
      <c r="AB88" s="24"/>
      <c r="AC88" s="24"/>
      <c r="AD88" s="24"/>
      <c r="AE88" s="24"/>
      <c r="AF88" s="24"/>
      <c r="AG88" s="24">
        <v>39814</v>
      </c>
      <c r="AH88" s="31"/>
      <c r="AI88" s="46" t="str">
        <f t="shared" si="8"/>
        <v/>
      </c>
      <c r="AJ88" s="27"/>
      <c r="AK88" s="27"/>
      <c r="AL88" s="27"/>
      <c r="AM88" s="27"/>
      <c r="AN88" s="27"/>
      <c r="AO88" s="27"/>
      <c r="AP88" s="27"/>
      <c r="AQ88" s="29" t="str">
        <f>IF(AND(AD88&lt;&gt;"",AF88="",AG88=""),DATE(YEAR(AD88)+Menu!$E$10,MONTH(AD88)+Menu!$E$11,1),"")</f>
        <v/>
      </c>
      <c r="AR88" s="29" t="str">
        <f t="shared" si="9"/>
        <v/>
      </c>
      <c r="AS88" s="27" t="str">
        <f>IF(AND(AR88&lt;&gt;"",AH88="",AG88=""),DATE(YEAR(AR88)+Menu!$E$13,MONTH(AR88)+Menu!$E$14,1),"")</f>
        <v/>
      </c>
      <c r="AT88" s="27"/>
      <c r="AU88" s="15" t="s">
        <v>138</v>
      </c>
      <c r="AV88" s="15" t="s">
        <v>138</v>
      </c>
      <c r="AW88" s="16" t="s">
        <v>138</v>
      </c>
      <c r="AX88" s="15" t="s">
        <v>138</v>
      </c>
      <c r="AY88" s="15" t="s">
        <v>138</v>
      </c>
      <c r="AZ88" s="15" t="s">
        <v>138</v>
      </c>
      <c r="BA88" s="15" t="s">
        <v>138</v>
      </c>
      <c r="BB88" s="16" t="s">
        <v>135</v>
      </c>
      <c r="BC88" s="16" t="s">
        <v>135</v>
      </c>
      <c r="BD88" s="16" t="s">
        <v>135</v>
      </c>
      <c r="BE88" s="16" t="s">
        <v>135</v>
      </c>
      <c r="BF88" s="16" t="s">
        <v>135</v>
      </c>
      <c r="BG88" s="16" t="s">
        <v>135</v>
      </c>
      <c r="BH88" s="16" t="s">
        <v>135</v>
      </c>
      <c r="BI88" s="16" t="s">
        <v>135</v>
      </c>
      <c r="BJ88" s="15" t="s">
        <v>135</v>
      </c>
      <c r="BK88" s="15" t="s">
        <v>138</v>
      </c>
      <c r="BL88" s="131" t="s">
        <v>138</v>
      </c>
      <c r="BM88" t="s">
        <v>138</v>
      </c>
      <c r="BN88" t="s">
        <v>138</v>
      </c>
      <c r="BO88" t="s">
        <v>138</v>
      </c>
      <c r="BP88" t="s">
        <v>138</v>
      </c>
      <c r="BQ88" t="s">
        <v>138</v>
      </c>
      <c r="BR88" t="s">
        <v>138</v>
      </c>
      <c r="BS88" t="s">
        <v>138</v>
      </c>
      <c r="BT88" t="s">
        <v>138</v>
      </c>
      <c r="BU88" t="s">
        <v>138</v>
      </c>
      <c r="BV88" t="s">
        <v>138</v>
      </c>
      <c r="BW88" t="s">
        <v>138</v>
      </c>
      <c r="BX88" t="s">
        <v>138</v>
      </c>
      <c r="BY88" s="56">
        <v>0</v>
      </c>
      <c r="BZ88" s="56">
        <v>0</v>
      </c>
      <c r="CA88" s="56">
        <v>0</v>
      </c>
      <c r="CB88" s="56">
        <v>0</v>
      </c>
      <c r="CC88" s="56">
        <v>0</v>
      </c>
      <c r="CD88" s="56">
        <v>0</v>
      </c>
      <c r="CE88" s="56">
        <v>0</v>
      </c>
      <c r="CF88" s="56">
        <v>0</v>
      </c>
      <c r="CG88" s="56">
        <v>0</v>
      </c>
      <c r="CH88" s="56">
        <v>0</v>
      </c>
      <c r="CI88" s="56">
        <v>0</v>
      </c>
      <c r="CJ88" s="56">
        <v>0</v>
      </c>
      <c r="CK88" s="56">
        <v>0</v>
      </c>
    </row>
    <row r="89" spans="1:89" ht="13" x14ac:dyDescent="0.3">
      <c r="A89" s="135" t="s">
        <v>182</v>
      </c>
      <c r="B89" s="48">
        <v>104267</v>
      </c>
      <c r="C89" s="47" t="s">
        <v>198</v>
      </c>
      <c r="D89" s="49">
        <v>25410</v>
      </c>
      <c r="E89" s="49">
        <v>48791</v>
      </c>
      <c r="F89" s="47" t="s">
        <v>172</v>
      </c>
      <c r="G89" s="47"/>
      <c r="H89" s="47"/>
      <c r="I89" s="41">
        <v>1047</v>
      </c>
      <c r="J89" s="41">
        <v>0</v>
      </c>
      <c r="K89" s="41">
        <v>0</v>
      </c>
      <c r="L89" s="41">
        <v>1</v>
      </c>
      <c r="M89" s="41">
        <v>0</v>
      </c>
      <c r="N89" s="41">
        <v>0</v>
      </c>
      <c r="O89" s="138">
        <v>2</v>
      </c>
      <c r="P89" s="147">
        <v>0</v>
      </c>
      <c r="Q89" s="139">
        <v>1</v>
      </c>
      <c r="R89" s="139">
        <v>0</v>
      </c>
      <c r="S89" s="139">
        <v>0</v>
      </c>
      <c r="T89" s="140"/>
      <c r="U89" s="139">
        <v>0</v>
      </c>
      <c r="V89" s="141"/>
      <c r="W89" s="141">
        <v>1</v>
      </c>
      <c r="X89" s="24"/>
      <c r="Y89" s="24">
        <v>41232</v>
      </c>
      <c r="Z89" s="24"/>
      <c r="AA89" s="24"/>
      <c r="AB89" s="24"/>
      <c r="AC89" s="24"/>
      <c r="AD89" s="24"/>
      <c r="AE89" s="24"/>
      <c r="AF89" s="24"/>
      <c r="AG89" s="24"/>
      <c r="AH89" s="31"/>
      <c r="AI89" s="46" t="str">
        <f t="shared" si="8"/>
        <v/>
      </c>
      <c r="AJ89" s="27"/>
      <c r="AK89" s="27"/>
      <c r="AL89" s="27"/>
      <c r="AM89" s="27"/>
      <c r="AN89" s="27"/>
      <c r="AO89" s="27"/>
      <c r="AP89" s="27"/>
      <c r="AQ89" s="29" t="str">
        <f>IF(AND(AD89&lt;&gt;"",AF89="",AG89=""),DATE(YEAR(AD89)+Menu!$E$10,MONTH(AD89)+Menu!$E$11,1),"")</f>
        <v/>
      </c>
      <c r="AR89" s="29" t="str">
        <f t="shared" si="9"/>
        <v/>
      </c>
      <c r="AS89" s="27" t="str">
        <f>IF(AND(AR89&lt;&gt;"",AH89="",AG89=""),DATE(YEAR(AR89)+Menu!$E$13,MONTH(AR89)+Menu!$E$14,1),"")</f>
        <v/>
      </c>
      <c r="AT89" s="27"/>
      <c r="AU89" s="15" t="s">
        <v>138</v>
      </c>
      <c r="AV89" s="15" t="s">
        <v>138</v>
      </c>
      <c r="AW89" s="16" t="s">
        <v>138</v>
      </c>
      <c r="AX89" s="16" t="s">
        <v>138</v>
      </c>
      <c r="AY89" s="16" t="s">
        <v>138</v>
      </c>
      <c r="AZ89" s="16" t="s">
        <v>138</v>
      </c>
      <c r="BA89" s="16" t="s">
        <v>138</v>
      </c>
      <c r="BB89" s="16" t="s">
        <v>138</v>
      </c>
      <c r="BC89" s="16" t="s">
        <v>138</v>
      </c>
      <c r="BD89" s="16" t="s">
        <v>138</v>
      </c>
      <c r="BE89" s="16" t="s">
        <v>129</v>
      </c>
      <c r="BF89" s="16" t="s">
        <v>129</v>
      </c>
      <c r="BG89" s="16" t="s">
        <v>129</v>
      </c>
      <c r="BH89" s="16" t="s">
        <v>129</v>
      </c>
      <c r="BI89" s="16" t="s">
        <v>129</v>
      </c>
      <c r="BJ89" s="15" t="s">
        <v>129</v>
      </c>
      <c r="BK89" s="15" t="s">
        <v>129</v>
      </c>
      <c r="BL89" s="131" t="s">
        <v>129</v>
      </c>
      <c r="BM89" t="s">
        <v>129</v>
      </c>
      <c r="BN89" t="s">
        <v>129</v>
      </c>
      <c r="BO89" t="s">
        <v>129</v>
      </c>
      <c r="BP89" t="s">
        <v>129</v>
      </c>
      <c r="BQ89" t="s">
        <v>129</v>
      </c>
      <c r="BR89" t="s">
        <v>129</v>
      </c>
      <c r="BS89" t="s">
        <v>129</v>
      </c>
      <c r="BT89" t="s">
        <v>129</v>
      </c>
      <c r="BU89" t="s">
        <v>129</v>
      </c>
      <c r="BV89" t="s">
        <v>129</v>
      </c>
      <c r="BW89" t="s">
        <v>129</v>
      </c>
      <c r="BX89" t="s">
        <v>129</v>
      </c>
      <c r="BY89" s="56">
        <v>0</v>
      </c>
      <c r="BZ89" s="56">
        <v>0</v>
      </c>
      <c r="CA89" s="56">
        <v>0</v>
      </c>
      <c r="CB89" s="56">
        <v>0</v>
      </c>
      <c r="CC89" s="56">
        <v>0</v>
      </c>
      <c r="CD89" s="56">
        <v>0</v>
      </c>
      <c r="CE89" s="56">
        <v>0</v>
      </c>
      <c r="CF89" s="56">
        <v>0</v>
      </c>
      <c r="CG89" s="56">
        <v>0</v>
      </c>
      <c r="CH89" s="56">
        <v>0</v>
      </c>
      <c r="CI89" s="56">
        <v>0</v>
      </c>
      <c r="CJ89" s="56">
        <v>0</v>
      </c>
      <c r="CK89" s="56">
        <v>0</v>
      </c>
    </row>
    <row r="90" spans="1:89" ht="13" x14ac:dyDescent="0.3">
      <c r="A90" s="135" t="s">
        <v>49</v>
      </c>
      <c r="B90" s="48">
        <v>113150</v>
      </c>
      <c r="C90" s="47" t="s">
        <v>198</v>
      </c>
      <c r="D90" s="49">
        <v>22523</v>
      </c>
      <c r="E90" s="49">
        <v>46265</v>
      </c>
      <c r="F90" s="47" t="s">
        <v>173</v>
      </c>
      <c r="G90" s="47"/>
      <c r="H90" s="47"/>
      <c r="I90" s="41">
        <v>1051</v>
      </c>
      <c r="J90" s="41">
        <v>0</v>
      </c>
      <c r="K90" s="41">
        <v>0</v>
      </c>
      <c r="L90" s="41">
        <v>1</v>
      </c>
      <c r="M90" s="41">
        <v>0</v>
      </c>
      <c r="N90" s="41">
        <v>0</v>
      </c>
      <c r="O90" s="138">
        <v>2</v>
      </c>
      <c r="P90" s="147">
        <v>0</v>
      </c>
      <c r="Q90" s="139">
        <v>1</v>
      </c>
      <c r="R90" s="139">
        <v>0</v>
      </c>
      <c r="S90" s="139">
        <v>0</v>
      </c>
      <c r="T90" s="140"/>
      <c r="U90" s="139">
        <v>0</v>
      </c>
      <c r="V90" s="141"/>
      <c r="W90" s="141">
        <v>0</v>
      </c>
      <c r="X90" s="24"/>
      <c r="Y90" s="24">
        <v>35490</v>
      </c>
      <c r="Z90" s="24"/>
      <c r="AA90" s="24"/>
      <c r="AB90" s="24"/>
      <c r="AC90" s="24">
        <v>40157</v>
      </c>
      <c r="AD90" s="24"/>
      <c r="AE90" s="24"/>
      <c r="AF90" s="24"/>
      <c r="AG90" s="24"/>
      <c r="AH90" s="31"/>
      <c r="AI90" s="46" t="str">
        <f t="shared" si="8"/>
        <v/>
      </c>
      <c r="AJ90" s="27"/>
      <c r="AK90" s="27"/>
      <c r="AL90" s="27"/>
      <c r="AM90" s="27"/>
      <c r="AN90" s="27"/>
      <c r="AO90" s="27"/>
      <c r="AP90" s="27"/>
      <c r="AQ90" s="29" t="str">
        <f>IF(AND(AD90&lt;&gt;"",AF90="",AG90=""),DATE(YEAR(AD90)+Menu!$E$10,MONTH(AD90)+Menu!$E$11,1),"")</f>
        <v/>
      </c>
      <c r="AR90" s="29" t="str">
        <f t="shared" si="9"/>
        <v/>
      </c>
      <c r="AS90" s="27" t="str">
        <f>IF(AND(AR90&lt;&gt;"",AH90="",AG90=""),DATE(YEAR(AR90)+Menu!$E$13,MONTH(AR90)+Menu!$E$14,1),"")</f>
        <v/>
      </c>
      <c r="AT90" s="27"/>
      <c r="AU90" s="16" t="s">
        <v>129</v>
      </c>
      <c r="AV90" s="16" t="s">
        <v>129</v>
      </c>
      <c r="AW90" s="16" t="s">
        <v>129</v>
      </c>
      <c r="AX90" s="16" t="s">
        <v>129</v>
      </c>
      <c r="AY90" s="16" t="s">
        <v>129</v>
      </c>
      <c r="AZ90" s="16" t="s">
        <v>129</v>
      </c>
      <c r="BA90" s="16" t="s">
        <v>129</v>
      </c>
      <c r="BB90" s="16" t="s">
        <v>132</v>
      </c>
      <c r="BC90" s="16" t="s">
        <v>132</v>
      </c>
      <c r="BD90" s="16" t="s">
        <v>132</v>
      </c>
      <c r="BE90" s="16" t="s">
        <v>132</v>
      </c>
      <c r="BF90" s="16" t="s">
        <v>132</v>
      </c>
      <c r="BG90" s="16" t="s">
        <v>132</v>
      </c>
      <c r="BH90" s="16" t="s">
        <v>132</v>
      </c>
      <c r="BI90" s="16" t="s">
        <v>132</v>
      </c>
      <c r="BJ90" s="15" t="s">
        <v>132</v>
      </c>
      <c r="BK90" s="15" t="s">
        <v>132</v>
      </c>
      <c r="BL90" s="131" t="s">
        <v>132</v>
      </c>
      <c r="BM90" t="s">
        <v>132</v>
      </c>
      <c r="BN90" t="s">
        <v>132</v>
      </c>
      <c r="BO90" t="s">
        <v>132</v>
      </c>
      <c r="BP90" t="s">
        <v>132</v>
      </c>
      <c r="BQ90" t="s">
        <v>132</v>
      </c>
      <c r="BR90" t="s">
        <v>132</v>
      </c>
      <c r="BS90" t="s">
        <v>132</v>
      </c>
      <c r="BT90" t="s">
        <v>138</v>
      </c>
      <c r="BU90" t="s">
        <v>138</v>
      </c>
      <c r="BV90" t="s">
        <v>138</v>
      </c>
      <c r="BW90" t="s">
        <v>138</v>
      </c>
      <c r="BX90" t="s">
        <v>138</v>
      </c>
      <c r="BY90" s="56">
        <v>0</v>
      </c>
      <c r="BZ90" s="56">
        <v>0</v>
      </c>
      <c r="CA90" s="56">
        <v>0</v>
      </c>
      <c r="CB90" s="56">
        <v>0</v>
      </c>
      <c r="CC90" s="56">
        <v>0</v>
      </c>
      <c r="CD90" s="56">
        <v>0</v>
      </c>
      <c r="CE90" s="56">
        <v>0</v>
      </c>
      <c r="CF90" s="56">
        <v>0</v>
      </c>
      <c r="CG90" s="56">
        <v>0</v>
      </c>
      <c r="CH90" s="56">
        <v>0</v>
      </c>
      <c r="CI90" s="56">
        <v>0</v>
      </c>
      <c r="CJ90" s="56">
        <v>0</v>
      </c>
      <c r="CK90" s="56">
        <v>0</v>
      </c>
    </row>
    <row r="91" spans="1:89" ht="13" x14ac:dyDescent="0.3">
      <c r="A91" s="135" t="s">
        <v>50</v>
      </c>
      <c r="B91" s="48">
        <v>105410</v>
      </c>
      <c r="C91" s="47" t="s">
        <v>200</v>
      </c>
      <c r="D91" s="49">
        <v>19410</v>
      </c>
      <c r="E91" s="49">
        <v>43159</v>
      </c>
      <c r="F91" s="47" t="s">
        <v>173</v>
      </c>
      <c r="G91" s="47"/>
      <c r="H91" s="47"/>
      <c r="I91" s="41">
        <v>845</v>
      </c>
      <c r="J91" s="41">
        <v>0</v>
      </c>
      <c r="K91" s="41">
        <v>0</v>
      </c>
      <c r="L91" s="41">
        <v>0</v>
      </c>
      <c r="M91" s="41">
        <v>1</v>
      </c>
      <c r="N91" s="41">
        <v>0</v>
      </c>
      <c r="O91" s="138">
        <v>0</v>
      </c>
      <c r="P91" s="147">
        <v>0</v>
      </c>
      <c r="Q91" s="139">
        <v>1</v>
      </c>
      <c r="R91" s="139">
        <v>0</v>
      </c>
      <c r="S91" s="139">
        <v>0</v>
      </c>
      <c r="T91" s="140"/>
      <c r="U91" s="139">
        <v>0</v>
      </c>
      <c r="V91" s="141"/>
      <c r="W91" s="141">
        <v>0</v>
      </c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31"/>
      <c r="AI91" s="46" t="str">
        <f t="shared" si="8"/>
        <v/>
      </c>
      <c r="AJ91" s="27"/>
      <c r="AK91" s="27"/>
      <c r="AL91" s="27"/>
      <c r="AM91" s="27"/>
      <c r="AN91" s="27"/>
      <c r="AO91" s="27"/>
      <c r="AP91" s="27"/>
      <c r="AQ91" s="29" t="str">
        <f>IF(AND(AD91&lt;&gt;"",AF91="",AG91=""),DATE(YEAR(AD91)+Menu!$E$10,MONTH(AD91)+Menu!$E$11,1),"")</f>
        <v/>
      </c>
      <c r="AR91" s="29" t="str">
        <f t="shared" si="9"/>
        <v/>
      </c>
      <c r="AS91" s="27" t="str">
        <f>IF(AND(AR91&lt;&gt;"",AH91="",AG91=""),DATE(YEAR(AR91)+Menu!$E$13,MONTH(AR91)+Menu!$E$14,1),"")</f>
        <v/>
      </c>
      <c r="AT91" s="27"/>
      <c r="AU91" s="16" t="s">
        <v>135</v>
      </c>
      <c r="AV91" s="16" t="s">
        <v>135</v>
      </c>
      <c r="AW91" s="16" t="s">
        <v>135</v>
      </c>
      <c r="AX91" s="16" t="s">
        <v>135</v>
      </c>
      <c r="AY91" s="16" t="s">
        <v>135</v>
      </c>
      <c r="AZ91" s="16" t="s">
        <v>135</v>
      </c>
      <c r="BA91" s="16" t="s">
        <v>135</v>
      </c>
      <c r="BB91" s="16" t="s">
        <v>135</v>
      </c>
      <c r="BC91" s="16" t="s">
        <v>135</v>
      </c>
      <c r="BD91" s="16" t="s">
        <v>135</v>
      </c>
      <c r="BE91" s="16" t="s">
        <v>135</v>
      </c>
      <c r="BF91" s="16" t="s">
        <v>135</v>
      </c>
      <c r="BG91" s="16" t="s">
        <v>135</v>
      </c>
      <c r="BH91" s="16" t="s">
        <v>135</v>
      </c>
      <c r="BI91" s="16" t="s">
        <v>135</v>
      </c>
      <c r="BJ91" s="15" t="s">
        <v>135</v>
      </c>
      <c r="BK91" s="15" t="s">
        <v>138</v>
      </c>
      <c r="BL91" s="131" t="s">
        <v>138</v>
      </c>
      <c r="BM91" t="s">
        <v>138</v>
      </c>
      <c r="BN91" t="s">
        <v>138</v>
      </c>
      <c r="BO91" t="s">
        <v>138</v>
      </c>
      <c r="BP91" t="s">
        <v>138</v>
      </c>
      <c r="BQ91" t="s">
        <v>138</v>
      </c>
      <c r="BR91" t="s">
        <v>138</v>
      </c>
      <c r="BS91" t="s">
        <v>138</v>
      </c>
      <c r="BT91" t="s">
        <v>138</v>
      </c>
      <c r="BU91" t="s">
        <v>138</v>
      </c>
      <c r="BV91" t="s">
        <v>138</v>
      </c>
      <c r="BW91" t="s">
        <v>138</v>
      </c>
      <c r="BX91" t="s">
        <v>138</v>
      </c>
      <c r="BY91" s="56">
        <v>0</v>
      </c>
      <c r="BZ91" s="56">
        <v>0</v>
      </c>
      <c r="CA91" s="56">
        <v>0</v>
      </c>
      <c r="CB91" s="56">
        <v>0</v>
      </c>
      <c r="CC91" s="56">
        <v>0</v>
      </c>
      <c r="CD91" s="56">
        <v>0</v>
      </c>
      <c r="CE91" s="56">
        <v>0</v>
      </c>
      <c r="CF91" s="56">
        <v>0</v>
      </c>
      <c r="CG91" s="56">
        <v>0</v>
      </c>
      <c r="CH91" s="56">
        <v>0</v>
      </c>
      <c r="CI91" s="56">
        <v>0</v>
      </c>
      <c r="CJ91" s="56">
        <v>0</v>
      </c>
      <c r="CK91" s="56">
        <v>0</v>
      </c>
    </row>
    <row r="92" spans="1:89" ht="13" x14ac:dyDescent="0.3">
      <c r="A92" s="135" t="s">
        <v>51</v>
      </c>
      <c r="B92" s="48">
        <v>105416</v>
      </c>
      <c r="C92" s="47" t="s">
        <v>198</v>
      </c>
      <c r="D92" s="49">
        <v>18875</v>
      </c>
      <c r="E92" s="49">
        <v>42643</v>
      </c>
      <c r="F92" s="47" t="s">
        <v>173</v>
      </c>
      <c r="G92" s="47"/>
      <c r="H92" s="47"/>
      <c r="I92" s="40">
        <v>1005</v>
      </c>
      <c r="J92" s="41">
        <v>0</v>
      </c>
      <c r="K92" s="41">
        <v>0</v>
      </c>
      <c r="L92" s="41">
        <v>1</v>
      </c>
      <c r="M92" s="41">
        <v>0</v>
      </c>
      <c r="N92" s="41">
        <v>0</v>
      </c>
      <c r="O92" s="138">
        <v>0</v>
      </c>
      <c r="P92" s="147">
        <v>0</v>
      </c>
      <c r="Q92" s="139">
        <v>0</v>
      </c>
      <c r="R92" s="139">
        <v>0</v>
      </c>
      <c r="S92" s="139">
        <v>0</v>
      </c>
      <c r="T92" s="140"/>
      <c r="U92" s="139">
        <v>0</v>
      </c>
      <c r="V92" s="141"/>
      <c r="W92" s="141">
        <v>0</v>
      </c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31"/>
      <c r="AI92" s="46">
        <f t="shared" si="8"/>
        <v>2016</v>
      </c>
      <c r="AJ92" s="27"/>
      <c r="AK92" s="27"/>
      <c r="AL92" s="27"/>
      <c r="AM92" s="27"/>
      <c r="AN92" s="27"/>
      <c r="AO92" s="27"/>
      <c r="AP92" s="27"/>
      <c r="AQ92" s="29" t="str">
        <f>IF(AND(AD92&lt;&gt;"",AF92="",AG92=""),DATE(YEAR(AD92)+Menu!$E$10,MONTH(AD92)+Menu!$E$11,1),"")</f>
        <v/>
      </c>
      <c r="AR92" s="29" t="str">
        <f t="shared" si="9"/>
        <v/>
      </c>
      <c r="AS92" s="27" t="str">
        <f>IF(AND(AR92&lt;&gt;"",AH92="",AG92=""),DATE(YEAR(AR92)+Menu!$E$13,MONTH(AR92)+Menu!$E$14,1),"")</f>
        <v/>
      </c>
      <c r="AT92" s="27"/>
      <c r="AU92" s="16" t="s">
        <v>131</v>
      </c>
      <c r="AV92" s="16" t="s">
        <v>131</v>
      </c>
      <c r="AW92" s="16" t="s">
        <v>131</v>
      </c>
      <c r="AX92" s="16" t="s">
        <v>131</v>
      </c>
      <c r="AY92" s="16" t="s">
        <v>131</v>
      </c>
      <c r="AZ92" s="16" t="s">
        <v>131</v>
      </c>
      <c r="BA92" s="16" t="s">
        <v>131</v>
      </c>
      <c r="BB92" s="16" t="s">
        <v>131</v>
      </c>
      <c r="BC92" s="16" t="s">
        <v>131</v>
      </c>
      <c r="BD92" s="16" t="s">
        <v>131</v>
      </c>
      <c r="BE92" s="16" t="s">
        <v>131</v>
      </c>
      <c r="BF92" s="16" t="s">
        <v>131</v>
      </c>
      <c r="BG92" s="16" t="s">
        <v>131</v>
      </c>
      <c r="BH92" s="16" t="s">
        <v>131</v>
      </c>
      <c r="BI92" s="16" t="s">
        <v>136</v>
      </c>
      <c r="BJ92" s="15" t="s">
        <v>136</v>
      </c>
      <c r="BK92" s="15" t="s">
        <v>136</v>
      </c>
      <c r="BL92" s="131"/>
      <c r="BY92" s="56">
        <v>0</v>
      </c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</row>
    <row r="93" spans="1:89" ht="13" x14ac:dyDescent="0.3">
      <c r="A93" s="135" t="s">
        <v>52</v>
      </c>
      <c r="B93" s="48">
        <v>141360</v>
      </c>
      <c r="C93" s="47" t="s">
        <v>201</v>
      </c>
      <c r="D93" s="49">
        <v>21861</v>
      </c>
      <c r="E93" s="49">
        <v>45626</v>
      </c>
      <c r="F93" s="47" t="s">
        <v>173</v>
      </c>
      <c r="G93" s="47"/>
      <c r="H93" s="47"/>
      <c r="I93" s="40">
        <v>1368</v>
      </c>
      <c r="J93" s="41">
        <v>0</v>
      </c>
      <c r="K93" s="41">
        <v>0</v>
      </c>
      <c r="L93" s="41">
        <v>0</v>
      </c>
      <c r="M93" s="41">
        <v>0</v>
      </c>
      <c r="N93" s="41">
        <v>1</v>
      </c>
      <c r="O93" s="138">
        <v>0</v>
      </c>
      <c r="P93" s="147">
        <v>0</v>
      </c>
      <c r="Q93" s="139">
        <v>0</v>
      </c>
      <c r="R93" s="139">
        <v>0</v>
      </c>
      <c r="S93" s="139">
        <v>0</v>
      </c>
      <c r="T93" s="140"/>
      <c r="U93" s="139">
        <v>0</v>
      </c>
      <c r="V93" s="141"/>
      <c r="W93" s="141">
        <v>0</v>
      </c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31"/>
      <c r="AI93" s="46">
        <v>2015</v>
      </c>
      <c r="AJ93" s="27"/>
      <c r="AK93" s="27"/>
      <c r="AL93" s="27"/>
      <c r="AM93" s="27"/>
      <c r="AN93" s="27"/>
      <c r="AO93" s="27"/>
      <c r="AP93" s="27"/>
      <c r="AQ93" s="29" t="str">
        <f>IF(AND(AD93&lt;&gt;"",AF93="",AG93=""),DATE(YEAR(AD93)+Menu!$E$10,MONTH(AD93)+Menu!$E$11,1),"")</f>
        <v/>
      </c>
      <c r="AR93" s="29" t="str">
        <f t="shared" si="9"/>
        <v/>
      </c>
      <c r="AS93" s="27" t="str">
        <f>IF(AND(AR93&lt;&gt;"",AH93="",AG93=""),DATE(YEAR(AR93)+Menu!$E$13,MONTH(AR93)+Menu!$E$14,1),"")</f>
        <v/>
      </c>
      <c r="AT93" s="27"/>
      <c r="AU93" s="15" t="s">
        <v>138</v>
      </c>
      <c r="AV93" s="16" t="s">
        <v>135</v>
      </c>
      <c r="AW93" s="16" t="s">
        <v>135</v>
      </c>
      <c r="AX93" s="16" t="s">
        <v>135</v>
      </c>
      <c r="AY93" s="16" t="s">
        <v>135</v>
      </c>
      <c r="AZ93" s="16" t="s">
        <v>135</v>
      </c>
      <c r="BA93" s="16" t="s">
        <v>135</v>
      </c>
      <c r="BB93" s="16" t="s">
        <v>135</v>
      </c>
      <c r="BC93" s="16" t="s">
        <v>135</v>
      </c>
      <c r="BD93" s="16" t="s">
        <v>135</v>
      </c>
      <c r="BE93" s="16" t="s">
        <v>135</v>
      </c>
      <c r="BF93" s="16" t="s">
        <v>135</v>
      </c>
      <c r="BG93" s="16" t="s">
        <v>135</v>
      </c>
      <c r="BH93" s="16" t="s">
        <v>138</v>
      </c>
      <c r="BI93" s="16" t="s">
        <v>138</v>
      </c>
      <c r="BJ93" s="15" t="s">
        <v>138</v>
      </c>
      <c r="BK93" s="16" t="s">
        <v>138</v>
      </c>
      <c r="BL93" s="132"/>
      <c r="BY93" s="56">
        <v>0</v>
      </c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</row>
    <row r="94" spans="1:89" ht="13" x14ac:dyDescent="0.3">
      <c r="A94" s="135" t="s">
        <v>53</v>
      </c>
      <c r="B94" s="48">
        <v>115955</v>
      </c>
      <c r="C94" s="47" t="s">
        <v>201</v>
      </c>
      <c r="D94" s="49">
        <v>26018</v>
      </c>
      <c r="E94" s="49">
        <v>49765</v>
      </c>
      <c r="F94" s="47" t="s">
        <v>173</v>
      </c>
      <c r="G94" s="47">
        <v>2009</v>
      </c>
      <c r="H94" s="47" t="s">
        <v>134</v>
      </c>
      <c r="I94" s="41">
        <v>888</v>
      </c>
      <c r="J94" s="41">
        <v>0</v>
      </c>
      <c r="K94" s="41">
        <v>1</v>
      </c>
      <c r="L94" s="41">
        <v>0</v>
      </c>
      <c r="M94" s="41">
        <v>0</v>
      </c>
      <c r="N94" s="41">
        <v>1</v>
      </c>
      <c r="O94" s="138">
        <v>0</v>
      </c>
      <c r="P94" s="147">
        <v>1064894</v>
      </c>
      <c r="Q94" s="139">
        <v>1</v>
      </c>
      <c r="R94" s="139">
        <v>0</v>
      </c>
      <c r="S94" s="139">
        <v>0</v>
      </c>
      <c r="T94" s="140"/>
      <c r="U94" s="139">
        <f>-U252*3/12</f>
        <v>-32607.356250000001</v>
      </c>
      <c r="V94" s="141">
        <v>2036</v>
      </c>
      <c r="W94" s="141">
        <v>1</v>
      </c>
      <c r="X94" s="24"/>
      <c r="Y94" s="24"/>
      <c r="Z94" s="24"/>
      <c r="AA94" s="24">
        <v>37561</v>
      </c>
      <c r="AB94" s="24"/>
      <c r="AC94" s="24"/>
      <c r="AD94" s="24"/>
      <c r="AE94" s="24"/>
      <c r="AF94" s="24">
        <v>40087</v>
      </c>
      <c r="AG94" s="24">
        <v>42461</v>
      </c>
      <c r="AH94" s="31"/>
      <c r="AI94" s="46" t="str">
        <f t="shared" ref="AI94:AI102" si="10">IF(YEAR(E94)&lt;2018,YEAR(E94),"")</f>
        <v/>
      </c>
      <c r="AJ94" s="27"/>
      <c r="AK94" s="27"/>
      <c r="AL94" s="27"/>
      <c r="AM94" s="27"/>
      <c r="AN94" s="27"/>
      <c r="AO94" s="27"/>
      <c r="AP94" s="27"/>
      <c r="AQ94" s="29" t="str">
        <f>IF(AND(AD94&lt;&gt;"",AF94="",AG94=""),DATE(YEAR(AD94)+Menu!$E$10,MONTH(AD94)+Menu!$E$11,1),"")</f>
        <v/>
      </c>
      <c r="AR94" s="29">
        <f t="shared" si="9"/>
        <v>40087</v>
      </c>
      <c r="AS94" s="27" t="str">
        <f>IF(AND(AR94&lt;&gt;"",AH94="",AG94=""),DATE(YEAR(AR94)+Menu!$E$13,MONTH(AR94)+Menu!$E$14,1),"")</f>
        <v/>
      </c>
      <c r="AT94" s="27"/>
      <c r="AU94" s="15" t="s">
        <v>130</v>
      </c>
      <c r="AV94" s="15" t="s">
        <v>130</v>
      </c>
      <c r="AW94" s="15" t="s">
        <v>130</v>
      </c>
      <c r="AX94" s="15" t="s">
        <v>130</v>
      </c>
      <c r="AY94" s="15" t="s">
        <v>130</v>
      </c>
      <c r="AZ94" s="15" t="s">
        <v>130</v>
      </c>
      <c r="BA94" s="15" t="s">
        <v>130</v>
      </c>
      <c r="BB94" s="16" t="s">
        <v>134</v>
      </c>
      <c r="BC94" s="16" t="s">
        <v>134</v>
      </c>
      <c r="BD94" s="16" t="s">
        <v>134</v>
      </c>
      <c r="BE94" s="16" t="s">
        <v>134</v>
      </c>
      <c r="BF94" s="16" t="s">
        <v>134</v>
      </c>
      <c r="BG94" s="16" t="s">
        <v>134</v>
      </c>
      <c r="BH94" s="16" t="s">
        <v>134</v>
      </c>
      <c r="BI94" s="16" t="s">
        <v>135</v>
      </c>
      <c r="BJ94" s="15" t="s">
        <v>135</v>
      </c>
      <c r="BK94" s="15" t="s">
        <v>135</v>
      </c>
      <c r="BL94" s="131" t="s">
        <v>135</v>
      </c>
      <c r="BM94" t="s">
        <v>135</v>
      </c>
      <c r="BN94" t="s">
        <v>135</v>
      </c>
      <c r="BO94" t="s">
        <v>135</v>
      </c>
      <c r="BP94" t="s">
        <v>135</v>
      </c>
      <c r="BQ94" t="s">
        <v>135</v>
      </c>
      <c r="BR94" t="s">
        <v>135</v>
      </c>
      <c r="BS94" t="s">
        <v>135</v>
      </c>
      <c r="BT94" t="s">
        <v>135</v>
      </c>
      <c r="BU94" t="s">
        <v>135</v>
      </c>
      <c r="BV94" t="s">
        <v>135</v>
      </c>
      <c r="BW94" t="s">
        <v>135</v>
      </c>
      <c r="BX94" t="s">
        <v>135</v>
      </c>
      <c r="BY94" s="56">
        <v>1064894</v>
      </c>
      <c r="BZ94" s="56">
        <v>1000375</v>
      </c>
      <c r="CA94" s="56">
        <v>1000375</v>
      </c>
      <c r="CB94" s="56">
        <v>1000375</v>
      </c>
      <c r="CC94" s="56">
        <v>1000375</v>
      </c>
      <c r="CD94" s="56">
        <v>1000375</v>
      </c>
      <c r="CE94" s="56">
        <v>1000375</v>
      </c>
      <c r="CF94" s="56">
        <v>1000375</v>
      </c>
      <c r="CG94" s="56">
        <v>1000375</v>
      </c>
      <c r="CH94" s="56">
        <v>1000375</v>
      </c>
      <c r="CI94" s="56">
        <v>1000375</v>
      </c>
      <c r="CJ94" s="56">
        <v>1000375</v>
      </c>
      <c r="CK94" s="56">
        <v>1000375</v>
      </c>
    </row>
    <row r="95" spans="1:89" ht="13" x14ac:dyDescent="0.3">
      <c r="A95" s="135" t="s">
        <v>54</v>
      </c>
      <c r="B95" s="48">
        <v>122431</v>
      </c>
      <c r="C95" s="47" t="s">
        <v>196</v>
      </c>
      <c r="D95" s="49">
        <v>23821</v>
      </c>
      <c r="E95" s="49">
        <v>47573</v>
      </c>
      <c r="F95" s="47" t="s">
        <v>173</v>
      </c>
      <c r="G95" s="47"/>
      <c r="H95" s="47"/>
      <c r="I95" s="41">
        <v>418</v>
      </c>
      <c r="J95" s="41">
        <v>1</v>
      </c>
      <c r="K95" s="41">
        <v>0</v>
      </c>
      <c r="L95" s="41">
        <v>0</v>
      </c>
      <c r="M95" s="41">
        <v>0</v>
      </c>
      <c r="N95" s="41">
        <v>0</v>
      </c>
      <c r="O95" s="138">
        <v>0</v>
      </c>
      <c r="P95" s="147">
        <f>1083318-P202</f>
        <v>882115.42500000005</v>
      </c>
      <c r="Q95" s="139">
        <v>1</v>
      </c>
      <c r="R95" s="139">
        <v>1</v>
      </c>
      <c r="S95" s="139">
        <v>0</v>
      </c>
      <c r="T95" s="140"/>
      <c r="U95" s="139">
        <v>0</v>
      </c>
      <c r="V95" s="141"/>
      <c r="W95" s="141">
        <v>1</v>
      </c>
      <c r="X95" s="24"/>
      <c r="Y95" s="24"/>
      <c r="Z95" s="24"/>
      <c r="AA95" s="24"/>
      <c r="AB95" s="24"/>
      <c r="AC95" s="24"/>
      <c r="AD95" s="24">
        <v>37196</v>
      </c>
      <c r="AE95" s="24">
        <v>36069</v>
      </c>
      <c r="AF95" s="24">
        <v>38443</v>
      </c>
      <c r="AG95" s="24">
        <v>41061</v>
      </c>
      <c r="AH95" s="31"/>
      <c r="AI95" s="46" t="str">
        <f t="shared" si="10"/>
        <v/>
      </c>
      <c r="AJ95" s="27"/>
      <c r="AK95" s="27"/>
      <c r="AL95" s="27"/>
      <c r="AM95" s="27"/>
      <c r="AN95" s="27"/>
      <c r="AO95" s="27"/>
      <c r="AP95" s="27"/>
      <c r="AQ95" s="29" t="str">
        <f>IF(AND(AD95&lt;&gt;"",AF95="",AG95=""),DATE(YEAR(AD95)+Menu!$E$10,MONTH(AD95)+Menu!$E$11,1),"")</f>
        <v/>
      </c>
      <c r="AR95" s="29">
        <f t="shared" ref="AR95:AR127" si="11">IF(AF95&lt;&gt;0,AF95,AQ95)</f>
        <v>38443</v>
      </c>
      <c r="AS95" s="27" t="str">
        <f>IF(AND(AR95&lt;&gt;"",AH95="",AG95=""),DATE(YEAR(AR95)+Menu!$E$13,MONTH(AR95)+Menu!$E$14,1),"")</f>
        <v/>
      </c>
      <c r="AT95" s="27"/>
      <c r="AU95" s="16" t="s">
        <v>133</v>
      </c>
      <c r="AV95" s="16" t="s">
        <v>133</v>
      </c>
      <c r="AW95" s="16" t="s">
        <v>133</v>
      </c>
      <c r="AX95" s="16" t="s">
        <v>134</v>
      </c>
      <c r="AY95" s="16" t="s">
        <v>134</v>
      </c>
      <c r="AZ95" s="16" t="s">
        <v>134</v>
      </c>
      <c r="BA95" s="16" t="s">
        <v>134</v>
      </c>
      <c r="BB95" s="16" t="s">
        <v>134</v>
      </c>
      <c r="BC95" s="16" t="s">
        <v>134</v>
      </c>
      <c r="BD95" s="16" t="s">
        <v>134</v>
      </c>
      <c r="BE95" s="16" t="s">
        <v>135</v>
      </c>
      <c r="BF95" s="16" t="s">
        <v>135</v>
      </c>
      <c r="BG95" s="16" t="s">
        <v>135</v>
      </c>
      <c r="BH95" s="16" t="s">
        <v>135</v>
      </c>
      <c r="BI95" s="16" t="s">
        <v>135</v>
      </c>
      <c r="BJ95" s="15" t="s">
        <v>135</v>
      </c>
      <c r="BK95" s="15" t="s">
        <v>135</v>
      </c>
      <c r="BL95" s="131" t="s">
        <v>135</v>
      </c>
      <c r="BM95" t="s">
        <v>135</v>
      </c>
      <c r="BN95" t="s">
        <v>135</v>
      </c>
      <c r="BO95" t="s">
        <v>135</v>
      </c>
      <c r="BP95" t="s">
        <v>135</v>
      </c>
      <c r="BQ95" t="s">
        <v>135</v>
      </c>
      <c r="BR95" t="s">
        <v>135</v>
      </c>
      <c r="BS95" t="s">
        <v>135</v>
      </c>
      <c r="BT95" t="s">
        <v>135</v>
      </c>
      <c r="BU95" t="s">
        <v>135</v>
      </c>
      <c r="BV95" t="s">
        <v>135</v>
      </c>
      <c r="BW95" t="s">
        <v>138</v>
      </c>
      <c r="BX95" t="s">
        <v>138</v>
      </c>
      <c r="BY95" s="56">
        <v>882115.42500000005</v>
      </c>
      <c r="BZ95" s="56">
        <v>937952.92500000005</v>
      </c>
      <c r="CA95" s="56">
        <v>993790.42500000005</v>
      </c>
      <c r="CB95" s="56">
        <v>1000375</v>
      </c>
      <c r="CC95" s="56">
        <v>1000375</v>
      </c>
      <c r="CD95" s="56">
        <v>1000375</v>
      </c>
      <c r="CE95" s="56">
        <v>1000375</v>
      </c>
      <c r="CF95" s="56">
        <v>1000375</v>
      </c>
      <c r="CG95" s="56">
        <v>1000375</v>
      </c>
      <c r="CH95" s="56">
        <v>1000375</v>
      </c>
      <c r="CI95" s="56">
        <v>1000375</v>
      </c>
      <c r="CJ95" s="56">
        <v>250093.75</v>
      </c>
      <c r="CK95" s="56">
        <v>0</v>
      </c>
    </row>
    <row r="96" spans="1:89" ht="13" x14ac:dyDescent="0.3">
      <c r="A96" s="135" t="s">
        <v>55</v>
      </c>
      <c r="B96" s="48">
        <v>105468</v>
      </c>
      <c r="C96" s="47" t="s">
        <v>198</v>
      </c>
      <c r="D96" s="49">
        <v>18026</v>
      </c>
      <c r="E96" s="49">
        <v>41790</v>
      </c>
      <c r="F96" s="47" t="s">
        <v>173</v>
      </c>
      <c r="G96" s="47"/>
      <c r="H96" s="47"/>
      <c r="I96" s="40">
        <v>1005</v>
      </c>
      <c r="J96" s="41">
        <v>0</v>
      </c>
      <c r="K96" s="41">
        <v>0</v>
      </c>
      <c r="L96" s="41">
        <v>1</v>
      </c>
      <c r="M96" s="41">
        <v>0</v>
      </c>
      <c r="N96" s="41">
        <v>0</v>
      </c>
      <c r="O96" s="138">
        <v>0</v>
      </c>
      <c r="P96" s="147">
        <v>0</v>
      </c>
      <c r="Q96" s="139">
        <v>0</v>
      </c>
      <c r="R96" s="139">
        <v>0</v>
      </c>
      <c r="S96" s="139">
        <v>0</v>
      </c>
      <c r="T96" s="140"/>
      <c r="U96" s="139">
        <v>0</v>
      </c>
      <c r="V96" s="141"/>
      <c r="W96" s="141">
        <v>0</v>
      </c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31"/>
      <c r="AI96" s="46">
        <f t="shared" si="10"/>
        <v>2014</v>
      </c>
      <c r="AJ96" s="27"/>
      <c r="AK96" s="27"/>
      <c r="AL96" s="27"/>
      <c r="AM96" s="27"/>
      <c r="AN96" s="27"/>
      <c r="AO96" s="27"/>
      <c r="AP96" s="27"/>
      <c r="AQ96" s="29" t="str">
        <f>IF(AND(AD96&lt;&gt;"",AF96="",AG96=""),DATE(YEAR(AD96)+Menu!$E$10,MONTH(AD96)+Menu!$E$11,1),"")</f>
        <v/>
      </c>
      <c r="AR96" s="29" t="str">
        <f t="shared" si="11"/>
        <v/>
      </c>
      <c r="AS96" s="27" t="str">
        <f>IF(AND(AR96&lt;&gt;"",AH96="",AG96=""),DATE(YEAR(AR96)+Menu!$E$13,MONTH(AR96)+Menu!$E$14,1),"")</f>
        <v/>
      </c>
      <c r="AT96" s="27"/>
      <c r="AU96" s="16" t="s">
        <v>135</v>
      </c>
      <c r="AV96" s="16" t="s">
        <v>135</v>
      </c>
      <c r="AW96" s="16" t="s">
        <v>135</v>
      </c>
      <c r="AX96" s="16" t="s">
        <v>135</v>
      </c>
      <c r="AY96" s="16" t="s">
        <v>135</v>
      </c>
      <c r="AZ96" s="16" t="s">
        <v>135</v>
      </c>
      <c r="BA96" s="16" t="s">
        <v>135</v>
      </c>
      <c r="BB96" s="16" t="s">
        <v>135</v>
      </c>
      <c r="BC96" s="16" t="s">
        <v>135</v>
      </c>
      <c r="BD96" s="16" t="s">
        <v>135</v>
      </c>
      <c r="BE96" s="16" t="s">
        <v>135</v>
      </c>
      <c r="BF96" s="16" t="s">
        <v>135</v>
      </c>
      <c r="BG96" s="16" t="s">
        <v>136</v>
      </c>
      <c r="BH96" s="16" t="s">
        <v>136</v>
      </c>
      <c r="BI96" s="16" t="s">
        <v>136</v>
      </c>
      <c r="BJ96" s="15" t="s">
        <v>136</v>
      </c>
      <c r="BK96" s="15" t="s">
        <v>136</v>
      </c>
      <c r="BL96" s="131"/>
      <c r="BY96" s="56">
        <v>0</v>
      </c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</row>
    <row r="97" spans="1:89" ht="13" x14ac:dyDescent="0.3">
      <c r="A97" s="135" t="s">
        <v>56</v>
      </c>
      <c r="B97" s="48">
        <v>105470</v>
      </c>
      <c r="C97" s="47" t="s">
        <v>198</v>
      </c>
      <c r="D97" s="49">
        <v>17344</v>
      </c>
      <c r="E97" s="49">
        <v>41090</v>
      </c>
      <c r="F97" s="47" t="s">
        <v>173</v>
      </c>
      <c r="G97" s="47"/>
      <c r="H97" s="47"/>
      <c r="I97" s="40">
        <v>425</v>
      </c>
      <c r="J97" s="41">
        <v>0</v>
      </c>
      <c r="K97" s="41">
        <v>0</v>
      </c>
      <c r="L97" s="41">
        <v>1</v>
      </c>
      <c r="M97" s="41">
        <v>0</v>
      </c>
      <c r="N97" s="41">
        <v>0</v>
      </c>
      <c r="O97" s="138">
        <v>2</v>
      </c>
      <c r="P97" s="147">
        <v>0</v>
      </c>
      <c r="Q97" s="139">
        <v>0</v>
      </c>
      <c r="R97" s="139">
        <v>0</v>
      </c>
      <c r="S97" s="139">
        <v>0</v>
      </c>
      <c r="T97" s="140"/>
      <c r="U97" s="139">
        <v>0</v>
      </c>
      <c r="V97" s="141"/>
      <c r="W97" s="141">
        <v>0</v>
      </c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31"/>
      <c r="AI97" s="46">
        <f t="shared" si="10"/>
        <v>2012</v>
      </c>
      <c r="AJ97" s="27"/>
      <c r="AK97" s="27"/>
      <c r="AL97" s="27"/>
      <c r="AM97" s="27"/>
      <c r="AN97" s="27"/>
      <c r="AO97" s="27"/>
      <c r="AP97" s="27"/>
      <c r="AQ97" s="29" t="str">
        <f>IF(AND(AD97&lt;&gt;"",AF97="",AG97=""),DATE(YEAR(AD97)+Menu!$E$10,MONTH(AD97)+Menu!$E$11,1),"")</f>
        <v/>
      </c>
      <c r="AR97" s="29" t="str">
        <f t="shared" si="11"/>
        <v/>
      </c>
      <c r="AS97" s="27" t="str">
        <f>IF(AND(AR97&lt;&gt;"",AH97="",AG97=""),DATE(YEAR(AR97)+Menu!$E$13,MONTH(AR97)+Menu!$E$14,1),"")</f>
        <v/>
      </c>
      <c r="AT97" s="27"/>
      <c r="AU97" s="16" t="s">
        <v>131</v>
      </c>
      <c r="AV97" s="16" t="s">
        <v>131</v>
      </c>
      <c r="AW97" s="16" t="s">
        <v>131</v>
      </c>
      <c r="AX97" s="16" t="s">
        <v>131</v>
      </c>
      <c r="AY97" s="16" t="s">
        <v>131</v>
      </c>
      <c r="AZ97" s="16" t="s">
        <v>131</v>
      </c>
      <c r="BA97" s="16" t="s">
        <v>131</v>
      </c>
      <c r="BB97" s="16" t="s">
        <v>131</v>
      </c>
      <c r="BC97" s="16" t="s">
        <v>131</v>
      </c>
      <c r="BD97" s="16" t="s">
        <v>131</v>
      </c>
      <c r="BE97" s="16" t="s">
        <v>136</v>
      </c>
      <c r="BF97" s="16" t="s">
        <v>136</v>
      </c>
      <c r="BG97" s="16" t="s">
        <v>136</v>
      </c>
      <c r="BH97" s="16" t="s">
        <v>136</v>
      </c>
      <c r="BI97" s="16" t="s">
        <v>136</v>
      </c>
      <c r="BJ97" s="15" t="s">
        <v>136</v>
      </c>
      <c r="BK97" s="15" t="s">
        <v>136</v>
      </c>
      <c r="BL97" s="131"/>
      <c r="BY97" s="56">
        <v>0</v>
      </c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</row>
    <row r="98" spans="1:89" ht="13" x14ac:dyDescent="0.3">
      <c r="A98" s="135" t="s">
        <v>57</v>
      </c>
      <c r="B98" s="48">
        <v>185421</v>
      </c>
      <c r="C98" s="47" t="s">
        <v>201</v>
      </c>
      <c r="D98" s="49">
        <v>24677</v>
      </c>
      <c r="E98" s="49">
        <v>48060</v>
      </c>
      <c r="F98" s="47" t="s">
        <v>172</v>
      </c>
      <c r="G98" s="47"/>
      <c r="H98" s="47"/>
      <c r="I98" s="45">
        <v>1059</v>
      </c>
      <c r="J98" s="41">
        <v>0</v>
      </c>
      <c r="K98" s="41">
        <v>0</v>
      </c>
      <c r="L98" s="41">
        <v>0</v>
      </c>
      <c r="M98" s="41">
        <v>0</v>
      </c>
      <c r="N98" s="41">
        <v>1</v>
      </c>
      <c r="O98" s="138">
        <v>0</v>
      </c>
      <c r="P98" s="147">
        <v>0</v>
      </c>
      <c r="Q98" s="139">
        <v>0</v>
      </c>
      <c r="R98" s="139">
        <v>0</v>
      </c>
      <c r="S98" s="139">
        <v>0</v>
      </c>
      <c r="T98" s="140"/>
      <c r="U98" s="139">
        <v>0</v>
      </c>
      <c r="V98" s="141"/>
      <c r="W98" s="141">
        <v>0</v>
      </c>
      <c r="X98" s="24"/>
      <c r="Y98" s="24"/>
      <c r="Z98" s="24"/>
      <c r="AA98" s="24"/>
      <c r="AB98" s="24"/>
      <c r="AC98" s="24">
        <v>39540</v>
      </c>
      <c r="AD98" s="24"/>
      <c r="AE98" s="24"/>
      <c r="AF98" s="24"/>
      <c r="AG98" s="24"/>
      <c r="AH98" s="31"/>
      <c r="AI98" s="46" t="str">
        <f t="shared" si="10"/>
        <v/>
      </c>
      <c r="AJ98" s="27"/>
      <c r="AK98" s="27"/>
      <c r="AL98" s="27"/>
      <c r="AM98" s="27"/>
      <c r="AN98" s="27"/>
      <c r="AO98" s="27"/>
      <c r="AP98" s="27"/>
      <c r="AQ98" s="29" t="str">
        <f>IF(AND(AD98&lt;&gt;"",AF98="",AG98=""),DATE(YEAR(AD98)+Menu!$E$10,MONTH(AD98)+Menu!$E$11,1),"")</f>
        <v/>
      </c>
      <c r="AR98" s="29" t="str">
        <f t="shared" si="11"/>
        <v/>
      </c>
      <c r="AS98" s="27" t="str">
        <f>IF(AND(AR98&lt;&gt;"",AH98="",AG98=""),DATE(YEAR(AR98)+Menu!$E$13,MONTH(AR98)+Menu!$E$14,1),"")</f>
        <v/>
      </c>
      <c r="AT98" s="27"/>
      <c r="AU98" s="15" t="s">
        <v>138</v>
      </c>
      <c r="AV98" s="15" t="s">
        <v>138</v>
      </c>
      <c r="AW98" s="16" t="s">
        <v>138</v>
      </c>
      <c r="AX98" s="15" t="s">
        <v>138</v>
      </c>
      <c r="AY98" s="15" t="s">
        <v>138</v>
      </c>
      <c r="AZ98" s="15" t="s">
        <v>138</v>
      </c>
      <c r="BA98" s="16" t="s">
        <v>132</v>
      </c>
      <c r="BB98" s="16" t="s">
        <v>132</v>
      </c>
      <c r="BC98" s="16" t="s">
        <v>132</v>
      </c>
      <c r="BD98" s="16" t="s">
        <v>132</v>
      </c>
      <c r="BE98" s="16" t="s">
        <v>132</v>
      </c>
      <c r="BF98" s="16" t="s">
        <v>132</v>
      </c>
      <c r="BG98" s="16" t="s">
        <v>132</v>
      </c>
      <c r="BH98" s="16" t="s">
        <v>132</v>
      </c>
      <c r="BI98" s="16" t="s">
        <v>132</v>
      </c>
      <c r="BJ98" s="16" t="s">
        <v>132</v>
      </c>
      <c r="BK98" s="16" t="s">
        <v>132</v>
      </c>
      <c r="BL98" s="132" t="s">
        <v>132</v>
      </c>
      <c r="BM98" t="s">
        <v>132</v>
      </c>
      <c r="BN98" t="s">
        <v>132</v>
      </c>
      <c r="BO98" t="s">
        <v>132</v>
      </c>
      <c r="BP98" t="s">
        <v>132</v>
      </c>
      <c r="BQ98" t="s">
        <v>132</v>
      </c>
      <c r="BR98" t="s">
        <v>132</v>
      </c>
      <c r="BS98" t="s">
        <v>132</v>
      </c>
      <c r="BT98" t="s">
        <v>132</v>
      </c>
      <c r="BU98" t="s">
        <v>132</v>
      </c>
      <c r="BV98" t="s">
        <v>132</v>
      </c>
      <c r="BW98" t="s">
        <v>132</v>
      </c>
      <c r="BX98" t="s">
        <v>132</v>
      </c>
      <c r="BY98" s="56">
        <v>0</v>
      </c>
      <c r="BZ98" s="56">
        <v>0</v>
      </c>
      <c r="CA98" s="56">
        <v>0</v>
      </c>
      <c r="CB98" s="56">
        <v>0</v>
      </c>
      <c r="CC98" s="56">
        <v>0</v>
      </c>
      <c r="CD98" s="56">
        <v>0</v>
      </c>
      <c r="CE98" s="56">
        <v>0</v>
      </c>
      <c r="CF98" s="56">
        <v>0</v>
      </c>
      <c r="CG98" s="56">
        <v>0</v>
      </c>
      <c r="CH98" s="56">
        <v>0</v>
      </c>
      <c r="CI98" s="56">
        <v>0</v>
      </c>
      <c r="CJ98" s="56">
        <v>0</v>
      </c>
      <c r="CK98" s="56">
        <v>0</v>
      </c>
    </row>
    <row r="99" spans="1:89" ht="13" x14ac:dyDescent="0.3">
      <c r="A99" s="135" t="s">
        <v>58</v>
      </c>
      <c r="B99" s="48">
        <v>207237</v>
      </c>
      <c r="C99" s="47" t="s">
        <v>197</v>
      </c>
      <c r="D99" s="49">
        <v>28150</v>
      </c>
      <c r="E99" s="49">
        <v>51897</v>
      </c>
      <c r="F99" s="47" t="s">
        <v>173</v>
      </c>
      <c r="G99" s="47">
        <v>2011</v>
      </c>
      <c r="H99" s="47" t="s">
        <v>133</v>
      </c>
      <c r="I99" s="41">
        <v>364</v>
      </c>
      <c r="J99" s="41">
        <v>0</v>
      </c>
      <c r="K99" s="41">
        <v>1</v>
      </c>
      <c r="L99" s="41">
        <v>0</v>
      </c>
      <c r="M99" s="41">
        <v>0</v>
      </c>
      <c r="N99" s="41">
        <v>0</v>
      </c>
      <c r="O99" s="138">
        <v>0</v>
      </c>
      <c r="P99" s="147">
        <v>701932.75</v>
      </c>
      <c r="Q99" s="139">
        <v>1</v>
      </c>
      <c r="R99" s="139">
        <v>0</v>
      </c>
      <c r="S99" s="139">
        <v>0</v>
      </c>
      <c r="T99" s="140"/>
      <c r="U99" s="139">
        <v>0</v>
      </c>
      <c r="V99" s="141"/>
      <c r="W99" s="141">
        <v>1</v>
      </c>
      <c r="X99" s="24"/>
      <c r="Y99" s="24"/>
      <c r="Z99" s="24"/>
      <c r="AA99" s="24"/>
      <c r="AB99" s="24"/>
      <c r="AC99" s="24"/>
      <c r="AD99" s="24">
        <v>40575</v>
      </c>
      <c r="AE99" s="24"/>
      <c r="AF99" s="24">
        <v>42948</v>
      </c>
      <c r="AG99" s="24"/>
      <c r="AH99" s="31"/>
      <c r="AI99" s="46" t="str">
        <f t="shared" si="10"/>
        <v/>
      </c>
      <c r="AJ99" s="27"/>
      <c r="AK99" s="27"/>
      <c r="AL99" s="27"/>
      <c r="AM99" s="27"/>
      <c r="AN99" s="27"/>
      <c r="AO99" s="27"/>
      <c r="AP99" s="27"/>
      <c r="AQ99" s="29" t="str">
        <f>IF(AND(AD99&lt;&gt;"",AF99="",AG99=""),DATE(YEAR(AD99)+Menu!$E$10,MONTH(AD99)+Menu!$E$11,1),"")</f>
        <v/>
      </c>
      <c r="AR99" s="29">
        <f t="shared" si="11"/>
        <v>42948</v>
      </c>
      <c r="AS99" s="27">
        <f>IF(AND(AR99&lt;&gt;"",AH99="",AG99=""),DATE(YEAR(AR99)+Menu!$E$13,MONTH(AR99)+Menu!$E$14,1),"")</f>
        <v>45413</v>
      </c>
      <c r="AT99" s="27"/>
      <c r="AU99" s="15" t="s">
        <v>138</v>
      </c>
      <c r="AV99" s="15" t="s">
        <v>138</v>
      </c>
      <c r="AW99" s="16" t="s">
        <v>138</v>
      </c>
      <c r="AX99" s="15" t="s">
        <v>138</v>
      </c>
      <c r="AY99" s="15" t="s">
        <v>138</v>
      </c>
      <c r="AZ99" s="15" t="s">
        <v>138</v>
      </c>
      <c r="BA99" s="15" t="s">
        <v>138</v>
      </c>
      <c r="BB99" s="15" t="s">
        <v>138</v>
      </c>
      <c r="BC99" s="15" t="s">
        <v>138</v>
      </c>
      <c r="BD99" s="16" t="s">
        <v>133</v>
      </c>
      <c r="BE99" s="16" t="s">
        <v>133</v>
      </c>
      <c r="BF99" s="16" t="s">
        <v>133</v>
      </c>
      <c r="BG99" s="16" t="s">
        <v>133</v>
      </c>
      <c r="BH99" s="16" t="s">
        <v>133</v>
      </c>
      <c r="BI99" s="16" t="s">
        <v>133</v>
      </c>
      <c r="BJ99" s="15" t="s">
        <v>134</v>
      </c>
      <c r="BK99" s="15" t="s">
        <v>134</v>
      </c>
      <c r="BL99" s="131" t="s">
        <v>134</v>
      </c>
      <c r="BM99" t="s">
        <v>134</v>
      </c>
      <c r="BN99" t="s">
        <v>134</v>
      </c>
      <c r="BO99" t="s">
        <v>134</v>
      </c>
      <c r="BP99" t="s">
        <v>134</v>
      </c>
      <c r="BQ99" t="s">
        <v>135</v>
      </c>
      <c r="BR99" t="s">
        <v>135</v>
      </c>
      <c r="BS99" t="s">
        <v>135</v>
      </c>
      <c r="BT99" t="s">
        <v>135</v>
      </c>
      <c r="BU99" t="s">
        <v>135</v>
      </c>
      <c r="BV99" t="s">
        <v>135</v>
      </c>
      <c r="BW99" t="s">
        <v>135</v>
      </c>
      <c r="BX99" t="s">
        <v>135</v>
      </c>
      <c r="BY99" s="56">
        <v>701932.75</v>
      </c>
      <c r="BZ99" s="56">
        <v>721188</v>
      </c>
      <c r="CA99" s="56">
        <v>721188</v>
      </c>
      <c r="CB99" s="56">
        <v>721188</v>
      </c>
      <c r="CC99" s="56">
        <v>721188</v>
      </c>
      <c r="CD99" s="56">
        <v>758413</v>
      </c>
      <c r="CE99" s="56">
        <v>814250.5</v>
      </c>
      <c r="CF99" s="56">
        <v>870088</v>
      </c>
      <c r="CG99" s="56">
        <v>925925.5</v>
      </c>
      <c r="CH99" s="56">
        <v>981763</v>
      </c>
      <c r="CI99" s="56">
        <v>1000375</v>
      </c>
      <c r="CJ99" s="56">
        <v>1000375</v>
      </c>
      <c r="CK99" s="56">
        <v>1000375</v>
      </c>
    </row>
    <row r="100" spans="1:89" ht="13" x14ac:dyDescent="0.3">
      <c r="A100" s="135" t="s">
        <v>150</v>
      </c>
      <c r="B100" s="48">
        <v>0</v>
      </c>
      <c r="C100" s="47" t="s">
        <v>200</v>
      </c>
      <c r="D100" s="49">
        <v>15105</v>
      </c>
      <c r="E100" s="49">
        <v>39021</v>
      </c>
      <c r="F100" s="47" t="s">
        <v>173</v>
      </c>
      <c r="G100" s="47"/>
      <c r="H100" s="47"/>
      <c r="I100" s="40">
        <v>0</v>
      </c>
      <c r="J100" s="41">
        <v>0</v>
      </c>
      <c r="K100" s="41">
        <v>0</v>
      </c>
      <c r="L100" s="41">
        <v>0</v>
      </c>
      <c r="M100" s="41">
        <v>1</v>
      </c>
      <c r="N100" s="41">
        <v>0</v>
      </c>
      <c r="O100" s="138">
        <v>0</v>
      </c>
      <c r="P100" s="147">
        <v>0</v>
      </c>
      <c r="Q100" s="139">
        <v>0</v>
      </c>
      <c r="R100" s="139">
        <v>0</v>
      </c>
      <c r="S100" s="139">
        <v>0</v>
      </c>
      <c r="T100" s="140"/>
      <c r="U100" s="139">
        <v>0</v>
      </c>
      <c r="V100" s="141"/>
      <c r="W100" s="141">
        <v>0</v>
      </c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31"/>
      <c r="AI100" s="46">
        <f t="shared" si="10"/>
        <v>2006</v>
      </c>
      <c r="AJ100" s="27"/>
      <c r="AK100" s="27"/>
      <c r="AL100" s="27"/>
      <c r="AM100" s="27"/>
      <c r="AN100" s="27"/>
      <c r="AO100" s="27"/>
      <c r="AP100" s="27"/>
      <c r="AQ100" s="29" t="str">
        <f>IF(AND(AD100&lt;&gt;"",AF100="",AG100=""),DATE(YEAR(AD100)+Menu!$E$10,MONTH(AD100)+Menu!$E$11,1),"")</f>
        <v/>
      </c>
      <c r="AR100" s="29" t="str">
        <f t="shared" si="11"/>
        <v/>
      </c>
      <c r="AS100" s="27" t="str">
        <f>IF(AND(AR100&lt;&gt;"",AH100="",AG100=""),DATE(YEAR(AR100)+Menu!$E$13,MONTH(AR100)+Menu!$E$14,1),"")</f>
        <v/>
      </c>
      <c r="AT100" s="27"/>
      <c r="AU100" s="15" t="s">
        <v>135</v>
      </c>
      <c r="AV100" s="15" t="s">
        <v>135</v>
      </c>
      <c r="AW100" s="16" t="s">
        <v>135</v>
      </c>
      <c r="AX100" s="16" t="s">
        <v>135</v>
      </c>
      <c r="AY100" s="16" t="s">
        <v>136</v>
      </c>
      <c r="AZ100" s="16" t="s">
        <v>136</v>
      </c>
      <c r="BA100" s="16" t="s">
        <v>136</v>
      </c>
      <c r="BB100" s="16" t="s">
        <v>136</v>
      </c>
      <c r="BC100" s="16" t="s">
        <v>136</v>
      </c>
      <c r="BD100" s="16" t="s">
        <v>136</v>
      </c>
      <c r="BE100" s="16" t="s">
        <v>136</v>
      </c>
      <c r="BF100" s="16" t="s">
        <v>136</v>
      </c>
      <c r="BG100" s="16" t="s">
        <v>136</v>
      </c>
      <c r="BH100" s="16" t="s">
        <v>136</v>
      </c>
      <c r="BI100" s="16" t="s">
        <v>136</v>
      </c>
      <c r="BJ100" s="15" t="s">
        <v>136</v>
      </c>
      <c r="BK100" s="15" t="s">
        <v>136</v>
      </c>
      <c r="BL100" s="131"/>
      <c r="BY100" s="56">
        <v>0</v>
      </c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</row>
    <row r="101" spans="1:89" ht="13" x14ac:dyDescent="0.3">
      <c r="A101" s="135" t="s">
        <v>236</v>
      </c>
      <c r="B101" s="148">
        <v>139973</v>
      </c>
      <c r="C101" s="47" t="s">
        <v>197</v>
      </c>
      <c r="D101" s="49">
        <v>23641</v>
      </c>
      <c r="E101" s="49">
        <v>47391</v>
      </c>
      <c r="F101" s="47" t="s">
        <v>173</v>
      </c>
      <c r="G101" s="47"/>
      <c r="H101" s="47"/>
      <c r="I101" s="41">
        <v>311</v>
      </c>
      <c r="J101" s="41">
        <v>0</v>
      </c>
      <c r="K101" s="41">
        <v>1</v>
      </c>
      <c r="L101" s="41">
        <v>0</v>
      </c>
      <c r="M101" s="41">
        <v>0</v>
      </c>
      <c r="N101" s="41">
        <v>0</v>
      </c>
      <c r="O101" s="138">
        <v>0</v>
      </c>
      <c r="P101" s="147">
        <v>0</v>
      </c>
      <c r="Q101" s="139">
        <v>1</v>
      </c>
      <c r="R101" s="139">
        <v>0</v>
      </c>
      <c r="S101" s="139">
        <v>0</v>
      </c>
      <c r="T101" s="140"/>
      <c r="U101" s="139">
        <v>0</v>
      </c>
      <c r="V101" s="141"/>
      <c r="W101" s="141">
        <v>1</v>
      </c>
      <c r="X101" s="24"/>
      <c r="Y101" s="24">
        <v>39741</v>
      </c>
      <c r="Z101" s="24"/>
      <c r="AA101" s="24"/>
      <c r="AB101" s="24"/>
      <c r="AC101" s="24"/>
      <c r="AD101" s="24"/>
      <c r="AE101" s="24"/>
      <c r="AF101" s="24"/>
      <c r="AG101" s="24"/>
      <c r="AH101" s="31"/>
      <c r="AI101" s="46" t="str">
        <f t="shared" si="10"/>
        <v/>
      </c>
      <c r="AJ101" s="27"/>
      <c r="AK101" s="27"/>
      <c r="AL101" s="27"/>
      <c r="AM101" s="27"/>
      <c r="AN101" s="27"/>
      <c r="AO101" s="27"/>
      <c r="AP101" s="27"/>
      <c r="AQ101" s="29" t="str">
        <f>IF(AND(AD101&lt;&gt;"",AF101="",AG101=""),DATE(YEAR(AD101)+Menu!$E$10,MONTH(AD101)+Menu!$E$11,1),"")</f>
        <v/>
      </c>
      <c r="AR101" s="29" t="str">
        <f t="shared" si="11"/>
        <v/>
      </c>
      <c r="AS101" s="27" t="str">
        <f>IF(AND(AR101&lt;&gt;"",AH101="",AG101=""),DATE(YEAR(AR101)+Menu!$E$13,MONTH(AR101)+Menu!$E$14,1),"")</f>
        <v/>
      </c>
      <c r="AT101" s="27"/>
      <c r="AU101" s="15" t="s">
        <v>138</v>
      </c>
      <c r="AV101" s="15" t="s">
        <v>138</v>
      </c>
      <c r="AW101" s="16" t="s">
        <v>138</v>
      </c>
      <c r="AX101" s="15" t="s">
        <v>138</v>
      </c>
      <c r="AY101" s="15" t="s">
        <v>138</v>
      </c>
      <c r="AZ101" s="15" t="s">
        <v>138</v>
      </c>
      <c r="BA101" s="16" t="s">
        <v>129</v>
      </c>
      <c r="BB101" s="16" t="s">
        <v>129</v>
      </c>
      <c r="BC101" s="16" t="s">
        <v>129</v>
      </c>
      <c r="BD101" s="16" t="s">
        <v>129</v>
      </c>
      <c r="BE101" s="16" t="s">
        <v>129</v>
      </c>
      <c r="BF101" s="16" t="s">
        <v>129</v>
      </c>
      <c r="BG101" s="16" t="s">
        <v>129</v>
      </c>
      <c r="BH101" s="16" t="s">
        <v>129</v>
      </c>
      <c r="BI101" s="16" t="s">
        <v>129</v>
      </c>
      <c r="BJ101" s="15" t="s">
        <v>129</v>
      </c>
      <c r="BK101" s="15" t="s">
        <v>129</v>
      </c>
      <c r="BL101" s="131" t="s">
        <v>129</v>
      </c>
      <c r="BM101" t="s">
        <v>129</v>
      </c>
      <c r="BN101" t="s">
        <v>129</v>
      </c>
      <c r="BO101" t="s">
        <v>129</v>
      </c>
      <c r="BP101" t="s">
        <v>129</v>
      </c>
      <c r="BQ101" t="s">
        <v>129</v>
      </c>
      <c r="BR101" t="s">
        <v>129</v>
      </c>
      <c r="BS101" t="s">
        <v>129</v>
      </c>
      <c r="BT101" t="s">
        <v>129</v>
      </c>
      <c r="BU101" t="s">
        <v>129</v>
      </c>
      <c r="BV101" t="s">
        <v>129</v>
      </c>
      <c r="BW101" t="s">
        <v>138</v>
      </c>
      <c r="BX101" t="s">
        <v>138</v>
      </c>
      <c r="BY101" s="56">
        <v>0</v>
      </c>
      <c r="BZ101" s="56">
        <v>0</v>
      </c>
      <c r="CA101" s="56">
        <v>0</v>
      </c>
      <c r="CB101" s="56">
        <v>0</v>
      </c>
      <c r="CC101" s="56">
        <v>0</v>
      </c>
      <c r="CD101" s="56">
        <v>0</v>
      </c>
      <c r="CE101" s="56">
        <v>0</v>
      </c>
      <c r="CF101" s="56">
        <v>0</v>
      </c>
      <c r="CG101" s="56">
        <v>0</v>
      </c>
      <c r="CH101" s="56">
        <v>0</v>
      </c>
      <c r="CI101" s="56">
        <v>0</v>
      </c>
      <c r="CJ101" s="56">
        <v>0</v>
      </c>
      <c r="CK101" s="56">
        <v>0</v>
      </c>
    </row>
    <row r="102" spans="1:89" ht="13" x14ac:dyDescent="0.3">
      <c r="A102" s="135" t="s">
        <v>59</v>
      </c>
      <c r="B102" s="48">
        <v>105539</v>
      </c>
      <c r="C102" s="47" t="s">
        <v>196</v>
      </c>
      <c r="D102" s="49">
        <v>19106</v>
      </c>
      <c r="E102" s="49">
        <v>42855</v>
      </c>
      <c r="F102" s="47" t="s">
        <v>173</v>
      </c>
      <c r="G102" s="47"/>
      <c r="H102" s="47"/>
      <c r="I102" s="40">
        <v>394</v>
      </c>
      <c r="J102" s="41">
        <v>1</v>
      </c>
      <c r="K102" s="41">
        <v>0</v>
      </c>
      <c r="L102" s="41">
        <v>0</v>
      </c>
      <c r="M102" s="41">
        <v>0</v>
      </c>
      <c r="N102" s="41">
        <v>0</v>
      </c>
      <c r="O102" s="138">
        <v>0</v>
      </c>
      <c r="P102" s="147">
        <v>0</v>
      </c>
      <c r="Q102" s="139">
        <v>0</v>
      </c>
      <c r="R102" s="139">
        <v>0</v>
      </c>
      <c r="S102" s="139">
        <v>0</v>
      </c>
      <c r="T102" s="140"/>
      <c r="U102" s="139">
        <v>0</v>
      </c>
      <c r="V102" s="141"/>
      <c r="W102" s="141">
        <v>0</v>
      </c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31"/>
      <c r="AI102" s="46">
        <f t="shared" si="10"/>
        <v>2017</v>
      </c>
      <c r="AJ102" s="27"/>
      <c r="AK102" s="27"/>
      <c r="AL102" s="27"/>
      <c r="AM102" s="27"/>
      <c r="AN102" s="27"/>
      <c r="AO102" s="27"/>
      <c r="AP102" s="27"/>
      <c r="AQ102" s="29" t="str">
        <f>IF(AND(AD102&lt;&gt;"",AF102="",AG102=""),DATE(YEAR(AD102)+Menu!$E$10,MONTH(AD102)+Menu!$E$11,1),"")</f>
        <v/>
      </c>
      <c r="AR102" s="29" t="str">
        <f t="shared" si="11"/>
        <v/>
      </c>
      <c r="AS102" s="27" t="str">
        <f>IF(AND(AR102&lt;&gt;"",AH102="",AG102=""),DATE(YEAR(AR102)+Menu!$E$13,MONTH(AR102)+Menu!$E$14,1),"")</f>
        <v/>
      </c>
      <c r="AT102" s="27"/>
      <c r="AU102" s="15" t="s">
        <v>138</v>
      </c>
      <c r="AV102" s="15" t="s">
        <v>138</v>
      </c>
      <c r="AW102" s="16" t="s">
        <v>138</v>
      </c>
      <c r="AX102" s="15" t="s">
        <v>138</v>
      </c>
      <c r="AY102" s="15" t="s">
        <v>138</v>
      </c>
      <c r="AZ102" s="15" t="s">
        <v>138</v>
      </c>
      <c r="BA102" s="15" t="s">
        <v>138</v>
      </c>
      <c r="BB102" s="15" t="s">
        <v>138</v>
      </c>
      <c r="BC102" s="15" t="s">
        <v>138</v>
      </c>
      <c r="BD102" s="16" t="s">
        <v>129</v>
      </c>
      <c r="BE102" s="16" t="s">
        <v>129</v>
      </c>
      <c r="BF102" s="16" t="s">
        <v>129</v>
      </c>
      <c r="BG102" s="16" t="s">
        <v>129</v>
      </c>
      <c r="BH102" s="16" t="s">
        <v>129</v>
      </c>
      <c r="BI102" s="16" t="s">
        <v>129</v>
      </c>
      <c r="BJ102" s="15" t="s">
        <v>138</v>
      </c>
      <c r="BK102" s="15" t="s">
        <v>138</v>
      </c>
      <c r="BL102" s="131"/>
      <c r="BY102" s="56">
        <v>0</v>
      </c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</row>
    <row r="103" spans="1:89" ht="13" x14ac:dyDescent="0.3">
      <c r="A103" s="135" t="s">
        <v>157</v>
      </c>
      <c r="B103" s="48">
        <v>190694</v>
      </c>
      <c r="C103" s="47" t="s">
        <v>200</v>
      </c>
      <c r="D103" s="49">
        <v>21645</v>
      </c>
      <c r="E103" s="49">
        <v>45412</v>
      </c>
      <c r="F103" s="47" t="s">
        <v>173</v>
      </c>
      <c r="G103" s="47"/>
      <c r="H103" s="47"/>
      <c r="I103" s="40">
        <v>827</v>
      </c>
      <c r="J103" s="41">
        <v>0</v>
      </c>
      <c r="K103" s="41">
        <v>0</v>
      </c>
      <c r="L103" s="41">
        <v>0</v>
      </c>
      <c r="M103" s="41">
        <v>1</v>
      </c>
      <c r="N103" s="41">
        <v>0</v>
      </c>
      <c r="O103" s="138">
        <v>0</v>
      </c>
      <c r="P103" s="147">
        <v>0</v>
      </c>
      <c r="Q103" s="139">
        <v>0</v>
      </c>
      <c r="R103" s="139">
        <v>0</v>
      </c>
      <c r="S103" s="139">
        <v>0</v>
      </c>
      <c r="T103" s="140"/>
      <c r="U103" s="139">
        <v>0</v>
      </c>
      <c r="V103" s="141"/>
      <c r="W103" s="141">
        <v>0</v>
      </c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31"/>
      <c r="AI103" s="46">
        <v>2010</v>
      </c>
      <c r="AJ103" s="27"/>
      <c r="AK103" s="27"/>
      <c r="AL103" s="27"/>
      <c r="AM103" s="27"/>
      <c r="AN103" s="27"/>
      <c r="AO103" s="27"/>
      <c r="AP103" s="27"/>
      <c r="AQ103" s="29" t="str">
        <f>IF(AND(AD103&lt;&gt;"",AF103="",AG103=""),DATE(YEAR(AD103)+Menu!$E$10,MONTH(AD103)+Menu!$E$11,1),"")</f>
        <v/>
      </c>
      <c r="AR103" s="29" t="str">
        <f t="shared" si="11"/>
        <v/>
      </c>
      <c r="AS103" s="27" t="str">
        <f>IF(AND(AR103&lt;&gt;"",AH103="",AG103=""),DATE(YEAR(AR103)+Menu!$E$13,MONTH(AR103)+Menu!$E$14,1),"")</f>
        <v/>
      </c>
      <c r="AT103" s="27"/>
      <c r="AU103" s="15" t="s">
        <v>138</v>
      </c>
      <c r="AV103" s="15" t="s">
        <v>138</v>
      </c>
      <c r="AW103" s="16" t="s">
        <v>138</v>
      </c>
      <c r="AX103" s="15" t="s">
        <v>138</v>
      </c>
      <c r="AY103" s="15" t="s">
        <v>138</v>
      </c>
      <c r="AZ103" s="15" t="s">
        <v>138</v>
      </c>
      <c r="BA103" s="15" t="s">
        <v>138</v>
      </c>
      <c r="BB103" s="16" t="s">
        <v>135</v>
      </c>
      <c r="BC103" s="15" t="s">
        <v>138</v>
      </c>
      <c r="BD103" s="15" t="s">
        <v>138</v>
      </c>
      <c r="BE103" s="15" t="s">
        <v>138</v>
      </c>
      <c r="BF103" s="16" t="s">
        <v>138</v>
      </c>
      <c r="BG103" s="16" t="s">
        <v>138</v>
      </c>
      <c r="BH103" s="16" t="s">
        <v>138</v>
      </c>
      <c r="BI103" s="16" t="s">
        <v>138</v>
      </c>
      <c r="BJ103" s="15" t="s">
        <v>138</v>
      </c>
      <c r="BK103" s="15" t="s">
        <v>138</v>
      </c>
      <c r="BL103" s="131"/>
      <c r="BY103" s="56">
        <v>0</v>
      </c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</row>
    <row r="104" spans="1:89" ht="13" x14ac:dyDescent="0.3">
      <c r="A104" s="135" t="s">
        <v>60</v>
      </c>
      <c r="B104" s="48">
        <v>105540</v>
      </c>
      <c r="C104" s="47" t="s">
        <v>196</v>
      </c>
      <c r="D104" s="49">
        <v>21887</v>
      </c>
      <c r="E104" s="49">
        <v>44196</v>
      </c>
      <c r="F104" s="47" t="s">
        <v>173</v>
      </c>
      <c r="G104" s="47"/>
      <c r="H104" s="47"/>
      <c r="I104" s="41">
        <v>434</v>
      </c>
      <c r="J104" s="41">
        <v>1</v>
      </c>
      <c r="K104" s="41">
        <v>0</v>
      </c>
      <c r="L104" s="41">
        <v>0</v>
      </c>
      <c r="M104" s="41">
        <v>0</v>
      </c>
      <c r="N104" s="41">
        <v>0</v>
      </c>
      <c r="O104" s="138">
        <v>1</v>
      </c>
      <c r="P104" s="147">
        <f>367085-P229</f>
        <v>296795.72499999998</v>
      </c>
      <c r="Q104" s="139">
        <v>1</v>
      </c>
      <c r="R104" s="139">
        <v>0</v>
      </c>
      <c r="S104" s="139">
        <v>0</v>
      </c>
      <c r="T104" s="140"/>
      <c r="U104" s="139">
        <v>0</v>
      </c>
      <c r="V104" s="141"/>
      <c r="W104" s="141">
        <v>1</v>
      </c>
      <c r="X104" s="24"/>
      <c r="Y104" s="24"/>
      <c r="Z104" s="24"/>
      <c r="AA104" s="24"/>
      <c r="AB104" s="24">
        <v>36300</v>
      </c>
      <c r="AC104" s="24"/>
      <c r="AD104" s="24"/>
      <c r="AE104" s="24"/>
      <c r="AF104" s="24"/>
      <c r="AG104" s="24"/>
      <c r="AH104" s="31"/>
      <c r="AI104" s="46" t="str">
        <f t="shared" ref="AI104:AI114" si="12">IF(YEAR(E104)&lt;2018,YEAR(E104),"")</f>
        <v/>
      </c>
      <c r="AJ104" s="27"/>
      <c r="AK104" s="27"/>
      <c r="AL104" s="27"/>
      <c r="AM104" s="27"/>
      <c r="AN104" s="27"/>
      <c r="AO104" s="27"/>
      <c r="AP104" s="27"/>
      <c r="AQ104" s="29" t="str">
        <f>IF(AND(AD104&lt;&gt;"",AF104="",AG104=""),DATE(YEAR(AD104)+Menu!$E$10,MONTH(AD104)+Menu!$E$11,1),"")</f>
        <v/>
      </c>
      <c r="AR104" s="29" t="str">
        <f t="shared" si="11"/>
        <v/>
      </c>
      <c r="AS104" s="27" t="str">
        <f>IF(AND(AR104&lt;&gt;"",AH104="",AG104=""),DATE(YEAR(AR104)+Menu!$E$13,MONTH(AR104)+Menu!$E$14,1),"")</f>
        <v/>
      </c>
      <c r="AT104" s="27"/>
      <c r="AU104" s="16" t="s">
        <v>131</v>
      </c>
      <c r="AV104" s="16" t="s">
        <v>131</v>
      </c>
      <c r="AW104" s="16" t="s">
        <v>131</v>
      </c>
      <c r="AX104" s="16" t="s">
        <v>131</v>
      </c>
      <c r="AY104" s="16" t="s">
        <v>131</v>
      </c>
      <c r="AZ104" s="16" t="s">
        <v>131</v>
      </c>
      <c r="BA104" s="16" t="s">
        <v>131</v>
      </c>
      <c r="BB104" s="16" t="s">
        <v>131</v>
      </c>
      <c r="BC104" s="16" t="s">
        <v>131</v>
      </c>
      <c r="BD104" s="16" t="s">
        <v>131</v>
      </c>
      <c r="BE104" s="16" t="s">
        <v>131</v>
      </c>
      <c r="BF104" s="16" t="s">
        <v>131</v>
      </c>
      <c r="BG104" s="16" t="s">
        <v>131</v>
      </c>
      <c r="BH104" s="16" t="s">
        <v>131</v>
      </c>
      <c r="BI104" s="16" t="s">
        <v>131</v>
      </c>
      <c r="BJ104" s="15" t="s">
        <v>131</v>
      </c>
      <c r="BK104" s="15" t="s">
        <v>131</v>
      </c>
      <c r="BL104" s="131" t="s">
        <v>131</v>
      </c>
      <c r="BM104" t="s">
        <v>131</v>
      </c>
      <c r="BN104" t="s">
        <v>138</v>
      </c>
      <c r="BO104" t="s">
        <v>138</v>
      </c>
      <c r="BP104" t="s">
        <v>138</v>
      </c>
      <c r="BQ104" t="s">
        <v>138</v>
      </c>
      <c r="BR104" t="s">
        <v>138</v>
      </c>
      <c r="BS104" t="s">
        <v>138</v>
      </c>
      <c r="BT104" t="s">
        <v>138</v>
      </c>
      <c r="BU104" t="s">
        <v>138</v>
      </c>
      <c r="BV104" t="s">
        <v>138</v>
      </c>
      <c r="BW104" t="s">
        <v>138</v>
      </c>
      <c r="BX104" t="s">
        <v>138</v>
      </c>
      <c r="BY104" s="56">
        <v>296795.72499999998</v>
      </c>
      <c r="BZ104" s="56">
        <v>296795.72499999998</v>
      </c>
      <c r="CA104" s="56">
        <v>0</v>
      </c>
      <c r="CB104" s="56">
        <v>0</v>
      </c>
      <c r="CC104" s="56">
        <v>0</v>
      </c>
      <c r="CD104" s="56">
        <v>0</v>
      </c>
      <c r="CE104" s="56">
        <v>0</v>
      </c>
      <c r="CF104" s="56">
        <v>0</v>
      </c>
      <c r="CG104" s="56">
        <v>0</v>
      </c>
      <c r="CH104" s="56">
        <v>0</v>
      </c>
      <c r="CI104" s="56">
        <v>0</v>
      </c>
      <c r="CJ104" s="56">
        <v>0</v>
      </c>
      <c r="CK104" s="56">
        <v>0</v>
      </c>
    </row>
    <row r="105" spans="1:89" ht="13" x14ac:dyDescent="0.3">
      <c r="A105" s="135" t="s">
        <v>61</v>
      </c>
      <c r="B105" s="48">
        <v>182444</v>
      </c>
      <c r="C105" s="47" t="s">
        <v>196</v>
      </c>
      <c r="D105" s="49">
        <v>28072</v>
      </c>
      <c r="E105" s="49">
        <v>51835</v>
      </c>
      <c r="F105" s="47" t="s">
        <v>173</v>
      </c>
      <c r="G105" s="47">
        <v>2008</v>
      </c>
      <c r="H105" s="47" t="s">
        <v>133</v>
      </c>
      <c r="I105" s="41">
        <v>427</v>
      </c>
      <c r="J105" s="41">
        <v>1</v>
      </c>
      <c r="K105" s="41">
        <v>0</v>
      </c>
      <c r="L105" s="41">
        <v>0</v>
      </c>
      <c r="M105" s="41">
        <v>0</v>
      </c>
      <c r="N105" s="41">
        <v>0</v>
      </c>
      <c r="O105" s="138">
        <v>0</v>
      </c>
      <c r="P105" s="147">
        <v>540882.5</v>
      </c>
      <c r="Q105" s="139">
        <v>1</v>
      </c>
      <c r="R105" s="139">
        <v>1</v>
      </c>
      <c r="S105" s="139">
        <v>0</v>
      </c>
      <c r="T105" s="140"/>
      <c r="U105" s="139">
        <v>0</v>
      </c>
      <c r="V105" s="141"/>
      <c r="W105" s="141">
        <v>0.5</v>
      </c>
      <c r="X105" s="24"/>
      <c r="Y105" s="24"/>
      <c r="Z105" s="24"/>
      <c r="AA105" s="24"/>
      <c r="AB105" s="24"/>
      <c r="AC105" s="24"/>
      <c r="AD105" s="24">
        <v>39692</v>
      </c>
      <c r="AE105" s="24"/>
      <c r="AF105" s="24">
        <v>40360</v>
      </c>
      <c r="AG105" s="24">
        <v>41275</v>
      </c>
      <c r="AH105" s="31"/>
      <c r="AI105" s="46" t="str">
        <f t="shared" si="12"/>
        <v/>
      </c>
      <c r="AJ105" s="27"/>
      <c r="AK105" s="27"/>
      <c r="AL105" s="27"/>
      <c r="AM105" s="27"/>
      <c r="AN105" s="27"/>
      <c r="AO105" s="27"/>
      <c r="AP105" s="27"/>
      <c r="AQ105" s="29" t="str">
        <f>IF(AND(AD105&lt;&gt;"",AF105="",AG105=""),DATE(YEAR(AD105)+Menu!$E$10,MONTH(AD105)+Menu!$E$11,1),"")</f>
        <v/>
      </c>
      <c r="AR105" s="29">
        <f t="shared" si="11"/>
        <v>40360</v>
      </c>
      <c r="AS105" s="27" t="str">
        <f>IF(AND(AR105&lt;&gt;"",AH105="",AG105=""),DATE(YEAR(AR105)+Menu!$E$13,MONTH(AR105)+Menu!$E$14,1),"")</f>
        <v/>
      </c>
      <c r="AT105" s="27"/>
      <c r="AU105" s="15" t="s">
        <v>138</v>
      </c>
      <c r="AV105" s="15" t="s">
        <v>138</v>
      </c>
      <c r="AW105" s="16" t="s">
        <v>138</v>
      </c>
      <c r="AX105" s="15" t="s">
        <v>138</v>
      </c>
      <c r="AY105" s="15" t="s">
        <v>138</v>
      </c>
      <c r="AZ105" s="15" t="s">
        <v>138</v>
      </c>
      <c r="BA105" s="16" t="s">
        <v>133</v>
      </c>
      <c r="BB105" s="16" t="s">
        <v>133</v>
      </c>
      <c r="BC105" s="16" t="s">
        <v>134</v>
      </c>
      <c r="BD105" s="16" t="s">
        <v>134</v>
      </c>
      <c r="BE105" s="16" t="s">
        <v>134</v>
      </c>
      <c r="BF105" s="16" t="s">
        <v>135</v>
      </c>
      <c r="BG105" s="16" t="s">
        <v>135</v>
      </c>
      <c r="BH105" s="16" t="s">
        <v>135</v>
      </c>
      <c r="BI105" s="16" t="s">
        <v>135</v>
      </c>
      <c r="BJ105" s="15" t="s">
        <v>135</v>
      </c>
      <c r="BK105" s="15" t="s">
        <v>135</v>
      </c>
      <c r="BL105" s="131" t="s">
        <v>135</v>
      </c>
      <c r="BM105" t="s">
        <v>135</v>
      </c>
      <c r="BN105" t="s">
        <v>135</v>
      </c>
      <c r="BO105" t="s">
        <v>135</v>
      </c>
      <c r="BP105" t="s">
        <v>135</v>
      </c>
      <c r="BQ105" t="s">
        <v>135</v>
      </c>
      <c r="BR105" t="s">
        <v>135</v>
      </c>
      <c r="BS105" t="s">
        <v>135</v>
      </c>
      <c r="BT105" t="s">
        <v>135</v>
      </c>
      <c r="BU105" t="s">
        <v>135</v>
      </c>
      <c r="BV105" t="s">
        <v>135</v>
      </c>
      <c r="BW105" t="s">
        <v>135</v>
      </c>
      <c r="BX105" t="s">
        <v>135</v>
      </c>
      <c r="BY105" s="56">
        <v>540882.5</v>
      </c>
      <c r="BZ105" s="56">
        <v>500187.5</v>
      </c>
      <c r="CA105" s="56">
        <v>500187.5</v>
      </c>
      <c r="CB105" s="56">
        <v>500187.5</v>
      </c>
      <c r="CC105" s="56">
        <v>500187.5</v>
      </c>
      <c r="CD105" s="56">
        <v>500187.5</v>
      </c>
      <c r="CE105" s="56">
        <v>500187.5</v>
      </c>
      <c r="CF105" s="56">
        <v>500187.5</v>
      </c>
      <c r="CG105" s="56">
        <v>500187.5</v>
      </c>
      <c r="CH105" s="56">
        <v>500187.5</v>
      </c>
      <c r="CI105" s="56">
        <v>500187.5</v>
      </c>
      <c r="CJ105" s="56">
        <v>500187.5</v>
      </c>
      <c r="CK105" s="56">
        <v>500187.5</v>
      </c>
    </row>
    <row r="106" spans="1:89" ht="13" x14ac:dyDescent="0.3">
      <c r="A106" s="135" t="s">
        <v>62</v>
      </c>
      <c r="B106" s="48">
        <v>105551</v>
      </c>
      <c r="C106" s="47" t="s">
        <v>197</v>
      </c>
      <c r="D106" s="49">
        <v>21037</v>
      </c>
      <c r="E106" s="49">
        <v>44804</v>
      </c>
      <c r="F106" s="47" t="s">
        <v>173</v>
      </c>
      <c r="G106" s="47"/>
      <c r="H106" s="47"/>
      <c r="I106" s="41">
        <v>350</v>
      </c>
      <c r="J106" s="41">
        <v>0</v>
      </c>
      <c r="K106" s="41">
        <v>1</v>
      </c>
      <c r="L106" s="41">
        <v>0</v>
      </c>
      <c r="M106" s="41">
        <v>0</v>
      </c>
      <c r="N106" s="41">
        <v>0</v>
      </c>
      <c r="O106" s="138">
        <v>1</v>
      </c>
      <c r="P106" s="147">
        <v>293534.25</v>
      </c>
      <c r="Q106" s="139">
        <v>1</v>
      </c>
      <c r="R106" s="139">
        <v>0</v>
      </c>
      <c r="S106" s="139">
        <v>0</v>
      </c>
      <c r="T106" s="140"/>
      <c r="U106" s="139">
        <v>0</v>
      </c>
      <c r="V106" s="141"/>
      <c r="W106" s="141">
        <v>1</v>
      </c>
      <c r="X106" s="24"/>
      <c r="Y106" s="24">
        <v>40231</v>
      </c>
      <c r="Z106" s="24"/>
      <c r="AA106" s="24"/>
      <c r="AB106" s="24">
        <v>42068</v>
      </c>
      <c r="AC106" s="24"/>
      <c r="AD106" s="24"/>
      <c r="AE106" s="24"/>
      <c r="AF106" s="24"/>
      <c r="AG106" s="24"/>
      <c r="AH106" s="31"/>
      <c r="AI106" s="46" t="str">
        <f t="shared" si="12"/>
        <v/>
      </c>
      <c r="AJ106" s="27"/>
      <c r="AK106" s="27"/>
      <c r="AL106" s="27"/>
      <c r="AM106" s="27"/>
      <c r="AN106" s="27"/>
      <c r="AO106" s="27"/>
      <c r="AP106" s="27"/>
      <c r="AQ106" s="29" t="str">
        <f>IF(AND(AD106&lt;&gt;"",AF106="",AG106=""),DATE(YEAR(AD106)+Menu!$E$10,MONTH(AD106)+Menu!$E$11,1),"")</f>
        <v/>
      </c>
      <c r="AR106" s="29" t="str">
        <f t="shared" si="11"/>
        <v/>
      </c>
      <c r="AS106" s="27" t="str">
        <f>IF(AND(AR106&lt;&gt;"",AH106="",AG106=""),DATE(YEAR(AR106)+Menu!$E$13,MONTH(AR106)+Menu!$E$14,1),"")</f>
        <v/>
      </c>
      <c r="AT106" s="27"/>
      <c r="AU106" s="15" t="s">
        <v>138</v>
      </c>
      <c r="AV106" s="15" t="s">
        <v>138</v>
      </c>
      <c r="AW106" s="16" t="s">
        <v>138</v>
      </c>
      <c r="AX106" s="15" t="s">
        <v>138</v>
      </c>
      <c r="AY106" s="15" t="s">
        <v>138</v>
      </c>
      <c r="AZ106" s="15" t="s">
        <v>138</v>
      </c>
      <c r="BA106" s="15" t="s">
        <v>138</v>
      </c>
      <c r="BB106" s="15" t="s">
        <v>138</v>
      </c>
      <c r="BC106" s="16" t="s">
        <v>129</v>
      </c>
      <c r="BD106" s="16" t="s">
        <v>129</v>
      </c>
      <c r="BE106" s="16" t="s">
        <v>129</v>
      </c>
      <c r="BF106" s="16" t="s">
        <v>129</v>
      </c>
      <c r="BG106" s="16" t="s">
        <v>129</v>
      </c>
      <c r="BH106" s="16" t="s">
        <v>131</v>
      </c>
      <c r="BI106" s="16" t="s">
        <v>131</v>
      </c>
      <c r="BJ106" s="15" t="s">
        <v>131</v>
      </c>
      <c r="BK106" s="15" t="s">
        <v>131</v>
      </c>
      <c r="BL106" s="131" t="s">
        <v>131</v>
      </c>
      <c r="BM106" t="s">
        <v>131</v>
      </c>
      <c r="BN106" t="s">
        <v>131</v>
      </c>
      <c r="BO106" t="s">
        <v>131</v>
      </c>
      <c r="BP106" t="s">
        <v>138</v>
      </c>
      <c r="BQ106" t="s">
        <v>138</v>
      </c>
      <c r="BR106" t="s">
        <v>138</v>
      </c>
      <c r="BS106" t="s">
        <v>138</v>
      </c>
      <c r="BT106" t="s">
        <v>138</v>
      </c>
      <c r="BU106" t="s">
        <v>138</v>
      </c>
      <c r="BV106" t="s">
        <v>138</v>
      </c>
      <c r="BW106" t="s">
        <v>138</v>
      </c>
      <c r="BX106" t="s">
        <v>138</v>
      </c>
      <c r="BY106" s="56">
        <v>293534.25</v>
      </c>
      <c r="BZ106" s="56">
        <v>293534.25</v>
      </c>
      <c r="CA106" s="56">
        <v>293534.25</v>
      </c>
      <c r="CB106" s="56">
        <v>195689.5</v>
      </c>
      <c r="CC106" s="56">
        <v>0</v>
      </c>
      <c r="CD106" s="56">
        <v>0</v>
      </c>
      <c r="CE106" s="56">
        <v>0</v>
      </c>
      <c r="CF106" s="56">
        <v>0</v>
      </c>
      <c r="CG106" s="56">
        <v>0</v>
      </c>
      <c r="CH106" s="56">
        <v>0</v>
      </c>
      <c r="CI106" s="56">
        <v>0</v>
      </c>
      <c r="CJ106" s="56">
        <v>0</v>
      </c>
      <c r="CK106" s="56">
        <v>0</v>
      </c>
    </row>
    <row r="107" spans="1:89" ht="13" x14ac:dyDescent="0.3">
      <c r="A107" s="135" t="s">
        <v>63</v>
      </c>
      <c r="B107" s="48">
        <v>133331</v>
      </c>
      <c r="C107" s="47" t="s">
        <v>196</v>
      </c>
      <c r="D107" s="49">
        <v>27699</v>
      </c>
      <c r="E107" s="49">
        <v>51470</v>
      </c>
      <c r="F107" s="47" t="s">
        <v>173</v>
      </c>
      <c r="G107" s="47">
        <v>2008</v>
      </c>
      <c r="H107" s="47" t="s">
        <v>133</v>
      </c>
      <c r="I107" s="41">
        <v>428</v>
      </c>
      <c r="J107" s="41">
        <v>1</v>
      </c>
      <c r="K107" s="41">
        <v>0</v>
      </c>
      <c r="L107" s="41">
        <v>0</v>
      </c>
      <c r="M107" s="41">
        <v>1</v>
      </c>
      <c r="N107" s="41">
        <v>0</v>
      </c>
      <c r="O107" s="138">
        <v>0</v>
      </c>
      <c r="P107" s="147">
        <v>735149.25</v>
      </c>
      <c r="Q107" s="139">
        <v>1</v>
      </c>
      <c r="R107" s="139">
        <v>1</v>
      </c>
      <c r="S107" s="139">
        <v>0</v>
      </c>
      <c r="T107" s="140"/>
      <c r="U107" s="139">
        <v>0</v>
      </c>
      <c r="V107" s="141"/>
      <c r="W107" s="141">
        <v>1</v>
      </c>
      <c r="X107" s="24"/>
      <c r="Y107" s="24"/>
      <c r="Z107" s="24"/>
      <c r="AA107" s="24"/>
      <c r="AB107" s="24"/>
      <c r="AC107" s="24"/>
      <c r="AD107" s="24">
        <v>39448</v>
      </c>
      <c r="AE107" s="24"/>
      <c r="AF107" s="24">
        <v>42095</v>
      </c>
      <c r="AG107" s="24"/>
      <c r="AH107" s="31">
        <v>44044</v>
      </c>
      <c r="AI107" s="46" t="str">
        <f t="shared" si="12"/>
        <v/>
      </c>
      <c r="AJ107" s="27"/>
      <c r="AK107" s="27"/>
      <c r="AL107" s="27"/>
      <c r="AM107" s="27"/>
      <c r="AN107" s="27"/>
      <c r="AO107" s="27"/>
      <c r="AP107" s="27"/>
      <c r="AQ107" s="29" t="str">
        <f>IF(AND(AD107&lt;&gt;"",AF107="",AG107=""),DATE(YEAR(AD107)+Menu!$E$10,MONTH(AD107)+Menu!$E$11,1),"")</f>
        <v/>
      </c>
      <c r="AR107" s="29">
        <f t="shared" si="11"/>
        <v>42095</v>
      </c>
      <c r="AS107" s="27" t="str">
        <f>IF(AND(AR107&lt;&gt;"",AH107="",AG107=""),DATE(YEAR(AR107)+Menu!$E$13,MONTH(AR107)+Menu!$E$14,1),"")</f>
        <v/>
      </c>
      <c r="AT107" s="27"/>
      <c r="AU107" s="15" t="s">
        <v>138</v>
      </c>
      <c r="AV107" s="15" t="s">
        <v>138</v>
      </c>
      <c r="AW107" s="16" t="s">
        <v>138</v>
      </c>
      <c r="AX107" s="15" t="s">
        <v>138</v>
      </c>
      <c r="AY107" s="15" t="s">
        <v>138</v>
      </c>
      <c r="AZ107" s="15" t="s">
        <v>138</v>
      </c>
      <c r="BA107" s="16" t="s">
        <v>133</v>
      </c>
      <c r="BB107" s="16" t="s">
        <v>133</v>
      </c>
      <c r="BC107" s="16" t="s">
        <v>133</v>
      </c>
      <c r="BD107" s="16" t="s">
        <v>133</v>
      </c>
      <c r="BE107" s="16" t="s">
        <v>133</v>
      </c>
      <c r="BF107" s="16" t="s">
        <v>133</v>
      </c>
      <c r="BG107" s="16" t="s">
        <v>133</v>
      </c>
      <c r="BH107" s="16" t="s">
        <v>134</v>
      </c>
      <c r="BI107" s="16" t="s">
        <v>134</v>
      </c>
      <c r="BJ107" s="15" t="s">
        <v>134</v>
      </c>
      <c r="BK107" s="15" t="s">
        <v>134</v>
      </c>
      <c r="BL107" s="131" t="s">
        <v>134</v>
      </c>
      <c r="BM107" t="s">
        <v>135</v>
      </c>
      <c r="BN107" t="s">
        <v>135</v>
      </c>
      <c r="BO107" t="s">
        <v>135</v>
      </c>
      <c r="BP107" t="s">
        <v>135</v>
      </c>
      <c r="BQ107" t="s">
        <v>135</v>
      </c>
      <c r="BR107" t="s">
        <v>135</v>
      </c>
      <c r="BS107" t="s">
        <v>135</v>
      </c>
      <c r="BT107" t="s">
        <v>135</v>
      </c>
      <c r="BU107" t="s">
        <v>135</v>
      </c>
      <c r="BV107" t="s">
        <v>135</v>
      </c>
      <c r="BW107" t="s">
        <v>135</v>
      </c>
      <c r="BX107" t="s">
        <v>135</v>
      </c>
      <c r="BY107" s="56">
        <v>735149.25</v>
      </c>
      <c r="BZ107" s="56">
        <v>758414.875</v>
      </c>
      <c r="CA107" s="56">
        <v>814252.375</v>
      </c>
      <c r="CB107" s="56">
        <v>870089.875</v>
      </c>
      <c r="CC107" s="56">
        <v>925927.375</v>
      </c>
      <c r="CD107" s="56">
        <v>981764.875</v>
      </c>
      <c r="CE107" s="56">
        <v>1000375</v>
      </c>
      <c r="CF107" s="56">
        <v>1000375</v>
      </c>
      <c r="CG107" s="56">
        <v>1000375</v>
      </c>
      <c r="CH107" s="56">
        <v>1000375</v>
      </c>
      <c r="CI107" s="56">
        <v>1000375</v>
      </c>
      <c r="CJ107" s="56">
        <v>1000375</v>
      </c>
      <c r="CK107" s="56">
        <v>1000375</v>
      </c>
    </row>
    <row r="108" spans="1:89" ht="13" x14ac:dyDescent="0.3">
      <c r="A108" s="135" t="s">
        <v>64</v>
      </c>
      <c r="B108" s="48">
        <v>156848</v>
      </c>
      <c r="C108" s="47" t="s">
        <v>200</v>
      </c>
      <c r="D108" s="49">
        <v>26105</v>
      </c>
      <c r="E108" s="49">
        <v>49856</v>
      </c>
      <c r="F108" s="47" t="s">
        <v>173</v>
      </c>
      <c r="G108" s="47"/>
      <c r="H108" s="47"/>
      <c r="I108" s="41">
        <v>830</v>
      </c>
      <c r="J108" s="41">
        <v>0</v>
      </c>
      <c r="K108" s="41">
        <v>0</v>
      </c>
      <c r="L108" s="41">
        <v>0</v>
      </c>
      <c r="M108" s="41">
        <v>1</v>
      </c>
      <c r="N108" s="41">
        <v>0</v>
      </c>
      <c r="O108" s="138">
        <v>0</v>
      </c>
      <c r="P108" s="147">
        <v>1045159.75</v>
      </c>
      <c r="Q108" s="139">
        <v>1</v>
      </c>
      <c r="R108" s="139">
        <v>1</v>
      </c>
      <c r="S108" s="139">
        <v>0</v>
      </c>
      <c r="T108" s="140"/>
      <c r="U108" s="139">
        <v>0</v>
      </c>
      <c r="V108" s="141"/>
      <c r="W108" s="141">
        <v>1</v>
      </c>
      <c r="X108" s="24"/>
      <c r="Y108" s="24"/>
      <c r="Z108" s="24"/>
      <c r="AA108" s="24"/>
      <c r="AB108" s="24"/>
      <c r="AC108" s="24"/>
      <c r="AD108" s="24">
        <v>37681</v>
      </c>
      <c r="AE108" s="24"/>
      <c r="AF108" s="24">
        <v>39722</v>
      </c>
      <c r="AG108" s="24">
        <v>40026</v>
      </c>
      <c r="AH108" s="31"/>
      <c r="AI108" s="46" t="str">
        <f t="shared" si="12"/>
        <v/>
      </c>
      <c r="AJ108" s="27"/>
      <c r="AK108" s="27"/>
      <c r="AL108" s="27"/>
      <c r="AM108" s="27"/>
      <c r="AN108" s="27"/>
      <c r="AO108" s="27"/>
      <c r="AP108" s="27"/>
      <c r="AQ108" s="29" t="str">
        <f>IF(AND(AD108&lt;&gt;"",AF108="",AG108=""),DATE(YEAR(AD108)+Menu!$E$10,MONTH(AD108)+Menu!$E$11,1),"")</f>
        <v/>
      </c>
      <c r="AR108" s="29">
        <f t="shared" si="11"/>
        <v>39722</v>
      </c>
      <c r="AS108" s="27" t="str">
        <f>IF(AND(AR108&lt;&gt;"",AH108="",AG108=""),DATE(YEAR(AR108)+Menu!$E$13,MONTH(AR108)+Menu!$E$14,1),"")</f>
        <v/>
      </c>
      <c r="AT108" s="27"/>
      <c r="AU108" s="15" t="s">
        <v>138</v>
      </c>
      <c r="AV108" s="16" t="s">
        <v>133</v>
      </c>
      <c r="AW108" s="16" t="s">
        <v>133</v>
      </c>
      <c r="AX108" s="16" t="s">
        <v>133</v>
      </c>
      <c r="AY108" s="16" t="s">
        <v>133</v>
      </c>
      <c r="AZ108" s="16" t="s">
        <v>133</v>
      </c>
      <c r="BA108" s="16" t="s">
        <v>134</v>
      </c>
      <c r="BB108" s="16" t="s">
        <v>135</v>
      </c>
      <c r="BC108" s="16" t="s">
        <v>135</v>
      </c>
      <c r="BD108" s="16" t="s">
        <v>135</v>
      </c>
      <c r="BE108" s="16" t="s">
        <v>135</v>
      </c>
      <c r="BF108" s="16" t="s">
        <v>135</v>
      </c>
      <c r="BG108" s="16" t="s">
        <v>135</v>
      </c>
      <c r="BH108" s="16" t="s">
        <v>135</v>
      </c>
      <c r="BI108" s="16" t="s">
        <v>135</v>
      </c>
      <c r="BJ108" s="15" t="s">
        <v>135</v>
      </c>
      <c r="BK108" s="15" t="s">
        <v>135</v>
      </c>
      <c r="BL108" s="131" t="s">
        <v>135</v>
      </c>
      <c r="BM108" t="s">
        <v>135</v>
      </c>
      <c r="BN108" t="s">
        <v>135</v>
      </c>
      <c r="BO108" t="s">
        <v>135</v>
      </c>
      <c r="BP108" t="s">
        <v>135</v>
      </c>
      <c r="BQ108" t="s">
        <v>135</v>
      </c>
      <c r="BR108" t="s">
        <v>135</v>
      </c>
      <c r="BS108" t="s">
        <v>135</v>
      </c>
      <c r="BT108" t="s">
        <v>135</v>
      </c>
      <c r="BU108" t="s">
        <v>135</v>
      </c>
      <c r="BV108" t="s">
        <v>135</v>
      </c>
      <c r="BW108" t="s">
        <v>135</v>
      </c>
      <c r="BX108" t="s">
        <v>135</v>
      </c>
      <c r="BY108" s="56">
        <v>1045159.75</v>
      </c>
      <c r="BZ108" s="56">
        <v>1000375</v>
      </c>
      <c r="CA108" s="56">
        <v>1000375</v>
      </c>
      <c r="CB108" s="56">
        <v>1000375</v>
      </c>
      <c r="CC108" s="56">
        <v>1000375</v>
      </c>
      <c r="CD108" s="56">
        <v>1000375</v>
      </c>
      <c r="CE108" s="56">
        <v>1000375</v>
      </c>
      <c r="CF108" s="56">
        <v>1000375</v>
      </c>
      <c r="CG108" s="56">
        <v>1000375</v>
      </c>
      <c r="CH108" s="56">
        <v>1000375</v>
      </c>
      <c r="CI108" s="56">
        <v>1000375</v>
      </c>
      <c r="CJ108" s="56">
        <v>1000375</v>
      </c>
      <c r="CK108" s="56">
        <v>1000375</v>
      </c>
    </row>
    <row r="109" spans="1:89" ht="13" x14ac:dyDescent="0.3">
      <c r="A109" s="135" t="s">
        <v>231</v>
      </c>
      <c r="B109" s="48">
        <v>278363</v>
      </c>
      <c r="C109" s="47" t="s">
        <v>197</v>
      </c>
      <c r="D109" s="49">
        <v>30961</v>
      </c>
      <c r="E109" s="49">
        <v>54727</v>
      </c>
      <c r="F109" s="47" t="s">
        <v>173</v>
      </c>
      <c r="G109" s="47">
        <v>2017</v>
      </c>
      <c r="H109" s="47" t="s">
        <v>133</v>
      </c>
      <c r="I109" s="41">
        <v>370</v>
      </c>
      <c r="J109" s="41">
        <v>0</v>
      </c>
      <c r="K109" s="41">
        <v>1</v>
      </c>
      <c r="L109" s="41">
        <v>0</v>
      </c>
      <c r="M109" s="41">
        <v>0</v>
      </c>
      <c r="N109" s="41">
        <v>0</v>
      </c>
      <c r="O109" s="138">
        <v>0</v>
      </c>
      <c r="P109" s="147">
        <v>445136</v>
      </c>
      <c r="Q109" s="139">
        <v>1</v>
      </c>
      <c r="R109" s="139">
        <v>0</v>
      </c>
      <c r="S109" s="139">
        <v>0</v>
      </c>
      <c r="T109" s="140"/>
      <c r="U109" s="139">
        <v>0</v>
      </c>
      <c r="V109" s="141"/>
      <c r="W109" s="141">
        <v>1</v>
      </c>
      <c r="X109" s="24"/>
      <c r="Y109" s="24"/>
      <c r="Z109" s="24"/>
      <c r="AA109" s="24"/>
      <c r="AB109" s="24"/>
      <c r="AC109" s="24"/>
      <c r="AD109" s="24">
        <v>42856</v>
      </c>
      <c r="AE109" s="24"/>
      <c r="AF109" s="24"/>
      <c r="AG109" s="24"/>
      <c r="AH109" s="31"/>
      <c r="AI109" s="46" t="str">
        <f t="shared" si="12"/>
        <v/>
      </c>
      <c r="AJ109" s="27"/>
      <c r="AK109" s="27"/>
      <c r="AL109" s="27"/>
      <c r="AM109" s="27"/>
      <c r="AN109" s="27"/>
      <c r="AO109" s="27"/>
      <c r="AP109" s="27"/>
      <c r="AQ109" s="29">
        <f>IF(AND(AD109&lt;&gt;"",AF109="",AG109=""),DATE(YEAR(AD109)+Menu!$E$10,MONTH(AD109)+Menu!$E$11,1),"")</f>
        <v>45323</v>
      </c>
      <c r="AR109" s="29">
        <f t="shared" si="11"/>
        <v>45323</v>
      </c>
      <c r="AS109" s="27">
        <f>IF(AND(AR109&lt;&gt;"",AH109="",AG109=""),DATE(YEAR(AR109)+Menu!$E$13,MONTH(AR109)+Menu!$E$14,1),"")</f>
        <v>47788</v>
      </c>
      <c r="AT109" s="27"/>
      <c r="AU109" s="15" t="s">
        <v>138</v>
      </c>
      <c r="AV109" s="15" t="s">
        <v>138</v>
      </c>
      <c r="AW109" s="15" t="s">
        <v>138</v>
      </c>
      <c r="AX109" s="15" t="s">
        <v>138</v>
      </c>
      <c r="AY109" s="15" t="s">
        <v>138</v>
      </c>
      <c r="AZ109" s="15" t="s">
        <v>138</v>
      </c>
      <c r="BA109" s="15" t="s">
        <v>138</v>
      </c>
      <c r="BB109" s="15" t="s">
        <v>138</v>
      </c>
      <c r="BC109" s="15" t="s">
        <v>138</v>
      </c>
      <c r="BD109" s="15" t="s">
        <v>138</v>
      </c>
      <c r="BE109" s="15" t="s">
        <v>138</v>
      </c>
      <c r="BF109" s="15" t="s">
        <v>138</v>
      </c>
      <c r="BG109" s="15" t="s">
        <v>138</v>
      </c>
      <c r="BH109" s="15" t="s">
        <v>138</v>
      </c>
      <c r="BI109" s="15" t="s">
        <v>138</v>
      </c>
      <c r="BJ109" s="15" t="s">
        <v>133</v>
      </c>
      <c r="BK109" s="15" t="s">
        <v>133</v>
      </c>
      <c r="BL109" s="131" t="s">
        <v>133</v>
      </c>
      <c r="BM109" t="s">
        <v>133</v>
      </c>
      <c r="BN109" t="s">
        <v>133</v>
      </c>
      <c r="BO109" t="s">
        <v>133</v>
      </c>
      <c r="BP109" t="s">
        <v>133</v>
      </c>
      <c r="BQ109" t="s">
        <v>134</v>
      </c>
      <c r="BR109" t="s">
        <v>134</v>
      </c>
      <c r="BS109" t="s">
        <v>134</v>
      </c>
      <c r="BT109" t="s">
        <v>134</v>
      </c>
      <c r="BU109" t="s">
        <v>134</v>
      </c>
      <c r="BV109" t="s">
        <v>134</v>
      </c>
      <c r="BW109" t="s">
        <v>135</v>
      </c>
      <c r="BX109" t="s">
        <v>135</v>
      </c>
      <c r="BY109" s="56">
        <v>445136</v>
      </c>
      <c r="BZ109" s="56">
        <v>490052.66666666669</v>
      </c>
      <c r="CA109" s="56">
        <v>512511</v>
      </c>
      <c r="CB109" s="56">
        <v>512511</v>
      </c>
      <c r="CC109" s="56">
        <v>512511</v>
      </c>
      <c r="CD109" s="56">
        <v>703798.25</v>
      </c>
      <c r="CE109" s="56">
        <v>703798.25</v>
      </c>
      <c r="CF109" s="56">
        <v>703798.25</v>
      </c>
      <c r="CG109" s="56">
        <v>703798.25</v>
      </c>
      <c r="CH109" s="56">
        <v>721188</v>
      </c>
      <c r="CI109" s="56">
        <v>721188</v>
      </c>
      <c r="CJ109" s="56">
        <v>730494.25</v>
      </c>
      <c r="CK109" s="56">
        <v>786331.75</v>
      </c>
    </row>
    <row r="110" spans="1:89" ht="13" x14ac:dyDescent="0.3">
      <c r="A110" s="135" t="s">
        <v>148</v>
      </c>
      <c r="B110" s="48">
        <v>0</v>
      </c>
      <c r="C110" s="47" t="s">
        <v>200</v>
      </c>
      <c r="D110" s="49">
        <v>16453</v>
      </c>
      <c r="E110" s="49">
        <v>39599</v>
      </c>
      <c r="F110" s="47" t="s">
        <v>173</v>
      </c>
      <c r="G110" s="47"/>
      <c r="H110" s="47"/>
      <c r="I110" s="40">
        <v>415</v>
      </c>
      <c r="J110" s="41">
        <v>0</v>
      </c>
      <c r="K110" s="41">
        <v>0</v>
      </c>
      <c r="L110" s="41">
        <v>0</v>
      </c>
      <c r="M110" s="41">
        <v>1</v>
      </c>
      <c r="N110" s="41">
        <v>0</v>
      </c>
      <c r="O110" s="138">
        <v>0</v>
      </c>
      <c r="P110" s="147">
        <v>0</v>
      </c>
      <c r="Q110" s="139">
        <v>0</v>
      </c>
      <c r="R110" s="139">
        <v>0</v>
      </c>
      <c r="S110" s="139">
        <v>0</v>
      </c>
      <c r="T110" s="140"/>
      <c r="U110" s="139">
        <v>0</v>
      </c>
      <c r="V110" s="141"/>
      <c r="W110" s="141">
        <v>0</v>
      </c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31"/>
      <c r="AI110" s="46">
        <f t="shared" si="12"/>
        <v>2008</v>
      </c>
      <c r="AJ110" s="27"/>
      <c r="AK110" s="27"/>
      <c r="AL110" s="27"/>
      <c r="AM110" s="27"/>
      <c r="AN110" s="27"/>
      <c r="AO110" s="27"/>
      <c r="AP110" s="27"/>
      <c r="AQ110" s="29" t="str">
        <f>IF(AND(AD110&lt;&gt;"",AF110="",AG110=""),DATE(YEAR(AD110)+Menu!$E$10,MONTH(AD110)+Menu!$E$11,1),"")</f>
        <v/>
      </c>
      <c r="AR110" s="29" t="str">
        <f t="shared" si="11"/>
        <v/>
      </c>
      <c r="AS110" s="27" t="str">
        <f>IF(AND(AR110&lt;&gt;"",AH110="",AG110=""),DATE(YEAR(AR110)+Menu!$E$13,MONTH(AR110)+Menu!$E$14,1),"")</f>
        <v/>
      </c>
      <c r="AT110" s="27"/>
      <c r="AU110" s="15" t="s">
        <v>138</v>
      </c>
      <c r="AV110" s="15" t="s">
        <v>138</v>
      </c>
      <c r="AW110" s="16" t="s">
        <v>135</v>
      </c>
      <c r="AX110" s="16" t="s">
        <v>135</v>
      </c>
      <c r="AY110" s="16" t="s">
        <v>135</v>
      </c>
      <c r="AZ110" s="16" t="s">
        <v>135</v>
      </c>
      <c r="BA110" s="16" t="s">
        <v>136</v>
      </c>
      <c r="BB110" s="16" t="s">
        <v>136</v>
      </c>
      <c r="BC110" s="16" t="s">
        <v>136</v>
      </c>
      <c r="BD110" s="16" t="s">
        <v>136</v>
      </c>
      <c r="BE110" s="16" t="s">
        <v>136</v>
      </c>
      <c r="BF110" s="16" t="s">
        <v>136</v>
      </c>
      <c r="BG110" s="16" t="s">
        <v>136</v>
      </c>
      <c r="BH110" s="16" t="s">
        <v>136</v>
      </c>
      <c r="BI110" s="16" t="s">
        <v>136</v>
      </c>
      <c r="BJ110" s="15" t="s">
        <v>136</v>
      </c>
      <c r="BK110" s="15" t="s">
        <v>136</v>
      </c>
      <c r="BL110" s="131"/>
      <c r="BY110" s="56">
        <v>0</v>
      </c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</row>
    <row r="111" spans="1:89" ht="13" x14ac:dyDescent="0.3">
      <c r="A111" s="135" t="s">
        <v>190</v>
      </c>
      <c r="B111" s="48">
        <v>0</v>
      </c>
      <c r="C111" s="47" t="s">
        <v>200</v>
      </c>
      <c r="D111" s="49">
        <v>13988</v>
      </c>
      <c r="E111" s="49">
        <v>37741</v>
      </c>
      <c r="F111" s="47" t="s">
        <v>173</v>
      </c>
      <c r="G111" s="47"/>
      <c r="H111" s="47"/>
      <c r="I111" s="40">
        <v>0</v>
      </c>
      <c r="J111" s="41">
        <v>0</v>
      </c>
      <c r="K111" s="41">
        <v>0</v>
      </c>
      <c r="L111" s="41">
        <v>0</v>
      </c>
      <c r="M111" s="41">
        <v>1</v>
      </c>
      <c r="N111" s="41">
        <v>0</v>
      </c>
      <c r="O111" s="138">
        <v>0</v>
      </c>
      <c r="P111" s="147">
        <v>0</v>
      </c>
      <c r="Q111" s="139">
        <v>0</v>
      </c>
      <c r="R111" s="139">
        <v>0</v>
      </c>
      <c r="S111" s="139">
        <v>0</v>
      </c>
      <c r="T111" s="140"/>
      <c r="U111" s="139">
        <v>0</v>
      </c>
      <c r="V111" s="141"/>
      <c r="W111" s="141">
        <v>0</v>
      </c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31"/>
      <c r="AI111" s="46">
        <f t="shared" si="12"/>
        <v>2003</v>
      </c>
      <c r="AJ111" s="27"/>
      <c r="AK111" s="27"/>
      <c r="AL111" s="27"/>
      <c r="AM111" s="27"/>
      <c r="AN111" s="27"/>
      <c r="AO111" s="27"/>
      <c r="AP111" s="27"/>
      <c r="AQ111" s="29" t="str">
        <f>IF(AND(AD111&lt;&gt;"",AF111="",AG111=""),DATE(YEAR(AD111)+Menu!$E$10,MONTH(AD111)+Menu!$E$11,1),"")</f>
        <v/>
      </c>
      <c r="AR111" s="29" t="str">
        <f t="shared" si="11"/>
        <v/>
      </c>
      <c r="AS111" s="27" t="str">
        <f>IF(AND(AR111&lt;&gt;"",AH111="",AG111=""),DATE(YEAR(AR111)+Menu!$E$13,MONTH(AR111)+Menu!$E$14,1),"")</f>
        <v/>
      </c>
      <c r="AT111" s="27"/>
      <c r="AU111" s="15" t="s">
        <v>135</v>
      </c>
      <c r="AV111" s="15" t="s">
        <v>136</v>
      </c>
      <c r="AW111" s="16" t="s">
        <v>136</v>
      </c>
      <c r="AX111" s="15" t="s">
        <v>136</v>
      </c>
      <c r="AY111" s="15" t="s">
        <v>136</v>
      </c>
      <c r="AZ111" s="15" t="s">
        <v>136</v>
      </c>
      <c r="BA111" s="15" t="s">
        <v>136</v>
      </c>
      <c r="BB111" s="15" t="s">
        <v>136</v>
      </c>
      <c r="BC111" s="15" t="s">
        <v>136</v>
      </c>
      <c r="BD111" s="15" t="s">
        <v>136</v>
      </c>
      <c r="BE111" s="15" t="s">
        <v>136</v>
      </c>
      <c r="BF111" s="15" t="s">
        <v>136</v>
      </c>
      <c r="BG111" s="15" t="s">
        <v>136</v>
      </c>
      <c r="BH111" s="15" t="s">
        <v>136</v>
      </c>
      <c r="BI111" s="15" t="s">
        <v>136</v>
      </c>
      <c r="BJ111" s="15" t="s">
        <v>136</v>
      </c>
      <c r="BK111" s="15" t="s">
        <v>136</v>
      </c>
      <c r="BL111" s="131"/>
      <c r="BY111" s="56">
        <v>0</v>
      </c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</row>
    <row r="112" spans="1:89" ht="13" x14ac:dyDescent="0.3">
      <c r="A112" s="135" t="s">
        <v>65</v>
      </c>
      <c r="B112" s="48">
        <v>208625</v>
      </c>
      <c r="C112" s="47" t="s">
        <v>198</v>
      </c>
      <c r="D112" s="49">
        <v>27658</v>
      </c>
      <c r="E112" s="49">
        <v>51043</v>
      </c>
      <c r="F112" s="47" t="s">
        <v>172</v>
      </c>
      <c r="G112" s="47">
        <v>2011</v>
      </c>
      <c r="H112" s="47" t="s">
        <v>133</v>
      </c>
      <c r="I112" s="41">
        <v>1038</v>
      </c>
      <c r="J112" s="41">
        <v>0</v>
      </c>
      <c r="K112" s="41">
        <v>0</v>
      </c>
      <c r="L112" s="41">
        <v>1</v>
      </c>
      <c r="M112" s="41">
        <v>0</v>
      </c>
      <c r="N112" s="41">
        <v>1</v>
      </c>
      <c r="O112" s="138">
        <v>0</v>
      </c>
      <c r="P112" s="147">
        <v>406070.25</v>
      </c>
      <c r="Q112" s="139">
        <v>1</v>
      </c>
      <c r="R112" s="139">
        <v>0</v>
      </c>
      <c r="S112" s="139">
        <v>500000</v>
      </c>
      <c r="T112" s="140">
        <v>44562</v>
      </c>
      <c r="U112" s="139">
        <v>0</v>
      </c>
      <c r="V112" s="141"/>
      <c r="W112" s="141">
        <v>1</v>
      </c>
      <c r="X112" s="24"/>
      <c r="Y112" s="24"/>
      <c r="Z112" s="24"/>
      <c r="AA112" s="24"/>
      <c r="AB112" s="24"/>
      <c r="AC112" s="24"/>
      <c r="AD112" s="24">
        <v>40544</v>
      </c>
      <c r="AE112" s="24"/>
      <c r="AF112" s="24">
        <v>42522</v>
      </c>
      <c r="AG112" s="24">
        <v>42736</v>
      </c>
      <c r="AH112" s="31"/>
      <c r="AI112" s="46" t="str">
        <f t="shared" si="12"/>
        <v/>
      </c>
      <c r="AJ112" s="27"/>
      <c r="AK112" s="27"/>
      <c r="AL112" s="27"/>
      <c r="AM112" s="27"/>
      <c r="AN112" s="27"/>
      <c r="AO112" s="27"/>
      <c r="AP112" s="27"/>
      <c r="AQ112" s="29" t="str">
        <f>IF(AND(AD112&lt;&gt;"",AF112="",AG112=""),DATE(YEAR(AD112)+Menu!$E$10,MONTH(AD112)+Menu!$E$11,1),"")</f>
        <v/>
      </c>
      <c r="AR112" s="29">
        <f t="shared" si="11"/>
        <v>42522</v>
      </c>
      <c r="AS112" s="27" t="str">
        <f>IF(AND(AR112&lt;&gt;"",AH112="",AG112=""),DATE(YEAR(AR112)+Menu!$E$13,MONTH(AR112)+Menu!$E$14,1),"")</f>
        <v/>
      </c>
      <c r="AT112" s="27"/>
      <c r="AU112" s="15" t="s">
        <v>138</v>
      </c>
      <c r="AV112" s="15" t="s">
        <v>138</v>
      </c>
      <c r="AW112" s="16" t="s">
        <v>138</v>
      </c>
      <c r="AX112" s="15" t="s">
        <v>138</v>
      </c>
      <c r="AY112" s="15" t="s">
        <v>138</v>
      </c>
      <c r="AZ112" s="15" t="s">
        <v>138</v>
      </c>
      <c r="BA112" s="15" t="s">
        <v>138</v>
      </c>
      <c r="BB112" s="15" t="s">
        <v>138</v>
      </c>
      <c r="BC112" s="15" t="s">
        <v>138</v>
      </c>
      <c r="BD112" s="16" t="s">
        <v>133</v>
      </c>
      <c r="BE112" s="16" t="s">
        <v>133</v>
      </c>
      <c r="BF112" s="16" t="s">
        <v>133</v>
      </c>
      <c r="BG112" s="16" t="s">
        <v>133</v>
      </c>
      <c r="BH112" s="16" t="s">
        <v>133</v>
      </c>
      <c r="BI112" s="16" t="s">
        <v>134</v>
      </c>
      <c r="BJ112" s="15" t="s">
        <v>135</v>
      </c>
      <c r="BK112" s="15" t="s">
        <v>135</v>
      </c>
      <c r="BL112" s="131" t="s">
        <v>135</v>
      </c>
      <c r="BM112" t="s">
        <v>135</v>
      </c>
      <c r="BN112" t="s">
        <v>135</v>
      </c>
      <c r="BO112" t="s">
        <v>135</v>
      </c>
      <c r="BP112" t="s">
        <v>135</v>
      </c>
      <c r="BQ112" t="s">
        <v>135</v>
      </c>
      <c r="BR112" t="s">
        <v>135</v>
      </c>
      <c r="BS112" t="s">
        <v>135</v>
      </c>
      <c r="BT112" t="s">
        <v>135</v>
      </c>
      <c r="BU112" t="s">
        <v>135</v>
      </c>
      <c r="BV112" t="s">
        <v>135</v>
      </c>
      <c r="BW112" t="s">
        <v>135</v>
      </c>
      <c r="BX112" t="s">
        <v>135</v>
      </c>
      <c r="BY112" s="56">
        <v>406070.25</v>
      </c>
      <c r="BZ112" s="56">
        <v>461907.75</v>
      </c>
      <c r="CA112" s="56">
        <v>517745.25</v>
      </c>
      <c r="CB112" s="56">
        <v>1000375</v>
      </c>
      <c r="CC112" s="56">
        <v>1000375</v>
      </c>
      <c r="CD112" s="56">
        <v>1000375</v>
      </c>
      <c r="CE112" s="56">
        <v>1000375</v>
      </c>
      <c r="CF112" s="56">
        <v>1000375</v>
      </c>
      <c r="CG112" s="56">
        <v>1000375</v>
      </c>
      <c r="CH112" s="56">
        <v>1000375</v>
      </c>
      <c r="CI112" s="56">
        <v>1000375</v>
      </c>
      <c r="CJ112" s="56">
        <v>1000375</v>
      </c>
      <c r="CK112" s="56">
        <v>1000375</v>
      </c>
    </row>
    <row r="113" spans="1:89" ht="13" x14ac:dyDescent="0.3">
      <c r="A113" s="135" t="s">
        <v>191</v>
      </c>
      <c r="B113" s="48">
        <v>0</v>
      </c>
      <c r="C113" s="47" t="s">
        <v>200</v>
      </c>
      <c r="D113" s="49">
        <v>13902</v>
      </c>
      <c r="E113" s="49">
        <v>37711</v>
      </c>
      <c r="F113" s="47" t="s">
        <v>173</v>
      </c>
      <c r="G113" s="47"/>
      <c r="H113" s="47"/>
      <c r="I113" s="40">
        <v>0</v>
      </c>
      <c r="J113" s="41">
        <v>0</v>
      </c>
      <c r="K113" s="41">
        <v>0</v>
      </c>
      <c r="L113" s="41">
        <v>0</v>
      </c>
      <c r="M113" s="41">
        <v>1</v>
      </c>
      <c r="N113" s="41">
        <v>0</v>
      </c>
      <c r="O113" s="138">
        <v>0</v>
      </c>
      <c r="P113" s="147">
        <v>0</v>
      </c>
      <c r="Q113" s="139">
        <v>0</v>
      </c>
      <c r="R113" s="139">
        <v>0</v>
      </c>
      <c r="S113" s="139">
        <v>0</v>
      </c>
      <c r="T113" s="140"/>
      <c r="U113" s="139">
        <v>0</v>
      </c>
      <c r="V113" s="141"/>
      <c r="W113" s="141">
        <v>0</v>
      </c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31"/>
      <c r="AI113" s="46">
        <f t="shared" si="12"/>
        <v>2003</v>
      </c>
      <c r="AJ113" s="27"/>
      <c r="AK113" s="27"/>
      <c r="AL113" s="27"/>
      <c r="AM113" s="27"/>
      <c r="AN113" s="27"/>
      <c r="AO113" s="27"/>
      <c r="AP113" s="27"/>
      <c r="AQ113" s="29" t="str">
        <f>IF(AND(AD113&lt;&gt;"",AF113="",AG113=""),DATE(YEAR(AD113)+Menu!$E$10,MONTH(AD113)+Menu!$E$11,1),"")</f>
        <v/>
      </c>
      <c r="AR113" s="29" t="str">
        <f t="shared" si="11"/>
        <v/>
      </c>
      <c r="AS113" s="27" t="str">
        <f>IF(AND(AR113&lt;&gt;"",AH113="",AG113=""),DATE(YEAR(AR113)+Menu!$E$13,MONTH(AR113)+Menu!$E$14,1),"")</f>
        <v/>
      </c>
      <c r="AT113" s="27"/>
      <c r="AU113" s="15" t="s">
        <v>135</v>
      </c>
      <c r="AV113" s="15" t="s">
        <v>136</v>
      </c>
      <c r="AW113" s="16" t="s">
        <v>136</v>
      </c>
      <c r="AX113" s="15" t="s">
        <v>136</v>
      </c>
      <c r="AY113" s="15" t="s">
        <v>136</v>
      </c>
      <c r="AZ113" s="15" t="s">
        <v>136</v>
      </c>
      <c r="BA113" s="15" t="s">
        <v>136</v>
      </c>
      <c r="BB113" s="15" t="s">
        <v>136</v>
      </c>
      <c r="BC113" s="15" t="s">
        <v>136</v>
      </c>
      <c r="BD113" s="15" t="s">
        <v>136</v>
      </c>
      <c r="BE113" s="15" t="s">
        <v>136</v>
      </c>
      <c r="BF113" s="15" t="s">
        <v>136</v>
      </c>
      <c r="BG113" s="15" t="s">
        <v>136</v>
      </c>
      <c r="BH113" s="15" t="s">
        <v>136</v>
      </c>
      <c r="BI113" s="15" t="s">
        <v>136</v>
      </c>
      <c r="BJ113" s="15" t="s">
        <v>136</v>
      </c>
      <c r="BK113" s="15" t="s">
        <v>136</v>
      </c>
      <c r="BL113" s="131"/>
      <c r="BY113" s="56">
        <v>0</v>
      </c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</row>
    <row r="114" spans="1:89" ht="13" x14ac:dyDescent="0.3">
      <c r="A114" s="135" t="s">
        <v>66</v>
      </c>
      <c r="B114" s="48">
        <v>120900</v>
      </c>
      <c r="C114" s="47" t="s">
        <v>198</v>
      </c>
      <c r="D114" s="49">
        <v>19355</v>
      </c>
      <c r="E114" s="49">
        <v>43100</v>
      </c>
      <c r="F114" s="47" t="s">
        <v>173</v>
      </c>
      <c r="G114" s="47"/>
      <c r="H114" s="47"/>
      <c r="I114" s="40">
        <v>1023</v>
      </c>
      <c r="J114" s="41">
        <v>0</v>
      </c>
      <c r="K114" s="41">
        <v>0</v>
      </c>
      <c r="L114" s="41">
        <v>1</v>
      </c>
      <c r="M114" s="41">
        <v>0</v>
      </c>
      <c r="N114" s="41">
        <v>0</v>
      </c>
      <c r="O114" s="138">
        <v>0</v>
      </c>
      <c r="P114" s="147">
        <v>0</v>
      </c>
      <c r="Q114" s="139">
        <v>0</v>
      </c>
      <c r="R114" s="139">
        <v>0</v>
      </c>
      <c r="S114" s="139">
        <v>0</v>
      </c>
      <c r="T114" s="140"/>
      <c r="U114" s="139">
        <v>0</v>
      </c>
      <c r="V114" s="141"/>
      <c r="W114" s="141">
        <v>0</v>
      </c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31"/>
      <c r="AI114" s="46">
        <f t="shared" si="12"/>
        <v>2017</v>
      </c>
      <c r="AJ114" s="27"/>
      <c r="AK114" s="27"/>
      <c r="AL114" s="27"/>
      <c r="AM114" s="27"/>
      <c r="AN114" s="27"/>
      <c r="AO114" s="27"/>
      <c r="AP114" s="27"/>
      <c r="AQ114" s="29" t="str">
        <f>IF(AND(AD114&lt;&gt;"",AF114="",AG114=""),DATE(YEAR(AD114)+Menu!$E$10,MONTH(AD114)+Menu!$E$11,1),"")</f>
        <v/>
      </c>
      <c r="AR114" s="29" t="str">
        <f t="shared" si="11"/>
        <v/>
      </c>
      <c r="AS114" s="27" t="str">
        <f>IF(AND(AR114&lt;&gt;"",AH114="",AG114=""),DATE(YEAR(AR114)+Menu!$E$13,MONTH(AR114)+Menu!$E$14,1),"")</f>
        <v/>
      </c>
      <c r="AT114" s="27"/>
      <c r="AU114" s="16" t="s">
        <v>135</v>
      </c>
      <c r="AV114" s="16" t="s">
        <v>135</v>
      </c>
      <c r="AW114" s="16" t="s">
        <v>135</v>
      </c>
      <c r="AX114" s="16" t="s">
        <v>135</v>
      </c>
      <c r="AY114" s="16" t="s">
        <v>135</v>
      </c>
      <c r="AZ114" s="16" t="s">
        <v>135</v>
      </c>
      <c r="BA114" s="16" t="s">
        <v>135</v>
      </c>
      <c r="BB114" s="16" t="s">
        <v>135</v>
      </c>
      <c r="BC114" s="16" t="s">
        <v>135</v>
      </c>
      <c r="BD114" s="16" t="s">
        <v>135</v>
      </c>
      <c r="BE114" s="16" t="s">
        <v>135</v>
      </c>
      <c r="BF114" s="16" t="s">
        <v>135</v>
      </c>
      <c r="BG114" s="16" t="s">
        <v>135</v>
      </c>
      <c r="BH114" s="16" t="s">
        <v>135</v>
      </c>
      <c r="BI114" s="16" t="s">
        <v>135</v>
      </c>
      <c r="BJ114" s="15" t="s">
        <v>136</v>
      </c>
      <c r="BK114" s="15" t="s">
        <v>136</v>
      </c>
      <c r="BL114" s="131"/>
      <c r="BY114" s="56">
        <v>0</v>
      </c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</row>
    <row r="115" spans="1:89" ht="13" x14ac:dyDescent="0.3">
      <c r="A115" s="176" t="s">
        <v>67</v>
      </c>
      <c r="B115" s="48">
        <v>112194</v>
      </c>
      <c r="C115" s="47" t="s">
        <v>196</v>
      </c>
      <c r="D115" s="49">
        <v>22872</v>
      </c>
      <c r="E115" s="49">
        <v>44255</v>
      </c>
      <c r="F115" s="47" t="s">
        <v>173</v>
      </c>
      <c r="G115" s="47"/>
      <c r="H115" s="47"/>
      <c r="I115" s="41">
        <v>414</v>
      </c>
      <c r="J115" s="41">
        <v>1</v>
      </c>
      <c r="K115" s="41">
        <v>0</v>
      </c>
      <c r="L115" s="41">
        <v>0</v>
      </c>
      <c r="M115" s="41">
        <v>0</v>
      </c>
      <c r="N115" s="41">
        <v>0</v>
      </c>
      <c r="O115" s="138">
        <v>0</v>
      </c>
      <c r="P115" s="147">
        <f>689084-P181-P228-P249</f>
        <v>388454.29999999993</v>
      </c>
      <c r="Q115" s="139">
        <v>1</v>
      </c>
      <c r="R115" s="139">
        <v>1</v>
      </c>
      <c r="S115" s="139">
        <v>0</v>
      </c>
      <c r="T115" s="140"/>
      <c r="U115" s="139">
        <v>-66896</v>
      </c>
      <c r="V115" s="141">
        <v>2020</v>
      </c>
      <c r="W115" s="141">
        <v>1</v>
      </c>
      <c r="X115" s="24"/>
      <c r="Y115" s="24"/>
      <c r="Z115" s="24"/>
      <c r="AA115" s="24"/>
      <c r="AB115" s="24"/>
      <c r="AC115" s="24"/>
      <c r="AD115" s="24"/>
      <c r="AE115" s="24"/>
      <c r="AF115" s="24"/>
      <c r="AG115" s="24">
        <v>37257</v>
      </c>
      <c r="AH115" s="31"/>
      <c r="AI115" s="46"/>
      <c r="AJ115" s="27"/>
      <c r="AK115" s="27"/>
      <c r="AL115" s="27"/>
      <c r="AM115" s="27"/>
      <c r="AN115" s="27"/>
      <c r="AO115" s="27"/>
      <c r="AP115" s="27"/>
      <c r="AQ115" s="29" t="str">
        <f>IF(AND(AD115&lt;&gt;"",AF115="",AG115=""),DATE(YEAR(AD115)+Menu!$E$10,MONTH(AD115)+Menu!$E$11,1),"")</f>
        <v/>
      </c>
      <c r="AR115" s="29" t="str">
        <f t="shared" si="11"/>
        <v/>
      </c>
      <c r="AS115" s="27" t="str">
        <f>IF(AND(AR115&lt;&gt;"",AH115="",AG115=""),DATE(YEAR(AR115)+Menu!$E$13,MONTH(AR115)+Menu!$E$14,1),"")</f>
        <v/>
      </c>
      <c r="AT115" s="27"/>
      <c r="AU115" s="16" t="s">
        <v>135</v>
      </c>
      <c r="AV115" s="16" t="s">
        <v>135</v>
      </c>
      <c r="AW115" s="16" t="s">
        <v>135</v>
      </c>
      <c r="AX115" s="16" t="s">
        <v>135</v>
      </c>
      <c r="AY115" s="16" t="s">
        <v>135</v>
      </c>
      <c r="AZ115" s="16" t="s">
        <v>135</v>
      </c>
      <c r="BA115" s="16" t="s">
        <v>135</v>
      </c>
      <c r="BB115" s="16" t="s">
        <v>135</v>
      </c>
      <c r="BC115" s="16" t="s">
        <v>135</v>
      </c>
      <c r="BD115" s="16" t="s">
        <v>135</v>
      </c>
      <c r="BE115" s="16" t="s">
        <v>135</v>
      </c>
      <c r="BF115" s="16" t="s">
        <v>135</v>
      </c>
      <c r="BG115" s="16" t="s">
        <v>135</v>
      </c>
      <c r="BH115" s="16" t="s">
        <v>135</v>
      </c>
      <c r="BI115" s="16" t="s">
        <v>135</v>
      </c>
      <c r="BJ115" s="15" t="s">
        <v>135</v>
      </c>
      <c r="BK115" s="15" t="s">
        <v>135</v>
      </c>
      <c r="BL115" s="133" t="s">
        <v>135</v>
      </c>
      <c r="BM115" t="s">
        <v>135</v>
      </c>
      <c r="BN115" t="s">
        <v>138</v>
      </c>
      <c r="BO115" t="s">
        <v>138</v>
      </c>
      <c r="BP115" t="s">
        <v>138</v>
      </c>
      <c r="BQ115" t="s">
        <v>138</v>
      </c>
      <c r="BR115" t="s">
        <v>138</v>
      </c>
      <c r="BS115" t="s">
        <v>138</v>
      </c>
      <c r="BT115" t="s">
        <v>138</v>
      </c>
      <c r="BU115" t="s">
        <v>138</v>
      </c>
      <c r="BV115" t="s">
        <v>138</v>
      </c>
      <c r="BW115" t="s">
        <v>138</v>
      </c>
      <c r="BX115" t="s">
        <v>138</v>
      </c>
      <c r="BY115" s="56">
        <v>388454.29999999993</v>
      </c>
      <c r="BZ115" s="56">
        <v>377395.79999999993</v>
      </c>
      <c r="CA115" s="56">
        <v>62899.299999999988</v>
      </c>
      <c r="CB115" s="56">
        <v>0</v>
      </c>
      <c r="CC115" s="56">
        <v>0</v>
      </c>
      <c r="CD115" s="56">
        <v>0</v>
      </c>
      <c r="CE115" s="56">
        <v>0</v>
      </c>
      <c r="CF115" s="56">
        <v>0</v>
      </c>
      <c r="CG115" s="56">
        <v>0</v>
      </c>
      <c r="CH115" s="56">
        <v>0</v>
      </c>
      <c r="CI115" s="56">
        <v>0</v>
      </c>
      <c r="CJ115" s="56">
        <v>0</v>
      </c>
      <c r="CK115" s="56">
        <v>0</v>
      </c>
    </row>
    <row r="116" spans="1:89" ht="13" x14ac:dyDescent="0.3">
      <c r="A116" s="135" t="s">
        <v>68</v>
      </c>
      <c r="B116" s="48">
        <v>105649</v>
      </c>
      <c r="C116" s="47" t="s">
        <v>200</v>
      </c>
      <c r="D116" s="49">
        <v>17651</v>
      </c>
      <c r="E116" s="49">
        <v>41394</v>
      </c>
      <c r="F116" s="47" t="s">
        <v>173</v>
      </c>
      <c r="G116" s="47"/>
      <c r="H116" s="47"/>
      <c r="I116" s="40">
        <v>845</v>
      </c>
      <c r="J116" s="41">
        <v>0</v>
      </c>
      <c r="K116" s="41">
        <v>0</v>
      </c>
      <c r="L116" s="41">
        <v>0</v>
      </c>
      <c r="M116" s="41">
        <v>1</v>
      </c>
      <c r="N116" s="41">
        <v>0</v>
      </c>
      <c r="O116" s="138">
        <v>0</v>
      </c>
      <c r="P116" s="147">
        <v>0</v>
      </c>
      <c r="Q116" s="139">
        <v>0</v>
      </c>
      <c r="R116" s="139">
        <v>0</v>
      </c>
      <c r="S116" s="139">
        <v>0</v>
      </c>
      <c r="T116" s="140"/>
      <c r="U116" s="139">
        <v>0</v>
      </c>
      <c r="V116" s="141"/>
      <c r="W116" s="141">
        <v>0</v>
      </c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31"/>
      <c r="AI116" s="46">
        <f t="shared" ref="AI116:AI134" si="13">IF(YEAR(E116)&lt;2018,YEAR(E116),"")</f>
        <v>2013</v>
      </c>
      <c r="AJ116" s="27"/>
      <c r="AK116" s="27"/>
      <c r="AL116" s="27"/>
      <c r="AM116" s="27"/>
      <c r="AN116" s="27"/>
      <c r="AO116" s="27"/>
      <c r="AP116" s="27"/>
      <c r="AQ116" s="29" t="str">
        <f>IF(AND(AD116&lt;&gt;"",AF116="",AG116=""),DATE(YEAR(AD116)+Menu!$E$10,MONTH(AD116)+Menu!$E$11,1),"")</f>
        <v/>
      </c>
      <c r="AR116" s="29" t="str">
        <f t="shared" si="11"/>
        <v/>
      </c>
      <c r="AS116" s="27" t="str">
        <f>IF(AND(AR116&lt;&gt;"",AH116="",AG116=""),DATE(YEAR(AR116)+Menu!$E$13,MONTH(AR116)+Menu!$E$14,1),"")</f>
        <v/>
      </c>
      <c r="AT116" s="27"/>
      <c r="AU116" s="15" t="s">
        <v>138</v>
      </c>
      <c r="AV116" s="15" t="s">
        <v>138</v>
      </c>
      <c r="AW116" s="15" t="s">
        <v>138</v>
      </c>
      <c r="AX116" s="16" t="s">
        <v>131</v>
      </c>
      <c r="AY116" s="16" t="s">
        <v>131</v>
      </c>
      <c r="AZ116" s="16" t="s">
        <v>131</v>
      </c>
      <c r="BA116" s="16" t="s">
        <v>131</v>
      </c>
      <c r="BB116" s="16" t="s">
        <v>131</v>
      </c>
      <c r="BC116" s="16" t="s">
        <v>131</v>
      </c>
      <c r="BD116" s="16" t="s">
        <v>131</v>
      </c>
      <c r="BE116" s="16" t="s">
        <v>131</v>
      </c>
      <c r="BF116" s="15" t="s">
        <v>136</v>
      </c>
      <c r="BG116" s="15" t="s">
        <v>136</v>
      </c>
      <c r="BH116" s="15" t="s">
        <v>136</v>
      </c>
      <c r="BI116" s="15" t="s">
        <v>136</v>
      </c>
      <c r="BJ116" s="15" t="s">
        <v>136</v>
      </c>
      <c r="BK116" s="15" t="s">
        <v>136</v>
      </c>
      <c r="BL116" s="131"/>
      <c r="BY116" s="56">
        <v>0</v>
      </c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</row>
    <row r="117" spans="1:89" ht="13" x14ac:dyDescent="0.3">
      <c r="A117" s="135" t="s">
        <v>69</v>
      </c>
      <c r="B117" s="48">
        <v>105657</v>
      </c>
      <c r="C117" s="47" t="s">
        <v>200</v>
      </c>
      <c r="D117" s="49">
        <v>23513</v>
      </c>
      <c r="E117" s="49">
        <v>47269</v>
      </c>
      <c r="F117" s="47" t="s">
        <v>173</v>
      </c>
      <c r="G117" s="47"/>
      <c r="H117" s="47"/>
      <c r="I117" s="41">
        <v>841</v>
      </c>
      <c r="J117" s="41">
        <v>0</v>
      </c>
      <c r="K117" s="41">
        <v>0</v>
      </c>
      <c r="L117" s="41">
        <v>0</v>
      </c>
      <c r="M117" s="41">
        <v>1</v>
      </c>
      <c r="N117" s="41">
        <v>0</v>
      </c>
      <c r="O117" s="138">
        <v>2</v>
      </c>
      <c r="P117" s="147">
        <v>0</v>
      </c>
      <c r="Q117" s="139">
        <v>1</v>
      </c>
      <c r="R117" s="139">
        <v>0</v>
      </c>
      <c r="S117" s="139">
        <v>0</v>
      </c>
      <c r="T117" s="140"/>
      <c r="U117" s="139">
        <v>0</v>
      </c>
      <c r="V117" s="141"/>
      <c r="W117" s="141">
        <v>1</v>
      </c>
      <c r="X117" s="24"/>
      <c r="Y117" s="24">
        <v>38859</v>
      </c>
      <c r="Z117" s="24"/>
      <c r="AA117" s="24"/>
      <c r="AB117" s="24"/>
      <c r="AC117" s="24"/>
      <c r="AD117" s="24"/>
      <c r="AE117" s="24"/>
      <c r="AF117" s="24"/>
      <c r="AG117" s="24"/>
      <c r="AH117" s="31"/>
      <c r="AI117" s="46" t="str">
        <f t="shared" si="13"/>
        <v/>
      </c>
      <c r="AJ117" s="27"/>
      <c r="AK117" s="27"/>
      <c r="AL117" s="27"/>
      <c r="AM117" s="27"/>
      <c r="AN117" s="27"/>
      <c r="AO117" s="27"/>
      <c r="AP117" s="27"/>
      <c r="AQ117" s="29" t="str">
        <f>IF(AND(AD117&lt;&gt;"",AF117="",AG117=""),DATE(YEAR(AD117)+Menu!$E$10,MONTH(AD117)+Menu!$E$11,1),"")</f>
        <v/>
      </c>
      <c r="AR117" s="29" t="str">
        <f t="shared" si="11"/>
        <v/>
      </c>
      <c r="AS117" s="27" t="str">
        <f>IF(AND(AR117&lt;&gt;"",AH117="",AG117=""),DATE(YEAR(AR117)+Menu!$E$13,MONTH(AR117)+Menu!$E$14,1),"")</f>
        <v/>
      </c>
      <c r="AT117" s="27"/>
      <c r="AU117" s="15" t="s">
        <v>138</v>
      </c>
      <c r="AV117" s="15" t="s">
        <v>138</v>
      </c>
      <c r="AW117" s="16" t="s">
        <v>138</v>
      </c>
      <c r="AX117" s="15" t="s">
        <v>138</v>
      </c>
      <c r="AY117" s="16" t="s">
        <v>129</v>
      </c>
      <c r="AZ117" s="16" t="s">
        <v>129</v>
      </c>
      <c r="BA117" s="16" t="s">
        <v>129</v>
      </c>
      <c r="BB117" s="16" t="s">
        <v>129</v>
      </c>
      <c r="BC117" s="16" t="s">
        <v>129</v>
      </c>
      <c r="BD117" s="16" t="s">
        <v>129</v>
      </c>
      <c r="BE117" s="16" t="s">
        <v>129</v>
      </c>
      <c r="BF117" s="16" t="s">
        <v>129</v>
      </c>
      <c r="BG117" s="16" t="s">
        <v>129</v>
      </c>
      <c r="BH117" s="16" t="s">
        <v>129</v>
      </c>
      <c r="BI117" s="16" t="s">
        <v>129</v>
      </c>
      <c r="BJ117" s="15" t="s">
        <v>129</v>
      </c>
      <c r="BK117" s="15" t="s">
        <v>129</v>
      </c>
      <c r="BL117" s="131" t="s">
        <v>129</v>
      </c>
      <c r="BM117" t="s">
        <v>129</v>
      </c>
      <c r="BN117" t="s">
        <v>129</v>
      </c>
      <c r="BO117" t="s">
        <v>129</v>
      </c>
      <c r="BP117" t="s">
        <v>129</v>
      </c>
      <c r="BQ117" t="s">
        <v>129</v>
      </c>
      <c r="BR117" t="s">
        <v>129</v>
      </c>
      <c r="BS117" t="s">
        <v>129</v>
      </c>
      <c r="BT117" t="s">
        <v>129</v>
      </c>
      <c r="BU117" t="s">
        <v>129</v>
      </c>
      <c r="BV117" t="s">
        <v>129</v>
      </c>
      <c r="BW117" t="s">
        <v>138</v>
      </c>
      <c r="BX117" t="s">
        <v>138</v>
      </c>
      <c r="BY117" s="56">
        <v>0</v>
      </c>
      <c r="BZ117" s="56">
        <v>0</v>
      </c>
      <c r="CA117" s="56">
        <v>0</v>
      </c>
      <c r="CB117" s="56">
        <v>0</v>
      </c>
      <c r="CC117" s="56">
        <v>0</v>
      </c>
      <c r="CD117" s="56">
        <v>0</v>
      </c>
      <c r="CE117" s="56">
        <v>0</v>
      </c>
      <c r="CF117" s="56">
        <v>0</v>
      </c>
      <c r="CG117" s="56">
        <v>0</v>
      </c>
      <c r="CH117" s="56">
        <v>0</v>
      </c>
      <c r="CI117" s="56">
        <v>0</v>
      </c>
      <c r="CJ117" s="56">
        <v>0</v>
      </c>
      <c r="CK117" s="56">
        <v>0</v>
      </c>
    </row>
    <row r="118" spans="1:89" ht="13" x14ac:dyDescent="0.3">
      <c r="A118" s="135" t="s">
        <v>158</v>
      </c>
      <c r="B118" s="48">
        <v>105662</v>
      </c>
      <c r="C118" s="47" t="s">
        <v>197</v>
      </c>
      <c r="D118" s="49">
        <v>19197</v>
      </c>
      <c r="E118" s="49">
        <v>42582</v>
      </c>
      <c r="F118" s="47" t="s">
        <v>172</v>
      </c>
      <c r="G118" s="47"/>
      <c r="H118" s="47"/>
      <c r="I118" s="41">
        <v>342</v>
      </c>
      <c r="J118" s="41">
        <v>0</v>
      </c>
      <c r="K118" s="41">
        <v>1</v>
      </c>
      <c r="L118" s="41">
        <v>0</v>
      </c>
      <c r="M118" s="41">
        <v>0</v>
      </c>
      <c r="N118" s="41">
        <v>0</v>
      </c>
      <c r="O118" s="138">
        <v>0</v>
      </c>
      <c r="P118" s="147">
        <v>0</v>
      </c>
      <c r="Q118" s="139">
        <v>0</v>
      </c>
      <c r="R118" s="139">
        <v>0</v>
      </c>
      <c r="S118" s="139">
        <v>0</v>
      </c>
      <c r="T118" s="140"/>
      <c r="U118" s="139">
        <v>0</v>
      </c>
      <c r="V118" s="141"/>
      <c r="W118" s="141">
        <v>0</v>
      </c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31"/>
      <c r="AI118" s="46">
        <f t="shared" si="13"/>
        <v>2016</v>
      </c>
      <c r="AJ118" s="27"/>
      <c r="AK118" s="27"/>
      <c r="AL118" s="27"/>
      <c r="AM118" s="27"/>
      <c r="AN118" s="27"/>
      <c r="AO118" s="27"/>
      <c r="AP118" s="27"/>
      <c r="AQ118" s="29" t="str">
        <f>IF(AND(AD118&lt;&gt;"",AF118="",AG118=""),DATE(YEAR(AD118)+Menu!$E$10,MONTH(AD118)+Menu!$E$11,1),"")</f>
        <v/>
      </c>
      <c r="AR118" s="29" t="str">
        <f t="shared" si="11"/>
        <v/>
      </c>
      <c r="AS118" s="27" t="str">
        <f>IF(AND(AR118&lt;&gt;"",AH118="",AG118=""),DATE(YEAR(AR118)+Menu!$E$13,MONTH(AR118)+Menu!$E$14,1),"")</f>
        <v/>
      </c>
      <c r="AT118" s="27"/>
      <c r="AU118" s="15" t="s">
        <v>138</v>
      </c>
      <c r="AV118" s="15" t="s">
        <v>138</v>
      </c>
      <c r="AW118" s="16" t="s">
        <v>138</v>
      </c>
      <c r="AX118" s="16" t="s">
        <v>138</v>
      </c>
      <c r="AY118" s="16" t="s">
        <v>138</v>
      </c>
      <c r="AZ118" s="16" t="s">
        <v>138</v>
      </c>
      <c r="BA118" s="16" t="s">
        <v>138</v>
      </c>
      <c r="BB118" s="16" t="s">
        <v>138</v>
      </c>
      <c r="BC118" s="16" t="s">
        <v>138</v>
      </c>
      <c r="BD118" s="16" t="s">
        <v>138</v>
      </c>
      <c r="BE118" s="16" t="s">
        <v>129</v>
      </c>
      <c r="BF118" s="16" t="s">
        <v>129</v>
      </c>
      <c r="BG118" s="16" t="s">
        <v>129</v>
      </c>
      <c r="BH118" s="16" t="s">
        <v>129</v>
      </c>
      <c r="BI118" s="15" t="s">
        <v>138</v>
      </c>
      <c r="BJ118" s="15" t="s">
        <v>138</v>
      </c>
      <c r="BK118" s="15" t="s">
        <v>138</v>
      </c>
      <c r="BL118" s="131"/>
      <c r="BY118" s="56">
        <v>0</v>
      </c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</row>
    <row r="119" spans="1:89" ht="13" x14ac:dyDescent="0.3">
      <c r="A119" s="135" t="s">
        <v>70</v>
      </c>
      <c r="B119" s="48">
        <v>128821</v>
      </c>
      <c r="C119" s="47" t="s">
        <v>201</v>
      </c>
      <c r="D119" s="49">
        <v>18243</v>
      </c>
      <c r="E119" s="49">
        <v>42004</v>
      </c>
      <c r="F119" s="47" t="s">
        <v>173</v>
      </c>
      <c r="G119" s="47"/>
      <c r="H119" s="47"/>
      <c r="I119" s="40">
        <v>476</v>
      </c>
      <c r="J119" s="41">
        <v>0</v>
      </c>
      <c r="K119" s="41">
        <v>0</v>
      </c>
      <c r="L119" s="41">
        <v>0</v>
      </c>
      <c r="M119" s="41">
        <v>0</v>
      </c>
      <c r="N119" s="41">
        <v>1</v>
      </c>
      <c r="O119" s="138">
        <v>0</v>
      </c>
      <c r="P119" s="147">
        <v>0</v>
      </c>
      <c r="Q119" s="139">
        <v>0</v>
      </c>
      <c r="R119" s="139">
        <v>0</v>
      </c>
      <c r="S119" s="139">
        <v>0</v>
      </c>
      <c r="T119" s="140"/>
      <c r="U119" s="139">
        <v>0</v>
      </c>
      <c r="V119" s="141"/>
      <c r="W119" s="141">
        <v>0</v>
      </c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31"/>
      <c r="AI119" s="46">
        <f t="shared" si="13"/>
        <v>2014</v>
      </c>
      <c r="AJ119" s="27"/>
      <c r="AK119" s="27"/>
      <c r="AL119" s="27"/>
      <c r="AM119" s="27"/>
      <c r="AN119" s="27"/>
      <c r="AO119" s="27"/>
      <c r="AP119" s="27"/>
      <c r="AQ119" s="29" t="str">
        <f>IF(AND(AD119&lt;&gt;"",AF119="",AG119=""),DATE(YEAR(AD119)+Menu!$E$10,MONTH(AD119)+Menu!$E$11,1),"")</f>
        <v/>
      </c>
      <c r="AR119" s="29" t="str">
        <f t="shared" si="11"/>
        <v/>
      </c>
      <c r="AS119" s="27" t="str">
        <f>IF(AND(AR119&lt;&gt;"",AH119="",AG119=""),DATE(YEAR(AR119)+Menu!$E$13,MONTH(AR119)+Menu!$E$14,1),"")</f>
        <v/>
      </c>
      <c r="AT119" s="27"/>
      <c r="AU119" s="15" t="s">
        <v>138</v>
      </c>
      <c r="AV119" s="15" t="s">
        <v>138</v>
      </c>
      <c r="AW119" s="15" t="s">
        <v>138</v>
      </c>
      <c r="AX119" s="16" t="s">
        <v>131</v>
      </c>
      <c r="AY119" s="16" t="s">
        <v>131</v>
      </c>
      <c r="AZ119" s="16" t="s">
        <v>131</v>
      </c>
      <c r="BA119" s="16" t="s">
        <v>131</v>
      </c>
      <c r="BB119" s="16" t="s">
        <v>131</v>
      </c>
      <c r="BC119" s="16" t="s">
        <v>131</v>
      </c>
      <c r="BD119" s="16" t="s">
        <v>131</v>
      </c>
      <c r="BE119" s="16" t="s">
        <v>131</v>
      </c>
      <c r="BF119" s="16" t="s">
        <v>131</v>
      </c>
      <c r="BG119" s="16" t="s">
        <v>132</v>
      </c>
      <c r="BH119" s="16" t="s">
        <v>138</v>
      </c>
      <c r="BI119" s="16" t="s">
        <v>138</v>
      </c>
      <c r="BJ119" s="16" t="s">
        <v>138</v>
      </c>
      <c r="BK119" s="16" t="s">
        <v>138</v>
      </c>
      <c r="BL119" s="132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56">
        <v>0</v>
      </c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</row>
    <row r="120" spans="1:89" ht="13" x14ac:dyDescent="0.3">
      <c r="A120" s="135" t="s">
        <v>71</v>
      </c>
      <c r="B120" s="48">
        <v>105668</v>
      </c>
      <c r="C120" s="47" t="s">
        <v>198</v>
      </c>
      <c r="D120" s="49">
        <v>19786</v>
      </c>
      <c r="E120" s="49">
        <v>43555</v>
      </c>
      <c r="F120" s="47" t="s">
        <v>173</v>
      </c>
      <c r="G120" s="47"/>
      <c r="H120" s="47"/>
      <c r="I120" s="41">
        <v>368</v>
      </c>
      <c r="J120" s="41">
        <v>0</v>
      </c>
      <c r="K120" s="41">
        <v>0</v>
      </c>
      <c r="L120" s="41">
        <v>1</v>
      </c>
      <c r="M120" s="41">
        <v>0</v>
      </c>
      <c r="N120" s="41">
        <v>0</v>
      </c>
      <c r="O120" s="138">
        <v>1</v>
      </c>
      <c r="P120" s="147">
        <v>54367.000000000007</v>
      </c>
      <c r="Q120" s="139">
        <v>1</v>
      </c>
      <c r="R120" s="139">
        <v>0</v>
      </c>
      <c r="S120" s="139">
        <v>0</v>
      </c>
      <c r="T120" s="140"/>
      <c r="U120" s="139">
        <v>0</v>
      </c>
      <c r="V120" s="141"/>
      <c r="W120" s="141">
        <v>1</v>
      </c>
      <c r="X120" s="24"/>
      <c r="Y120" s="24">
        <v>40553</v>
      </c>
      <c r="Z120" s="24"/>
      <c r="AA120" s="24"/>
      <c r="AB120" s="24"/>
      <c r="AC120" s="24"/>
      <c r="AD120" s="24"/>
      <c r="AE120" s="24"/>
      <c r="AF120" s="24"/>
      <c r="AG120" s="24"/>
      <c r="AH120" s="31"/>
      <c r="AI120" s="46" t="str">
        <f t="shared" si="13"/>
        <v/>
      </c>
      <c r="AJ120" s="27"/>
      <c r="AK120" s="27"/>
      <c r="AL120" s="27"/>
      <c r="AM120" s="27"/>
      <c r="AN120" s="27"/>
      <c r="AO120" s="27"/>
      <c r="AP120" s="27"/>
      <c r="AQ120" s="29" t="str">
        <f>IF(AND(AD120&lt;&gt;"",AF120="",AG120=""),DATE(YEAR(AD120)+Menu!$E$10,MONTH(AD120)+Menu!$E$11,1),"")</f>
        <v/>
      </c>
      <c r="AR120" s="29" t="str">
        <f t="shared" si="11"/>
        <v/>
      </c>
      <c r="AS120" s="27" t="str">
        <f>IF(AND(AR120&lt;&gt;"",AH120="",AG120=""),DATE(YEAR(AR120)+Menu!$E$13,MONTH(AR120)+Menu!$E$14,1),"")</f>
        <v/>
      </c>
      <c r="AT120" s="27"/>
      <c r="AU120" s="15" t="s">
        <v>138</v>
      </c>
      <c r="AV120" s="15" t="s">
        <v>138</v>
      </c>
      <c r="AW120" s="16" t="s">
        <v>138</v>
      </c>
      <c r="AX120" s="15" t="s">
        <v>138</v>
      </c>
      <c r="AY120" s="15" t="s">
        <v>138</v>
      </c>
      <c r="AZ120" s="15" t="s">
        <v>138</v>
      </c>
      <c r="BA120" s="15" t="s">
        <v>138</v>
      </c>
      <c r="BB120" s="15" t="s">
        <v>138</v>
      </c>
      <c r="BC120" s="15" t="s">
        <v>138</v>
      </c>
      <c r="BD120" s="16" t="s">
        <v>129</v>
      </c>
      <c r="BE120" s="16" t="s">
        <v>129</v>
      </c>
      <c r="BF120" s="16" t="s">
        <v>129</v>
      </c>
      <c r="BG120" s="16" t="s">
        <v>129</v>
      </c>
      <c r="BH120" s="16" t="s">
        <v>129</v>
      </c>
      <c r="BI120" s="16" t="s">
        <v>129</v>
      </c>
      <c r="BJ120" s="15" t="s">
        <v>129</v>
      </c>
      <c r="BK120" s="15" t="s">
        <v>129</v>
      </c>
      <c r="BL120" s="131" t="s">
        <v>138</v>
      </c>
      <c r="BM120" t="s">
        <v>138</v>
      </c>
      <c r="BN120" t="s">
        <v>138</v>
      </c>
      <c r="BO120" t="s">
        <v>138</v>
      </c>
      <c r="BP120" t="s">
        <v>138</v>
      </c>
      <c r="BQ120" t="s">
        <v>138</v>
      </c>
      <c r="BR120" t="s">
        <v>138</v>
      </c>
      <c r="BS120" t="s">
        <v>138</v>
      </c>
      <c r="BT120" t="s">
        <v>138</v>
      </c>
      <c r="BU120" t="s">
        <v>138</v>
      </c>
      <c r="BV120" t="s">
        <v>138</v>
      </c>
      <c r="BW120" t="s">
        <v>138</v>
      </c>
      <c r="BX120" t="s">
        <v>138</v>
      </c>
      <c r="BY120" s="56">
        <v>54367.000000000007</v>
      </c>
      <c r="BZ120" s="56">
        <v>0</v>
      </c>
      <c r="CA120" s="56">
        <v>0</v>
      </c>
      <c r="CB120" s="56">
        <v>0</v>
      </c>
      <c r="CC120" s="56">
        <v>0</v>
      </c>
      <c r="CD120" s="56">
        <v>0</v>
      </c>
      <c r="CE120" s="56">
        <v>0</v>
      </c>
      <c r="CF120" s="56">
        <v>0</v>
      </c>
      <c r="CG120" s="56">
        <v>0</v>
      </c>
      <c r="CH120" s="56">
        <v>0</v>
      </c>
      <c r="CI120" s="56">
        <v>0</v>
      </c>
      <c r="CJ120" s="56">
        <v>0</v>
      </c>
      <c r="CK120" s="56">
        <v>0</v>
      </c>
    </row>
    <row r="121" spans="1:89" ht="13" x14ac:dyDescent="0.3">
      <c r="A121" s="135" t="s">
        <v>205</v>
      </c>
      <c r="B121" s="148">
        <v>243441</v>
      </c>
      <c r="C121" s="47" t="s">
        <v>200</v>
      </c>
      <c r="D121" s="49">
        <v>26205</v>
      </c>
      <c r="E121" s="49">
        <v>49948</v>
      </c>
      <c r="F121" s="47" t="s">
        <v>173</v>
      </c>
      <c r="G121" s="47">
        <v>2014</v>
      </c>
      <c r="H121" s="47" t="s">
        <v>134</v>
      </c>
      <c r="I121" s="41">
        <v>813</v>
      </c>
      <c r="J121" s="41">
        <v>0</v>
      </c>
      <c r="K121" s="41">
        <v>0</v>
      </c>
      <c r="L121" s="41">
        <v>1</v>
      </c>
      <c r="M121" s="41">
        <v>1</v>
      </c>
      <c r="N121" s="41">
        <v>0</v>
      </c>
      <c r="O121" s="138">
        <v>0</v>
      </c>
      <c r="P121" s="147">
        <v>259871.50000000003</v>
      </c>
      <c r="Q121" s="139">
        <v>1</v>
      </c>
      <c r="R121" s="139">
        <v>1</v>
      </c>
      <c r="S121" s="139">
        <v>500000</v>
      </c>
      <c r="T121" s="140">
        <v>45352</v>
      </c>
      <c r="U121" s="139">
        <v>0</v>
      </c>
      <c r="V121" s="141"/>
      <c r="W121" s="141">
        <v>1</v>
      </c>
      <c r="X121" s="24"/>
      <c r="Y121" s="24"/>
      <c r="Z121" s="24"/>
      <c r="AA121" s="24"/>
      <c r="AB121" s="24"/>
      <c r="AC121" s="24"/>
      <c r="AD121" s="24"/>
      <c r="AE121" s="24"/>
      <c r="AF121" s="24">
        <v>41699</v>
      </c>
      <c r="AG121" s="24"/>
      <c r="AH121" s="31">
        <v>44105</v>
      </c>
      <c r="AI121" s="46" t="str">
        <f t="shared" si="13"/>
        <v/>
      </c>
      <c r="AJ121" s="27"/>
      <c r="AK121" s="27"/>
      <c r="AL121" s="27"/>
      <c r="AM121" s="27"/>
      <c r="AN121" s="27"/>
      <c r="AO121" s="27"/>
      <c r="AP121" s="27"/>
      <c r="AQ121" s="29" t="str">
        <f>IF(AND(AD121&lt;&gt;"",AF121="",AG121=""),DATE(YEAR(AD121)+Menu!$E$10,MONTH(AD121)+Menu!$E$11,1),"")</f>
        <v/>
      </c>
      <c r="AR121" s="29">
        <f t="shared" si="11"/>
        <v>41699</v>
      </c>
      <c r="AS121" s="27" t="str">
        <f>IF(AND(AR121&lt;&gt;"",AH121="",AG121=""),DATE(YEAR(AR121)+Menu!$E$13,MONTH(AR121)+Menu!$E$14,1),"")</f>
        <v/>
      </c>
      <c r="AT121" s="27"/>
      <c r="AU121" s="15" t="s">
        <v>138</v>
      </c>
      <c r="AV121" s="15" t="s">
        <v>138</v>
      </c>
      <c r="AW121" s="15" t="s">
        <v>138</v>
      </c>
      <c r="AX121" s="15" t="s">
        <v>138</v>
      </c>
      <c r="AY121" s="15" t="s">
        <v>138</v>
      </c>
      <c r="AZ121" s="15" t="s">
        <v>138</v>
      </c>
      <c r="BA121" s="15" t="s">
        <v>138</v>
      </c>
      <c r="BB121" s="15" t="s">
        <v>138</v>
      </c>
      <c r="BC121" s="15" t="s">
        <v>138</v>
      </c>
      <c r="BD121" s="15" t="s">
        <v>138</v>
      </c>
      <c r="BE121" s="15" t="s">
        <v>138</v>
      </c>
      <c r="BF121" s="15" t="s">
        <v>138</v>
      </c>
      <c r="BG121" s="16" t="s">
        <v>134</v>
      </c>
      <c r="BH121" s="16" t="s">
        <v>134</v>
      </c>
      <c r="BI121" s="16" t="s">
        <v>134</v>
      </c>
      <c r="BJ121" s="15" t="s">
        <v>134</v>
      </c>
      <c r="BK121" s="15" t="s">
        <v>134</v>
      </c>
      <c r="BL121" s="131" t="s">
        <v>134</v>
      </c>
      <c r="BM121" t="s">
        <v>135</v>
      </c>
      <c r="BN121" t="s">
        <v>135</v>
      </c>
      <c r="BO121" t="s">
        <v>135</v>
      </c>
      <c r="BP121" t="s">
        <v>135</v>
      </c>
      <c r="BQ121" t="s">
        <v>135</v>
      </c>
      <c r="BR121" t="s">
        <v>135</v>
      </c>
      <c r="BS121" t="s">
        <v>135</v>
      </c>
      <c r="BT121" t="s">
        <v>135</v>
      </c>
      <c r="BU121" t="s">
        <v>135</v>
      </c>
      <c r="BV121" t="s">
        <v>135</v>
      </c>
      <c r="BW121" t="s">
        <v>135</v>
      </c>
      <c r="BX121" t="s">
        <v>135</v>
      </c>
      <c r="BY121" s="56">
        <v>259871.50000000003</v>
      </c>
      <c r="BZ121" s="56">
        <v>273830.875</v>
      </c>
      <c r="CA121" s="56">
        <v>329668.375</v>
      </c>
      <c r="CB121" s="56">
        <v>385505.875</v>
      </c>
      <c r="CC121" s="56">
        <v>441343.375</v>
      </c>
      <c r="CD121" s="56">
        <v>913847.54166666674</v>
      </c>
      <c r="CE121" s="56">
        <v>1000375</v>
      </c>
      <c r="CF121" s="56">
        <v>1000375</v>
      </c>
      <c r="CG121" s="56">
        <v>1000375</v>
      </c>
      <c r="CH121" s="56">
        <v>1000375</v>
      </c>
      <c r="CI121" s="56">
        <v>1000375</v>
      </c>
      <c r="CJ121" s="56">
        <v>1000375</v>
      </c>
      <c r="CK121" s="56">
        <v>1000375</v>
      </c>
    </row>
    <row r="122" spans="1:89" ht="13" x14ac:dyDescent="0.3">
      <c r="A122" s="135" t="s">
        <v>439</v>
      </c>
      <c r="B122" s="148">
        <v>104571</v>
      </c>
      <c r="C122" s="47" t="s">
        <v>200</v>
      </c>
      <c r="D122" s="49">
        <v>23806</v>
      </c>
      <c r="E122" s="49">
        <v>47573</v>
      </c>
      <c r="F122" s="47" t="s">
        <v>173</v>
      </c>
      <c r="G122" s="47">
        <v>2014</v>
      </c>
      <c r="H122" s="47" t="s">
        <v>134</v>
      </c>
      <c r="I122" s="41">
        <v>813</v>
      </c>
      <c r="J122" s="41">
        <v>0</v>
      </c>
      <c r="K122" s="41">
        <v>0</v>
      </c>
      <c r="L122" s="41">
        <v>1</v>
      </c>
      <c r="M122" s="41">
        <v>1</v>
      </c>
      <c r="N122" s="41">
        <v>0</v>
      </c>
      <c r="O122" s="138">
        <v>0</v>
      </c>
      <c r="P122" s="147">
        <f>160380*1.225*W122</f>
        <v>58939.649999999994</v>
      </c>
      <c r="Q122" s="139">
        <v>1</v>
      </c>
      <c r="R122" s="139">
        <v>1</v>
      </c>
      <c r="S122" s="139">
        <v>0</v>
      </c>
      <c r="T122" s="140"/>
      <c r="U122" s="139">
        <v>0</v>
      </c>
      <c r="V122" s="141"/>
      <c r="W122" s="141">
        <v>0.3</v>
      </c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31"/>
      <c r="AI122" s="46" t="str">
        <f>IF(YEAR(E122)&lt;2018,YEAR(E122),"")</f>
        <v/>
      </c>
      <c r="AJ122" s="27"/>
      <c r="AK122" s="27"/>
      <c r="AL122" s="27"/>
      <c r="AM122" s="27"/>
      <c r="AN122" s="27"/>
      <c r="AO122" s="27"/>
      <c r="AP122" s="27"/>
      <c r="AQ122" s="29" t="str">
        <f>IF(AND(AD122&lt;&gt;"",AF122="",AG122=""),DATE(YEAR(AD122)+Menu!$E$10,MONTH(AD122)+Menu!$E$11,1),"")</f>
        <v/>
      </c>
      <c r="AR122" s="29" t="str">
        <f>IF(AF122&lt;&gt;0,AF122,AQ122)</f>
        <v/>
      </c>
      <c r="AS122" s="27" t="str">
        <f>IF(AND(AR122&lt;&gt;"",AH122="",AG122=""),DATE(YEAR(AR122)+Menu!$E$13,MONTH(AR122)+Menu!$E$14,1),"")</f>
        <v/>
      </c>
      <c r="AT122" s="27"/>
      <c r="AU122" s="15" t="s">
        <v>138</v>
      </c>
      <c r="AV122" s="15" t="s">
        <v>138</v>
      </c>
      <c r="AW122" s="15" t="s">
        <v>138</v>
      </c>
      <c r="AX122" s="15" t="s">
        <v>138</v>
      </c>
      <c r="AY122" s="15" t="s">
        <v>138</v>
      </c>
      <c r="AZ122" s="15" t="s">
        <v>138</v>
      </c>
      <c r="BA122" s="15" t="s">
        <v>138</v>
      </c>
      <c r="BB122" s="15" t="s">
        <v>138</v>
      </c>
      <c r="BC122" s="15" t="s">
        <v>138</v>
      </c>
      <c r="BD122" s="15" t="s">
        <v>138</v>
      </c>
      <c r="BE122" s="15" t="s">
        <v>138</v>
      </c>
      <c r="BF122" s="15" t="s">
        <v>138</v>
      </c>
      <c r="BG122" s="15" t="s">
        <v>138</v>
      </c>
      <c r="BH122" s="15" t="s">
        <v>138</v>
      </c>
      <c r="BI122" s="15" t="s">
        <v>138</v>
      </c>
      <c r="BJ122" s="15" t="s">
        <v>138</v>
      </c>
      <c r="BK122" s="131" t="s">
        <v>389</v>
      </c>
      <c r="BL122" s="131" t="s">
        <v>389</v>
      </c>
      <c r="BM122" t="s">
        <v>389</v>
      </c>
      <c r="BN122" t="s">
        <v>389</v>
      </c>
      <c r="BO122" t="s">
        <v>389</v>
      </c>
      <c r="BP122" t="s">
        <v>389</v>
      </c>
      <c r="BQ122" t="s">
        <v>389</v>
      </c>
      <c r="BR122" t="s">
        <v>389</v>
      </c>
      <c r="BS122" t="s">
        <v>389</v>
      </c>
      <c r="BT122" t="s">
        <v>389</v>
      </c>
      <c r="BU122" t="s">
        <v>389</v>
      </c>
      <c r="BV122" t="s">
        <v>389</v>
      </c>
      <c r="BW122" t="s">
        <v>389</v>
      </c>
      <c r="BX122" t="s">
        <v>138</v>
      </c>
      <c r="BY122" s="56">
        <v>58939.649999999994</v>
      </c>
      <c r="BZ122" s="56">
        <v>58939.649999999994</v>
      </c>
      <c r="CA122" s="56">
        <v>58939.649999999994</v>
      </c>
      <c r="CB122" s="56">
        <v>58939.649999999994</v>
      </c>
      <c r="CC122" s="56">
        <v>58939.649999999994</v>
      </c>
      <c r="CD122" s="56">
        <v>58939.649999999994</v>
      </c>
      <c r="CE122" s="56">
        <v>58939.649999999994</v>
      </c>
      <c r="CF122" s="56">
        <v>58939.649999999994</v>
      </c>
      <c r="CG122" s="56">
        <v>58939.649999999994</v>
      </c>
      <c r="CH122" s="56">
        <v>58939.649999999994</v>
      </c>
      <c r="CI122" s="56">
        <v>58939.649999999994</v>
      </c>
      <c r="CJ122" s="56">
        <v>14734.912499999999</v>
      </c>
      <c r="CK122" s="56">
        <v>0</v>
      </c>
    </row>
    <row r="123" spans="1:89" ht="13" x14ac:dyDescent="0.3">
      <c r="A123" s="135" t="s">
        <v>72</v>
      </c>
      <c r="B123" s="48">
        <v>105690</v>
      </c>
      <c r="C123" s="47" t="s">
        <v>197</v>
      </c>
      <c r="D123" s="49">
        <v>18003</v>
      </c>
      <c r="E123" s="49">
        <v>41759</v>
      </c>
      <c r="F123" s="47" t="s">
        <v>173</v>
      </c>
      <c r="G123" s="47"/>
      <c r="H123" s="47"/>
      <c r="I123" s="40">
        <v>360</v>
      </c>
      <c r="J123" s="41">
        <v>0</v>
      </c>
      <c r="K123" s="41">
        <v>1</v>
      </c>
      <c r="L123" s="41">
        <v>0</v>
      </c>
      <c r="M123" s="41">
        <v>0</v>
      </c>
      <c r="N123" s="41">
        <v>0</v>
      </c>
      <c r="O123" s="138">
        <v>0</v>
      </c>
      <c r="P123" s="147">
        <v>0</v>
      </c>
      <c r="Q123" s="139">
        <v>0</v>
      </c>
      <c r="R123" s="139">
        <v>0</v>
      </c>
      <c r="S123" s="139">
        <v>0</v>
      </c>
      <c r="T123" s="140"/>
      <c r="U123" s="139">
        <v>0</v>
      </c>
      <c r="V123" s="141"/>
      <c r="W123" s="141">
        <v>0</v>
      </c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31"/>
      <c r="AI123" s="46">
        <f t="shared" si="13"/>
        <v>2014</v>
      </c>
      <c r="AJ123" s="27"/>
      <c r="AK123" s="27"/>
      <c r="AL123" s="27"/>
      <c r="AM123" s="27"/>
      <c r="AN123" s="27"/>
      <c r="AO123" s="27"/>
      <c r="AP123" s="27"/>
      <c r="AQ123" s="29" t="str">
        <f>IF(AND(AD123&lt;&gt;"",AF123="",AG123=""),DATE(YEAR(AD123)+Menu!$E$10,MONTH(AD123)+Menu!$E$11,1),"")</f>
        <v/>
      </c>
      <c r="AR123" s="29" t="str">
        <f t="shared" si="11"/>
        <v/>
      </c>
      <c r="AS123" s="27" t="str">
        <f>IF(AND(AR123&lt;&gt;"",AH123="",AG123=""),DATE(YEAR(AR123)+Menu!$E$13,MONTH(AR123)+Menu!$E$14,1),"")</f>
        <v/>
      </c>
      <c r="AT123" s="27"/>
      <c r="AU123" s="16" t="s">
        <v>135</v>
      </c>
      <c r="AV123" s="16" t="s">
        <v>135</v>
      </c>
      <c r="AW123" s="16" t="s">
        <v>135</v>
      </c>
      <c r="AX123" s="16" t="s">
        <v>135</v>
      </c>
      <c r="AY123" s="16" t="s">
        <v>135</v>
      </c>
      <c r="AZ123" s="16" t="s">
        <v>135</v>
      </c>
      <c r="BA123" s="16" t="s">
        <v>135</v>
      </c>
      <c r="BB123" s="16" t="s">
        <v>135</v>
      </c>
      <c r="BC123" s="16" t="s">
        <v>135</v>
      </c>
      <c r="BD123" s="16" t="s">
        <v>135</v>
      </c>
      <c r="BE123" s="16" t="s">
        <v>135</v>
      </c>
      <c r="BF123" s="16" t="s">
        <v>135</v>
      </c>
      <c r="BG123" s="16" t="s">
        <v>136</v>
      </c>
      <c r="BH123" s="16" t="s">
        <v>136</v>
      </c>
      <c r="BI123" s="16" t="s">
        <v>136</v>
      </c>
      <c r="BJ123" s="15" t="s">
        <v>136</v>
      </c>
      <c r="BK123" s="15" t="s">
        <v>136</v>
      </c>
      <c r="BL123" s="131"/>
      <c r="BY123" s="56">
        <v>0</v>
      </c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</row>
    <row r="124" spans="1:89" ht="13" x14ac:dyDescent="0.3">
      <c r="A124" s="135" t="s">
        <v>212</v>
      </c>
      <c r="B124" s="148">
        <v>106911</v>
      </c>
      <c r="C124" s="47" t="s">
        <v>201</v>
      </c>
      <c r="D124" s="49">
        <v>26779</v>
      </c>
      <c r="E124" s="49">
        <v>50525</v>
      </c>
      <c r="F124" s="47" t="s">
        <v>173</v>
      </c>
      <c r="G124" s="47">
        <v>2014</v>
      </c>
      <c r="H124" s="47" t="s">
        <v>134</v>
      </c>
      <c r="I124" s="40">
        <v>476</v>
      </c>
      <c r="J124" s="41">
        <v>0</v>
      </c>
      <c r="K124" s="41">
        <v>0</v>
      </c>
      <c r="L124" s="41">
        <v>0</v>
      </c>
      <c r="M124" s="41">
        <v>0</v>
      </c>
      <c r="N124" s="41">
        <v>1</v>
      </c>
      <c r="O124" s="138">
        <v>0</v>
      </c>
      <c r="P124" s="147">
        <v>0</v>
      </c>
      <c r="Q124" s="139">
        <v>0</v>
      </c>
      <c r="R124" s="139">
        <v>0</v>
      </c>
      <c r="S124" s="139">
        <v>0</v>
      </c>
      <c r="T124" s="140"/>
      <c r="U124" s="139">
        <v>0</v>
      </c>
      <c r="V124" s="141"/>
      <c r="W124" s="141">
        <v>0</v>
      </c>
      <c r="X124" s="24"/>
      <c r="Y124" s="24"/>
      <c r="Z124" s="24"/>
      <c r="AA124" s="24"/>
      <c r="AB124" s="24"/>
      <c r="AC124" s="24"/>
      <c r="AD124" s="24" t="s">
        <v>244</v>
      </c>
      <c r="AE124" s="24"/>
      <c r="AF124" s="24">
        <v>41730</v>
      </c>
      <c r="AG124" s="24"/>
      <c r="AH124" s="31"/>
      <c r="AI124" s="46" t="str">
        <f t="shared" si="13"/>
        <v/>
      </c>
      <c r="AJ124" s="27"/>
      <c r="AK124" s="27"/>
      <c r="AL124" s="27"/>
      <c r="AM124" s="27"/>
      <c r="AN124" s="27"/>
      <c r="AO124" s="27"/>
      <c r="AP124" s="27"/>
      <c r="AQ124" s="29" t="str">
        <f>IF(AND(AD124&lt;&gt;"",AF124="",AG124=""),DATE(YEAR(AD124)+Menu!$E$10,MONTH(AD124)+Menu!$E$11,1),"")</f>
        <v/>
      </c>
      <c r="AR124" s="29">
        <f t="shared" si="11"/>
        <v>41730</v>
      </c>
      <c r="AS124" s="27">
        <f>IF(AND(AR124&lt;&gt;"",AH124="",AG124=""),DATE(YEAR(AR124)+Menu!$E$13,MONTH(AR124)+Menu!$E$14,1),"")</f>
        <v>44197</v>
      </c>
      <c r="AT124" s="27"/>
      <c r="AU124" s="15" t="s">
        <v>138</v>
      </c>
      <c r="AV124" s="15" t="s">
        <v>138</v>
      </c>
      <c r="AW124" s="15" t="s">
        <v>138</v>
      </c>
      <c r="AX124" s="15" t="s">
        <v>138</v>
      </c>
      <c r="AY124" s="15" t="s">
        <v>138</v>
      </c>
      <c r="AZ124" s="15" t="s">
        <v>133</v>
      </c>
      <c r="BA124" s="15" t="s">
        <v>133</v>
      </c>
      <c r="BB124" s="15" t="s">
        <v>133</v>
      </c>
      <c r="BC124" s="15" t="s">
        <v>133</v>
      </c>
      <c r="BD124" s="15" t="s">
        <v>133</v>
      </c>
      <c r="BE124" s="15" t="s">
        <v>133</v>
      </c>
      <c r="BF124" s="15" t="s">
        <v>133</v>
      </c>
      <c r="BG124" s="16" t="s">
        <v>134</v>
      </c>
      <c r="BH124" s="16" t="s">
        <v>134</v>
      </c>
      <c r="BI124" s="16" t="s">
        <v>134</v>
      </c>
      <c r="BJ124" s="15" t="s">
        <v>134</v>
      </c>
      <c r="BK124" s="15" t="s">
        <v>134</v>
      </c>
      <c r="BL124" s="131" t="s">
        <v>134</v>
      </c>
      <c r="BM124" t="s">
        <v>134</v>
      </c>
      <c r="BN124" t="s">
        <v>135</v>
      </c>
      <c r="BO124" t="s">
        <v>135</v>
      </c>
      <c r="BP124" t="s">
        <v>135</v>
      </c>
      <c r="BQ124" t="s">
        <v>135</v>
      </c>
      <c r="BR124" t="s">
        <v>135</v>
      </c>
      <c r="BS124" t="s">
        <v>135</v>
      </c>
      <c r="BT124" t="s">
        <v>135</v>
      </c>
      <c r="BU124" t="s">
        <v>135</v>
      </c>
      <c r="BV124" t="s">
        <v>135</v>
      </c>
      <c r="BW124" t="s">
        <v>135</v>
      </c>
      <c r="BX124" t="s">
        <v>135</v>
      </c>
      <c r="BY124" s="56">
        <v>0</v>
      </c>
      <c r="BZ124" s="56">
        <v>0</v>
      </c>
      <c r="CA124" s="56">
        <v>0</v>
      </c>
      <c r="CB124" s="56">
        <v>0</v>
      </c>
      <c r="CC124" s="56">
        <v>0</v>
      </c>
      <c r="CD124" s="56">
        <v>0</v>
      </c>
      <c r="CE124" s="56">
        <v>0</v>
      </c>
      <c r="CF124" s="56">
        <v>0</v>
      </c>
      <c r="CG124" s="56">
        <v>0</v>
      </c>
      <c r="CH124" s="56">
        <v>0</v>
      </c>
      <c r="CI124" s="56">
        <v>0</v>
      </c>
      <c r="CJ124" s="56">
        <v>0</v>
      </c>
      <c r="CK124" s="56">
        <v>0</v>
      </c>
    </row>
    <row r="125" spans="1:89" ht="13" x14ac:dyDescent="0.3">
      <c r="A125" s="135" t="s">
        <v>73</v>
      </c>
      <c r="B125" s="48">
        <v>182445</v>
      </c>
      <c r="C125" s="47" t="s">
        <v>201</v>
      </c>
      <c r="D125" s="49">
        <v>29225</v>
      </c>
      <c r="E125" s="49">
        <v>52993</v>
      </c>
      <c r="F125" s="47" t="s">
        <v>173</v>
      </c>
      <c r="G125" s="47">
        <v>2008</v>
      </c>
      <c r="H125" s="47" t="s">
        <v>133</v>
      </c>
      <c r="I125" s="41">
        <v>880</v>
      </c>
      <c r="J125" s="41">
        <v>0</v>
      </c>
      <c r="K125" s="41">
        <v>0</v>
      </c>
      <c r="L125" s="41">
        <v>0</v>
      </c>
      <c r="M125" s="41">
        <v>0</v>
      </c>
      <c r="N125" s="41">
        <v>1</v>
      </c>
      <c r="O125" s="138">
        <v>0</v>
      </c>
      <c r="P125" s="147">
        <v>748188.75</v>
      </c>
      <c r="Q125" s="139">
        <v>1</v>
      </c>
      <c r="R125" s="139">
        <v>1</v>
      </c>
      <c r="S125" s="139">
        <v>0</v>
      </c>
      <c r="T125" s="140"/>
      <c r="U125" s="139">
        <v>0</v>
      </c>
      <c r="V125" s="141"/>
      <c r="W125" s="141">
        <v>1</v>
      </c>
      <c r="X125" s="24"/>
      <c r="Y125" s="24"/>
      <c r="Z125" s="24"/>
      <c r="AA125" s="24"/>
      <c r="AB125" s="24"/>
      <c r="AC125" s="24"/>
      <c r="AD125" s="24">
        <v>39448</v>
      </c>
      <c r="AE125" s="24"/>
      <c r="AF125" s="24">
        <v>42095</v>
      </c>
      <c r="AG125" s="24"/>
      <c r="AH125" s="31"/>
      <c r="AI125" s="46" t="str">
        <f t="shared" si="13"/>
        <v/>
      </c>
      <c r="AJ125" s="27"/>
      <c r="AK125" s="27"/>
      <c r="AL125" s="27"/>
      <c r="AM125" s="27"/>
      <c r="AN125" s="27"/>
      <c r="AO125" s="27"/>
      <c r="AP125" s="27"/>
      <c r="AQ125" s="29" t="str">
        <f>IF(AND(AD125&lt;&gt;"",AF125="",AG125=""),DATE(YEAR(AD125)+Menu!$E$10,MONTH(AD125)+Menu!$E$11,1),"")</f>
        <v/>
      </c>
      <c r="AR125" s="29">
        <f t="shared" si="11"/>
        <v>42095</v>
      </c>
      <c r="AS125" s="27">
        <f>IF(AND(AR125&lt;&gt;"",AH125="",AG125=""),DATE(YEAR(AR125)+Menu!$E$13,MONTH(AR125)+Menu!$E$14,1),"")</f>
        <v>44562</v>
      </c>
      <c r="AT125" s="27"/>
      <c r="AU125" s="15" t="s">
        <v>138</v>
      </c>
      <c r="AV125" s="15" t="s">
        <v>138</v>
      </c>
      <c r="AW125" s="16" t="s">
        <v>138</v>
      </c>
      <c r="AX125" s="15" t="s">
        <v>138</v>
      </c>
      <c r="AY125" s="15" t="s">
        <v>138</v>
      </c>
      <c r="AZ125" s="15" t="s">
        <v>138</v>
      </c>
      <c r="BA125" s="16" t="s">
        <v>133</v>
      </c>
      <c r="BB125" s="16" t="s">
        <v>133</v>
      </c>
      <c r="BC125" s="16" t="s">
        <v>133</v>
      </c>
      <c r="BD125" s="16" t="s">
        <v>133</v>
      </c>
      <c r="BE125" s="16" t="s">
        <v>133</v>
      </c>
      <c r="BF125" s="16" t="s">
        <v>133</v>
      </c>
      <c r="BG125" s="16" t="s">
        <v>133</v>
      </c>
      <c r="BH125" s="16" t="s">
        <v>134</v>
      </c>
      <c r="BI125" s="16" t="s">
        <v>134</v>
      </c>
      <c r="BJ125" s="15" t="s">
        <v>134</v>
      </c>
      <c r="BK125" s="15" t="s">
        <v>134</v>
      </c>
      <c r="BL125" s="131" t="s">
        <v>134</v>
      </c>
      <c r="BM125" t="s">
        <v>134</v>
      </c>
      <c r="BN125" t="s">
        <v>134</v>
      </c>
      <c r="BO125" t="s">
        <v>135</v>
      </c>
      <c r="BP125" t="s">
        <v>135</v>
      </c>
      <c r="BQ125" t="s">
        <v>135</v>
      </c>
      <c r="BR125" t="s">
        <v>135</v>
      </c>
      <c r="BS125" t="s">
        <v>135</v>
      </c>
      <c r="BT125" t="s">
        <v>135</v>
      </c>
      <c r="BU125" t="s">
        <v>135</v>
      </c>
      <c r="BV125" t="s">
        <v>135</v>
      </c>
      <c r="BW125" t="s">
        <v>135</v>
      </c>
      <c r="BX125" t="s">
        <v>135</v>
      </c>
      <c r="BY125" s="56">
        <v>748188.75</v>
      </c>
      <c r="BZ125" s="56">
        <v>721188</v>
      </c>
      <c r="CA125" s="56">
        <v>721188</v>
      </c>
      <c r="CB125" s="56">
        <v>777025.5</v>
      </c>
      <c r="CC125" s="56">
        <v>832863</v>
      </c>
      <c r="CD125" s="56">
        <v>888700.5</v>
      </c>
      <c r="CE125" s="56">
        <v>944538</v>
      </c>
      <c r="CF125" s="56">
        <v>1000375</v>
      </c>
      <c r="CG125" s="56">
        <v>1000375</v>
      </c>
      <c r="CH125" s="56">
        <v>1000375</v>
      </c>
      <c r="CI125" s="56">
        <v>1000375</v>
      </c>
      <c r="CJ125" s="56">
        <v>1000375</v>
      </c>
      <c r="CK125" s="56">
        <v>1000375</v>
      </c>
    </row>
    <row r="126" spans="1:89" ht="13" x14ac:dyDescent="0.3">
      <c r="A126" s="135" t="s">
        <v>74</v>
      </c>
      <c r="B126" s="22">
        <v>105745</v>
      </c>
      <c r="C126" s="47" t="s">
        <v>200</v>
      </c>
      <c r="D126" s="49">
        <v>19064</v>
      </c>
      <c r="E126" s="49">
        <v>42825</v>
      </c>
      <c r="F126" s="47" t="s">
        <v>173</v>
      </c>
      <c r="G126" s="47"/>
      <c r="H126" s="47"/>
      <c r="I126" s="40">
        <v>835</v>
      </c>
      <c r="J126" s="41">
        <v>0</v>
      </c>
      <c r="K126" s="41">
        <v>0</v>
      </c>
      <c r="L126" s="41">
        <v>0</v>
      </c>
      <c r="M126" s="41">
        <v>1</v>
      </c>
      <c r="N126" s="41">
        <v>0</v>
      </c>
      <c r="O126" s="138">
        <v>0</v>
      </c>
      <c r="P126" s="147">
        <v>0</v>
      </c>
      <c r="Q126" s="139">
        <v>0</v>
      </c>
      <c r="R126" s="139">
        <v>0</v>
      </c>
      <c r="S126" s="139">
        <v>0</v>
      </c>
      <c r="T126" s="140"/>
      <c r="U126" s="139">
        <v>0</v>
      </c>
      <c r="V126" s="141"/>
      <c r="W126" s="141">
        <v>0</v>
      </c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31"/>
      <c r="AI126" s="46">
        <f t="shared" si="13"/>
        <v>2017</v>
      </c>
      <c r="AJ126" s="27"/>
      <c r="AK126" s="27"/>
      <c r="AL126" s="27"/>
      <c r="AM126" s="27"/>
      <c r="AN126" s="27"/>
      <c r="AO126" s="27"/>
      <c r="AP126" s="27"/>
      <c r="AQ126" s="29" t="str">
        <f>IF(AND(AD126&lt;&gt;"",AF126="",AG126=""),DATE(YEAR(AD126)+Menu!$E$10,MONTH(AD126)+Menu!$E$11,1),"")</f>
        <v/>
      </c>
      <c r="AR126" s="29" t="str">
        <f t="shared" si="11"/>
        <v/>
      </c>
      <c r="AS126" s="27" t="str">
        <f>IF(AND(AR126&lt;&gt;"",AH126="",AG126=""),DATE(YEAR(AR126)+Menu!$E$13,MONTH(AR126)+Menu!$E$14,1),"")</f>
        <v/>
      </c>
      <c r="AT126" s="27"/>
      <c r="AU126" s="16" t="s">
        <v>135</v>
      </c>
      <c r="AV126" s="16" t="s">
        <v>135</v>
      </c>
      <c r="AW126" s="16" t="s">
        <v>135</v>
      </c>
      <c r="AX126" s="16" t="s">
        <v>135</v>
      </c>
      <c r="AY126" s="16" t="s">
        <v>135</v>
      </c>
      <c r="AZ126" s="16" t="s">
        <v>135</v>
      </c>
      <c r="BA126" s="16" t="s">
        <v>135</v>
      </c>
      <c r="BB126" s="16" t="s">
        <v>135</v>
      </c>
      <c r="BC126" s="16" t="s">
        <v>135</v>
      </c>
      <c r="BD126" s="16" t="s">
        <v>135</v>
      </c>
      <c r="BE126" s="16" t="s">
        <v>135</v>
      </c>
      <c r="BF126" s="16" t="s">
        <v>135</v>
      </c>
      <c r="BG126" s="16" t="s">
        <v>135</v>
      </c>
      <c r="BH126" s="16" t="s">
        <v>135</v>
      </c>
      <c r="BI126" s="16" t="s">
        <v>135</v>
      </c>
      <c r="BJ126" s="15" t="s">
        <v>136</v>
      </c>
      <c r="BK126" s="15" t="s">
        <v>136</v>
      </c>
      <c r="BL126" s="131"/>
      <c r="BY126" s="56">
        <v>0</v>
      </c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</row>
    <row r="127" spans="1:89" ht="13" x14ac:dyDescent="0.3">
      <c r="A127" s="135" t="s">
        <v>75</v>
      </c>
      <c r="B127" s="48">
        <v>140973</v>
      </c>
      <c r="C127" s="47" t="s">
        <v>197</v>
      </c>
      <c r="D127" s="49">
        <v>23159</v>
      </c>
      <c r="E127" s="49">
        <v>46904</v>
      </c>
      <c r="F127" s="47" t="s">
        <v>173</v>
      </c>
      <c r="G127" s="47"/>
      <c r="H127" s="47"/>
      <c r="I127" s="41">
        <v>345</v>
      </c>
      <c r="J127" s="41">
        <v>0</v>
      </c>
      <c r="K127" s="41">
        <v>1</v>
      </c>
      <c r="L127" s="41">
        <v>0</v>
      </c>
      <c r="M127" s="41">
        <v>0</v>
      </c>
      <c r="N127" s="41">
        <v>0</v>
      </c>
      <c r="O127" s="138">
        <v>1</v>
      </c>
      <c r="P127" s="147">
        <v>287225.5</v>
      </c>
      <c r="Q127" s="139">
        <v>1</v>
      </c>
      <c r="R127" s="139">
        <v>0</v>
      </c>
      <c r="S127" s="139">
        <v>0</v>
      </c>
      <c r="T127" s="140"/>
      <c r="U127" s="139">
        <v>0</v>
      </c>
      <c r="V127" s="141"/>
      <c r="W127" s="141">
        <v>1</v>
      </c>
      <c r="X127" s="24"/>
      <c r="Y127" s="24">
        <v>38525</v>
      </c>
      <c r="Z127" s="24"/>
      <c r="AA127" s="24"/>
      <c r="AB127" s="24">
        <v>41249</v>
      </c>
      <c r="AC127" s="24"/>
      <c r="AD127" s="24"/>
      <c r="AE127" s="24"/>
      <c r="AF127" s="24"/>
      <c r="AG127" s="24"/>
      <c r="AH127" s="31"/>
      <c r="AI127" s="46" t="str">
        <f t="shared" si="13"/>
        <v/>
      </c>
      <c r="AJ127" s="27"/>
      <c r="AK127" s="27"/>
      <c r="AL127" s="27"/>
      <c r="AM127" s="27"/>
      <c r="AN127" s="27"/>
      <c r="AO127" s="27"/>
      <c r="AP127" s="27"/>
      <c r="AQ127" s="29" t="str">
        <f>IF(AND(AD127&lt;&gt;"",AF127="",AG127=""),DATE(YEAR(AD127)+Menu!$E$10,MONTH(AD127)+Menu!$E$11,1),"")</f>
        <v/>
      </c>
      <c r="AR127" s="29" t="str">
        <f t="shared" si="11"/>
        <v/>
      </c>
      <c r="AS127" s="27" t="str">
        <f>IF(AND(AR127&lt;&gt;"",AH127="",AG127=""),DATE(YEAR(AR127)+Menu!$E$13,MONTH(AR127)+Menu!$E$14,1),"")</f>
        <v/>
      </c>
      <c r="AT127" s="27"/>
      <c r="AU127" s="15" t="s">
        <v>138</v>
      </c>
      <c r="AV127" s="15" t="s">
        <v>138</v>
      </c>
      <c r="AW127" s="15" t="s">
        <v>138</v>
      </c>
      <c r="AX127" s="16" t="s">
        <v>129</v>
      </c>
      <c r="AY127" s="16" t="s">
        <v>129</v>
      </c>
      <c r="AZ127" s="16" t="s">
        <v>129</v>
      </c>
      <c r="BA127" s="16" t="s">
        <v>129</v>
      </c>
      <c r="BB127" s="16" t="s">
        <v>129</v>
      </c>
      <c r="BC127" s="16" t="s">
        <v>129</v>
      </c>
      <c r="BD127" s="16" t="s">
        <v>129</v>
      </c>
      <c r="BE127" s="16" t="s">
        <v>131</v>
      </c>
      <c r="BF127" s="16" t="s">
        <v>131</v>
      </c>
      <c r="BG127" s="16" t="s">
        <v>131</v>
      </c>
      <c r="BH127" s="16" t="s">
        <v>131</v>
      </c>
      <c r="BI127" s="16" t="s">
        <v>131</v>
      </c>
      <c r="BJ127" s="15" t="s">
        <v>131</v>
      </c>
      <c r="BK127" s="15" t="s">
        <v>131</v>
      </c>
      <c r="BL127" s="131" t="s">
        <v>131</v>
      </c>
      <c r="BM127" t="s">
        <v>131</v>
      </c>
      <c r="BN127" t="s">
        <v>131</v>
      </c>
      <c r="BO127" t="s">
        <v>131</v>
      </c>
      <c r="BP127" t="s">
        <v>131</v>
      </c>
      <c r="BQ127" t="s">
        <v>131</v>
      </c>
      <c r="BR127" t="s">
        <v>131</v>
      </c>
      <c r="BS127" t="s">
        <v>131</v>
      </c>
      <c r="BT127" t="s">
        <v>131</v>
      </c>
      <c r="BU127" t="s">
        <v>131</v>
      </c>
      <c r="BV127" t="s">
        <v>138</v>
      </c>
      <c r="BW127" t="s">
        <v>138</v>
      </c>
      <c r="BX127" t="s">
        <v>138</v>
      </c>
      <c r="BY127" s="56">
        <v>287225.5</v>
      </c>
      <c r="BZ127" s="56">
        <v>287225.5</v>
      </c>
      <c r="CA127" s="56">
        <v>287225.5</v>
      </c>
      <c r="CB127" s="56">
        <v>287225.5</v>
      </c>
      <c r="CC127" s="56">
        <v>287225.5</v>
      </c>
      <c r="CD127" s="56">
        <v>287225.5</v>
      </c>
      <c r="CE127" s="56">
        <v>287225.5</v>
      </c>
      <c r="CF127" s="56">
        <v>287225.5</v>
      </c>
      <c r="CG127" s="56">
        <v>287225.5</v>
      </c>
      <c r="CH127" s="56">
        <v>119677.29166666667</v>
      </c>
      <c r="CI127" s="56">
        <v>0</v>
      </c>
      <c r="CJ127" s="56">
        <v>0</v>
      </c>
      <c r="CK127" s="56">
        <v>0</v>
      </c>
    </row>
    <row r="128" spans="1:89" ht="13" x14ac:dyDescent="0.3">
      <c r="A128" s="135" t="s">
        <v>76</v>
      </c>
      <c r="B128" s="48">
        <v>159310</v>
      </c>
      <c r="C128" s="47" t="s">
        <v>198</v>
      </c>
      <c r="D128" s="49">
        <v>23181</v>
      </c>
      <c r="E128" s="49">
        <v>46934</v>
      </c>
      <c r="F128" s="47" t="s">
        <v>173</v>
      </c>
      <c r="G128" s="47"/>
      <c r="H128" s="47"/>
      <c r="I128" s="41">
        <v>425</v>
      </c>
      <c r="J128" s="41">
        <v>0</v>
      </c>
      <c r="K128" s="41">
        <v>0</v>
      </c>
      <c r="L128" s="41">
        <v>1</v>
      </c>
      <c r="M128" s="41">
        <v>0</v>
      </c>
      <c r="N128" s="41">
        <v>0</v>
      </c>
      <c r="O128" s="138">
        <v>2</v>
      </c>
      <c r="P128" s="147">
        <f>1056289-P178</f>
        <v>966273.55</v>
      </c>
      <c r="Q128" s="139">
        <v>1</v>
      </c>
      <c r="R128" s="139">
        <v>1</v>
      </c>
      <c r="S128" s="139">
        <v>0</v>
      </c>
      <c r="T128" s="140"/>
      <c r="U128" s="139">
        <v>0</v>
      </c>
      <c r="V128" s="141"/>
      <c r="W128" s="141">
        <v>1</v>
      </c>
      <c r="X128" s="24"/>
      <c r="Y128" s="24"/>
      <c r="Z128" s="24"/>
      <c r="AA128" s="24"/>
      <c r="AB128" s="24"/>
      <c r="AC128" s="24"/>
      <c r="AD128" s="24"/>
      <c r="AE128" s="24"/>
      <c r="AF128" s="24">
        <v>37803</v>
      </c>
      <c r="AG128" s="24">
        <v>40756</v>
      </c>
      <c r="AH128" s="31"/>
      <c r="AI128" s="46" t="str">
        <f t="shared" si="13"/>
        <v/>
      </c>
      <c r="AJ128" s="27"/>
      <c r="AK128" s="27"/>
      <c r="AL128" s="27"/>
      <c r="AM128" s="27"/>
      <c r="AN128" s="27"/>
      <c r="AO128" s="27"/>
      <c r="AP128" s="27"/>
      <c r="AQ128" s="29" t="str">
        <f>IF(AND(AD128&lt;&gt;"",AF128="",AG128=""),DATE(YEAR(AD128)+Menu!$E$10,MONTH(AD128)+Menu!$E$11,1),"")</f>
        <v/>
      </c>
      <c r="AR128" s="29">
        <f t="shared" ref="AR128:AR159" si="14">IF(AF128&lt;&gt;0,AF128,AQ128)</f>
        <v>37803</v>
      </c>
      <c r="AS128" s="27" t="str">
        <f>IF(AND(AR128&lt;&gt;"",AH128="",AG128=""),DATE(YEAR(AR128)+Menu!$E$13,MONTH(AR128)+Menu!$E$14,1),"")</f>
        <v/>
      </c>
      <c r="AT128" s="27"/>
      <c r="AU128" s="15" t="s">
        <v>138</v>
      </c>
      <c r="AV128" s="16" t="s">
        <v>134</v>
      </c>
      <c r="AW128" s="16" t="s">
        <v>134</v>
      </c>
      <c r="AX128" s="16" t="s">
        <v>134</v>
      </c>
      <c r="AY128" s="16" t="s">
        <v>134</v>
      </c>
      <c r="AZ128" s="16" t="s">
        <v>134</v>
      </c>
      <c r="BA128" s="16" t="s">
        <v>134</v>
      </c>
      <c r="BB128" s="16" t="s">
        <v>134</v>
      </c>
      <c r="BC128" s="16" t="s">
        <v>134</v>
      </c>
      <c r="BD128" s="16" t="s">
        <v>135</v>
      </c>
      <c r="BE128" s="16" t="s">
        <v>135</v>
      </c>
      <c r="BF128" s="16" t="s">
        <v>135</v>
      </c>
      <c r="BG128" s="16" t="s">
        <v>135</v>
      </c>
      <c r="BH128" s="16" t="s">
        <v>135</v>
      </c>
      <c r="BI128" s="16" t="s">
        <v>135</v>
      </c>
      <c r="BJ128" s="15" t="s">
        <v>135</v>
      </c>
      <c r="BK128" s="15" t="s">
        <v>135</v>
      </c>
      <c r="BL128" s="131" t="s">
        <v>135</v>
      </c>
      <c r="BM128" t="s">
        <v>135</v>
      </c>
      <c r="BN128" t="s">
        <v>135</v>
      </c>
      <c r="BO128" t="s">
        <v>135</v>
      </c>
      <c r="BP128" t="s">
        <v>135</v>
      </c>
      <c r="BQ128" t="s">
        <v>135</v>
      </c>
      <c r="BR128" t="s">
        <v>135</v>
      </c>
      <c r="BS128" t="s">
        <v>135</v>
      </c>
      <c r="BT128" t="s">
        <v>135</v>
      </c>
      <c r="BU128" t="s">
        <v>138</v>
      </c>
      <c r="BV128" t="s">
        <v>138</v>
      </c>
      <c r="BW128" t="s">
        <v>138</v>
      </c>
      <c r="BX128" t="s">
        <v>138</v>
      </c>
      <c r="BY128" s="56">
        <v>966273.55</v>
      </c>
      <c r="BZ128" s="56">
        <v>1000375</v>
      </c>
      <c r="CA128" s="56">
        <v>1000375</v>
      </c>
      <c r="CB128" s="56">
        <v>1000375</v>
      </c>
      <c r="CC128" s="56">
        <v>1000375</v>
      </c>
      <c r="CD128" s="56">
        <v>1000375</v>
      </c>
      <c r="CE128" s="56">
        <v>1000375</v>
      </c>
      <c r="CF128" s="56">
        <v>1000375</v>
      </c>
      <c r="CG128" s="56">
        <v>1000375</v>
      </c>
      <c r="CH128" s="56">
        <v>500187.5</v>
      </c>
      <c r="CI128" s="56">
        <v>0</v>
      </c>
      <c r="CJ128" s="56">
        <v>0</v>
      </c>
      <c r="CK128" s="56">
        <v>0</v>
      </c>
    </row>
    <row r="129" spans="1:89" ht="13" x14ac:dyDescent="0.3">
      <c r="A129" s="135" t="s">
        <v>77</v>
      </c>
      <c r="B129" s="48">
        <v>210230</v>
      </c>
      <c r="C129" s="47" t="s">
        <v>200</v>
      </c>
      <c r="D129" s="49">
        <v>24416</v>
      </c>
      <c r="E129" s="49">
        <v>48182</v>
      </c>
      <c r="F129" s="47" t="s">
        <v>173</v>
      </c>
      <c r="G129" s="47">
        <v>2011</v>
      </c>
      <c r="H129" s="47" t="s">
        <v>135</v>
      </c>
      <c r="I129" s="41">
        <v>828</v>
      </c>
      <c r="J129" s="41">
        <v>0</v>
      </c>
      <c r="K129" s="41">
        <v>0</v>
      </c>
      <c r="L129" s="41">
        <v>0</v>
      </c>
      <c r="M129" s="41">
        <v>1</v>
      </c>
      <c r="N129" s="41">
        <v>0</v>
      </c>
      <c r="O129" s="138">
        <v>0</v>
      </c>
      <c r="P129" s="147">
        <v>1074438.75</v>
      </c>
      <c r="Q129" s="139">
        <v>1</v>
      </c>
      <c r="R129" s="139">
        <v>1</v>
      </c>
      <c r="S129" s="139">
        <v>0</v>
      </c>
      <c r="T129" s="140"/>
      <c r="U129" s="139">
        <v>0</v>
      </c>
      <c r="V129" s="141"/>
      <c r="W129" s="141">
        <v>1</v>
      </c>
      <c r="X129" s="24"/>
      <c r="Y129" s="24"/>
      <c r="Z129" s="24"/>
      <c r="AA129" s="24"/>
      <c r="AB129" s="24"/>
      <c r="AC129" s="24"/>
      <c r="AD129" s="24"/>
      <c r="AE129" s="24"/>
      <c r="AF129" s="24"/>
      <c r="AG129" s="24">
        <v>40787</v>
      </c>
      <c r="AH129" s="31"/>
      <c r="AI129" s="46" t="str">
        <f t="shared" si="13"/>
        <v/>
      </c>
      <c r="AJ129" s="27"/>
      <c r="AK129" s="27"/>
      <c r="AL129" s="27"/>
      <c r="AM129" s="27"/>
      <c r="AN129" s="27"/>
      <c r="AO129" s="27"/>
      <c r="AP129" s="27"/>
      <c r="AQ129" s="29" t="str">
        <f>IF(AND(AD129&lt;&gt;"",AF129="",AG129=""),DATE(YEAR(AD129)+Menu!$E$10,MONTH(AD129)+Menu!$E$11,1),"")</f>
        <v/>
      </c>
      <c r="AR129" s="29" t="str">
        <f t="shared" si="14"/>
        <v/>
      </c>
      <c r="AS129" s="27" t="str">
        <f>IF(AND(AR129&lt;&gt;"",AH129="",AG129=""),DATE(YEAR(AR129)+Menu!$E$13,MONTH(AR129)+Menu!$E$14,1),"")</f>
        <v/>
      </c>
      <c r="AT129" s="27"/>
      <c r="AU129" s="15" t="s">
        <v>138</v>
      </c>
      <c r="AV129" s="15" t="s">
        <v>138</v>
      </c>
      <c r="AW129" s="16" t="s">
        <v>138</v>
      </c>
      <c r="AX129" s="15" t="s">
        <v>138</v>
      </c>
      <c r="AY129" s="15" t="s">
        <v>138</v>
      </c>
      <c r="AZ129" s="15" t="s">
        <v>138</v>
      </c>
      <c r="BA129" s="15" t="s">
        <v>138</v>
      </c>
      <c r="BB129" s="15" t="s">
        <v>138</v>
      </c>
      <c r="BC129" s="15" t="s">
        <v>138</v>
      </c>
      <c r="BD129" s="16" t="s">
        <v>135</v>
      </c>
      <c r="BE129" s="16" t="s">
        <v>135</v>
      </c>
      <c r="BF129" s="16" t="s">
        <v>135</v>
      </c>
      <c r="BG129" s="16" t="s">
        <v>135</v>
      </c>
      <c r="BH129" s="16" t="s">
        <v>135</v>
      </c>
      <c r="BI129" s="16" t="s">
        <v>135</v>
      </c>
      <c r="BJ129" s="15" t="s">
        <v>135</v>
      </c>
      <c r="BK129" s="15" t="s">
        <v>135</v>
      </c>
      <c r="BL129" s="131" t="s">
        <v>135</v>
      </c>
      <c r="BM129" t="s">
        <v>135</v>
      </c>
      <c r="BN129" t="s">
        <v>135</v>
      </c>
      <c r="BO129" t="s">
        <v>135</v>
      </c>
      <c r="BP129" t="s">
        <v>135</v>
      </c>
      <c r="BQ129" t="s">
        <v>135</v>
      </c>
      <c r="BR129" t="s">
        <v>135</v>
      </c>
      <c r="BS129" t="s">
        <v>135</v>
      </c>
      <c r="BT129" t="s">
        <v>135</v>
      </c>
      <c r="BU129" t="s">
        <v>135</v>
      </c>
      <c r="BV129" t="s">
        <v>135</v>
      </c>
      <c r="BW129" t="s">
        <v>135</v>
      </c>
      <c r="BX129" t="s">
        <v>138</v>
      </c>
      <c r="BY129" s="56">
        <v>1074438.75</v>
      </c>
      <c r="BZ129" s="56">
        <v>1000375</v>
      </c>
      <c r="CA129" s="56">
        <v>1000375</v>
      </c>
      <c r="CB129" s="56">
        <v>1000375</v>
      </c>
      <c r="CC129" s="56">
        <v>1000375</v>
      </c>
      <c r="CD129" s="56">
        <v>1000375</v>
      </c>
      <c r="CE129" s="56">
        <v>1000375</v>
      </c>
      <c r="CF129" s="56">
        <v>1000375</v>
      </c>
      <c r="CG129" s="56">
        <v>1000375</v>
      </c>
      <c r="CH129" s="56">
        <v>1000375</v>
      </c>
      <c r="CI129" s="56">
        <v>1000375</v>
      </c>
      <c r="CJ129" s="56">
        <v>1000375</v>
      </c>
      <c r="CK129" s="56">
        <v>917010.41666666663</v>
      </c>
    </row>
    <row r="130" spans="1:89" ht="13" x14ac:dyDescent="0.3">
      <c r="A130" s="135" t="s">
        <v>143</v>
      </c>
      <c r="B130" s="48">
        <v>0</v>
      </c>
      <c r="C130" s="47" t="s">
        <v>200</v>
      </c>
      <c r="D130" s="49">
        <v>15476</v>
      </c>
      <c r="E130" s="49">
        <v>39233</v>
      </c>
      <c r="F130" s="47" t="s">
        <v>173</v>
      </c>
      <c r="G130" s="47"/>
      <c r="H130" s="47"/>
      <c r="I130" s="40">
        <v>810</v>
      </c>
      <c r="J130" s="41">
        <v>0</v>
      </c>
      <c r="K130" s="41">
        <v>0</v>
      </c>
      <c r="L130" s="41">
        <v>0</v>
      </c>
      <c r="M130" s="41">
        <v>1</v>
      </c>
      <c r="N130" s="41">
        <v>0</v>
      </c>
      <c r="O130" s="138">
        <v>0</v>
      </c>
      <c r="P130" s="147">
        <v>0</v>
      </c>
      <c r="Q130" s="139">
        <v>0</v>
      </c>
      <c r="R130" s="139">
        <v>0</v>
      </c>
      <c r="S130" s="139">
        <v>0</v>
      </c>
      <c r="T130" s="140"/>
      <c r="U130" s="139">
        <v>0</v>
      </c>
      <c r="V130" s="141"/>
      <c r="W130" s="141">
        <v>0</v>
      </c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31"/>
      <c r="AI130" s="46">
        <f t="shared" si="13"/>
        <v>2007</v>
      </c>
      <c r="AJ130" s="27"/>
      <c r="AK130" s="27"/>
      <c r="AL130" s="27"/>
      <c r="AM130" s="27"/>
      <c r="AN130" s="27"/>
      <c r="AO130" s="27"/>
      <c r="AP130" s="27"/>
      <c r="AQ130" s="29" t="str">
        <f>IF(AND(AD130&lt;&gt;"",AF130="",AG130=""),DATE(YEAR(AD130)+Menu!$E$10,MONTH(AD130)+Menu!$E$11,1),"")</f>
        <v/>
      </c>
      <c r="AR130" s="29" t="str">
        <f t="shared" si="14"/>
        <v/>
      </c>
      <c r="AS130" s="27" t="str">
        <f>IF(AND(AR130&lt;&gt;"",AH130="",AG130=""),DATE(YEAR(AR130)+Menu!$E$13,MONTH(AR130)+Menu!$E$14,1),"")</f>
        <v/>
      </c>
      <c r="AT130" s="27"/>
      <c r="AU130" s="16" t="s">
        <v>131</v>
      </c>
      <c r="AV130" s="16" t="s">
        <v>131</v>
      </c>
      <c r="AW130" s="16" t="s">
        <v>131</v>
      </c>
      <c r="AX130" s="16" t="s">
        <v>131</v>
      </c>
      <c r="AY130" s="16" t="s">
        <v>131</v>
      </c>
      <c r="AZ130" s="16" t="s">
        <v>136</v>
      </c>
      <c r="BA130" s="16" t="s">
        <v>136</v>
      </c>
      <c r="BB130" s="16" t="s">
        <v>136</v>
      </c>
      <c r="BC130" s="16" t="s">
        <v>136</v>
      </c>
      <c r="BD130" s="16" t="s">
        <v>136</v>
      </c>
      <c r="BE130" s="16" t="s">
        <v>136</v>
      </c>
      <c r="BF130" s="16" t="s">
        <v>136</v>
      </c>
      <c r="BG130" s="16" t="s">
        <v>136</v>
      </c>
      <c r="BH130" s="16" t="s">
        <v>136</v>
      </c>
      <c r="BI130" s="16" t="s">
        <v>136</v>
      </c>
      <c r="BJ130" s="15" t="s">
        <v>136</v>
      </c>
      <c r="BK130" s="15" t="s">
        <v>136</v>
      </c>
      <c r="BL130" s="131"/>
      <c r="BY130" s="56">
        <v>0</v>
      </c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</row>
    <row r="131" spans="1:89" ht="13" x14ac:dyDescent="0.3">
      <c r="A131" s="135" t="s">
        <v>218</v>
      </c>
      <c r="B131" s="148">
        <v>252123</v>
      </c>
      <c r="C131" s="47" t="s">
        <v>196</v>
      </c>
      <c r="D131" s="49">
        <v>29067</v>
      </c>
      <c r="E131" s="49">
        <v>52809</v>
      </c>
      <c r="F131" s="47" t="s">
        <v>173</v>
      </c>
      <c r="G131" s="47">
        <v>2015</v>
      </c>
      <c r="H131" s="47" t="s">
        <v>133</v>
      </c>
      <c r="I131" s="41">
        <v>1056</v>
      </c>
      <c r="J131" s="41">
        <v>1</v>
      </c>
      <c r="K131" s="41">
        <v>0</v>
      </c>
      <c r="L131" s="41">
        <v>0</v>
      </c>
      <c r="M131" s="41">
        <v>0</v>
      </c>
      <c r="N131" s="41">
        <v>0</v>
      </c>
      <c r="O131" s="138">
        <v>0</v>
      </c>
      <c r="P131" s="147">
        <v>513050</v>
      </c>
      <c r="Q131" s="139">
        <v>1</v>
      </c>
      <c r="R131" s="139">
        <v>0</v>
      </c>
      <c r="S131" s="139">
        <v>0</v>
      </c>
      <c r="T131" s="140"/>
      <c r="U131" s="139">
        <v>0</v>
      </c>
      <c r="V131" s="141"/>
      <c r="W131" s="141">
        <v>1</v>
      </c>
      <c r="X131" s="24"/>
      <c r="Y131" s="24"/>
      <c r="Z131" s="24"/>
      <c r="AA131" s="24"/>
      <c r="AB131" s="24"/>
      <c r="AC131" s="24"/>
      <c r="AD131" s="24">
        <v>42005</v>
      </c>
      <c r="AE131" s="24"/>
      <c r="AF131" s="24"/>
      <c r="AG131" s="24"/>
      <c r="AH131" s="31"/>
      <c r="AI131" s="46" t="str">
        <f t="shared" si="13"/>
        <v/>
      </c>
      <c r="AJ131" s="27"/>
      <c r="AK131" s="27"/>
      <c r="AL131" s="27"/>
      <c r="AM131" s="27"/>
      <c r="AN131" s="27"/>
      <c r="AO131" s="27"/>
      <c r="AP131" s="27"/>
      <c r="AQ131" s="29">
        <f>IF(AND(AD131&lt;&gt;"",AF131="",AG131=""),DATE(YEAR(AD131)+Menu!$E$10,MONTH(AD131)+Menu!$E$11,1),"")</f>
        <v>44470</v>
      </c>
      <c r="AR131" s="29">
        <f>IF(AF131&lt;&gt;0,AF131,AQ131)</f>
        <v>44470</v>
      </c>
      <c r="AS131" s="27">
        <f>IF(AND(AR131&lt;&gt;"",AH131="",AG131=""),DATE(YEAR(AR131)+Menu!$E$13,MONTH(AR131)+Menu!$E$14,1),"")</f>
        <v>46935</v>
      </c>
      <c r="AT131" s="27"/>
      <c r="AU131" s="15" t="s">
        <v>138</v>
      </c>
      <c r="AV131" s="15" t="s">
        <v>138</v>
      </c>
      <c r="AW131" s="15" t="s">
        <v>138</v>
      </c>
      <c r="AX131" s="15" t="s">
        <v>138</v>
      </c>
      <c r="AY131" s="15" t="s">
        <v>138</v>
      </c>
      <c r="AZ131" s="15" t="s">
        <v>138</v>
      </c>
      <c r="BA131" s="15" t="s">
        <v>138</v>
      </c>
      <c r="BB131" s="15" t="s">
        <v>138</v>
      </c>
      <c r="BC131" s="15" t="s">
        <v>138</v>
      </c>
      <c r="BD131" s="15" t="s">
        <v>138</v>
      </c>
      <c r="BE131" s="15" t="s">
        <v>138</v>
      </c>
      <c r="BF131" s="15" t="s">
        <v>138</v>
      </c>
      <c r="BG131" s="15" t="s">
        <v>138</v>
      </c>
      <c r="BH131" s="15" t="s">
        <v>133</v>
      </c>
      <c r="BI131" s="15" t="s">
        <v>133</v>
      </c>
      <c r="BJ131" s="15" t="s">
        <v>133</v>
      </c>
      <c r="BK131" s="15" t="s">
        <v>133</v>
      </c>
      <c r="BL131" s="131" t="s">
        <v>133</v>
      </c>
      <c r="BM131" t="s">
        <v>133</v>
      </c>
      <c r="BN131" t="s">
        <v>134</v>
      </c>
      <c r="BO131" t="s">
        <v>134</v>
      </c>
      <c r="BP131" t="s">
        <v>134</v>
      </c>
      <c r="BQ131" t="s">
        <v>134</v>
      </c>
      <c r="BR131" t="s">
        <v>134</v>
      </c>
      <c r="BS131" t="s">
        <v>134</v>
      </c>
      <c r="BT131" t="s">
        <v>134</v>
      </c>
      <c r="BU131" t="s">
        <v>135</v>
      </c>
      <c r="BV131" t="s">
        <v>135</v>
      </c>
      <c r="BW131" t="s">
        <v>135</v>
      </c>
      <c r="BX131" t="s">
        <v>135</v>
      </c>
      <c r="BY131" s="56">
        <v>513050</v>
      </c>
      <c r="BZ131" s="56">
        <v>513050</v>
      </c>
      <c r="CA131" s="56">
        <v>565084.5</v>
      </c>
      <c r="CB131" s="56">
        <v>565084.5</v>
      </c>
      <c r="CC131" s="56">
        <v>565084.5</v>
      </c>
      <c r="CD131" s="56">
        <v>565084.5</v>
      </c>
      <c r="CE131" s="56">
        <v>721188</v>
      </c>
      <c r="CF131" s="56">
        <v>721188</v>
      </c>
      <c r="CG131" s="56">
        <v>721188</v>
      </c>
      <c r="CH131" s="56">
        <v>749106.75</v>
      </c>
      <c r="CI131" s="56">
        <v>804944.25</v>
      </c>
      <c r="CJ131" s="56">
        <v>860781.75</v>
      </c>
      <c r="CK131" s="56">
        <v>916619.25</v>
      </c>
    </row>
    <row r="132" spans="1:89" ht="13" x14ac:dyDescent="0.3">
      <c r="A132" s="135" t="s">
        <v>78</v>
      </c>
      <c r="B132" s="48">
        <v>102553</v>
      </c>
      <c r="C132" s="47" t="s">
        <v>196</v>
      </c>
      <c r="D132" s="49">
        <v>22480</v>
      </c>
      <c r="E132" s="49">
        <v>46234</v>
      </c>
      <c r="F132" s="47" t="s">
        <v>173</v>
      </c>
      <c r="G132" s="47"/>
      <c r="H132" s="47"/>
      <c r="I132" s="41">
        <v>374</v>
      </c>
      <c r="J132" s="41">
        <v>1</v>
      </c>
      <c r="K132" s="41">
        <v>0</v>
      </c>
      <c r="L132" s="41">
        <v>0</v>
      </c>
      <c r="M132" s="41">
        <v>0</v>
      </c>
      <c r="N132" s="41">
        <v>0</v>
      </c>
      <c r="O132" s="138">
        <v>1</v>
      </c>
      <c r="P132" s="147">
        <v>255645</v>
      </c>
      <c r="Q132" s="139">
        <v>1</v>
      </c>
      <c r="R132" s="139">
        <v>0</v>
      </c>
      <c r="S132" s="139">
        <v>0</v>
      </c>
      <c r="T132" s="140"/>
      <c r="U132" s="139">
        <v>0</v>
      </c>
      <c r="V132" s="141"/>
      <c r="W132" s="141">
        <v>1</v>
      </c>
      <c r="X132" s="24"/>
      <c r="Y132" s="24">
        <v>39944</v>
      </c>
      <c r="Z132" s="24"/>
      <c r="AA132" s="24"/>
      <c r="AB132" s="24"/>
      <c r="AC132" s="24"/>
      <c r="AD132" s="24"/>
      <c r="AE132" s="24"/>
      <c r="AF132" s="24"/>
      <c r="AG132" s="24"/>
      <c r="AH132" s="31"/>
      <c r="AI132" s="46" t="str">
        <f t="shared" si="13"/>
        <v/>
      </c>
      <c r="AJ132" s="27"/>
      <c r="AK132" s="27"/>
      <c r="AL132" s="27"/>
      <c r="AM132" s="27"/>
      <c r="AN132" s="27"/>
      <c r="AO132" s="27"/>
      <c r="AP132" s="27"/>
      <c r="AQ132" s="29" t="str">
        <f>IF(AND(AD132&lt;&gt;"",AF132="",AG132=""),DATE(YEAR(AD132)+Menu!$E$10,MONTH(AD132)+Menu!$E$11,1),"")</f>
        <v/>
      </c>
      <c r="AR132" s="29" t="str">
        <f t="shared" si="14"/>
        <v/>
      </c>
      <c r="AS132" s="27" t="str">
        <f>IF(AND(AR132&lt;&gt;"",AH132="",AG132=""),DATE(YEAR(AR132)+Menu!$E$13,MONTH(AR132)+Menu!$E$14,1),"")</f>
        <v/>
      </c>
      <c r="AT132" s="27"/>
      <c r="AU132" s="15" t="s">
        <v>138</v>
      </c>
      <c r="AV132" s="15" t="s">
        <v>138</v>
      </c>
      <c r="AW132" s="16" t="s">
        <v>138</v>
      </c>
      <c r="AX132" s="15" t="s">
        <v>138</v>
      </c>
      <c r="AY132" s="15" t="s">
        <v>138</v>
      </c>
      <c r="AZ132" s="15" t="s">
        <v>138</v>
      </c>
      <c r="BA132" s="15" t="s">
        <v>138</v>
      </c>
      <c r="BB132" s="16" t="s">
        <v>129</v>
      </c>
      <c r="BC132" s="16" t="s">
        <v>129</v>
      </c>
      <c r="BD132" s="16" t="s">
        <v>129</v>
      </c>
      <c r="BE132" s="16" t="s">
        <v>129</v>
      </c>
      <c r="BF132" s="16" t="s">
        <v>129</v>
      </c>
      <c r="BG132" s="16" t="s">
        <v>129</v>
      </c>
      <c r="BH132" s="16" t="s">
        <v>129</v>
      </c>
      <c r="BI132" s="16" t="s">
        <v>129</v>
      </c>
      <c r="BJ132" s="15" t="s">
        <v>129</v>
      </c>
      <c r="BK132" s="15" t="s">
        <v>129</v>
      </c>
      <c r="BL132" s="131" t="s">
        <v>129</v>
      </c>
      <c r="BM132" t="s">
        <v>129</v>
      </c>
      <c r="BN132" t="s">
        <v>129</v>
      </c>
      <c r="BO132" t="s">
        <v>129</v>
      </c>
      <c r="BP132" t="s">
        <v>129</v>
      </c>
      <c r="BQ132" t="s">
        <v>129</v>
      </c>
      <c r="BR132" t="s">
        <v>129</v>
      </c>
      <c r="BS132" t="s">
        <v>129</v>
      </c>
      <c r="BT132" t="s">
        <v>138</v>
      </c>
      <c r="BU132" t="s">
        <v>138</v>
      </c>
      <c r="BV132" t="s">
        <v>138</v>
      </c>
      <c r="BW132" t="s">
        <v>138</v>
      </c>
      <c r="BX132" t="s">
        <v>138</v>
      </c>
      <c r="BY132" s="56">
        <v>255645</v>
      </c>
      <c r="BZ132" s="56">
        <v>255645</v>
      </c>
      <c r="CA132" s="56">
        <v>255645</v>
      </c>
      <c r="CB132" s="56">
        <v>255645</v>
      </c>
      <c r="CC132" s="56">
        <v>255645</v>
      </c>
      <c r="CD132" s="56">
        <v>255645</v>
      </c>
      <c r="CE132" s="56">
        <v>255645</v>
      </c>
      <c r="CF132" s="56">
        <v>149126.25</v>
      </c>
      <c r="CG132" s="56">
        <v>0</v>
      </c>
      <c r="CH132" s="56">
        <v>0</v>
      </c>
      <c r="CI132" s="56">
        <v>0</v>
      </c>
      <c r="CJ132" s="56">
        <v>0</v>
      </c>
      <c r="CK132" s="56">
        <v>0</v>
      </c>
    </row>
    <row r="133" spans="1:89" ht="13" x14ac:dyDescent="0.3">
      <c r="A133" s="135" t="s">
        <v>79</v>
      </c>
      <c r="B133" s="48">
        <v>218366</v>
      </c>
      <c r="C133" s="47" t="s">
        <v>201</v>
      </c>
      <c r="D133" s="49">
        <v>26542</v>
      </c>
      <c r="E133" s="49">
        <v>50283</v>
      </c>
      <c r="F133" s="47" t="s">
        <v>173</v>
      </c>
      <c r="G133" s="47">
        <v>2011</v>
      </c>
      <c r="H133" s="47" t="s">
        <v>134</v>
      </c>
      <c r="I133" s="41">
        <v>864</v>
      </c>
      <c r="J133" s="41">
        <v>0</v>
      </c>
      <c r="K133" s="41">
        <v>0</v>
      </c>
      <c r="L133" s="41">
        <v>0</v>
      </c>
      <c r="M133" s="41">
        <v>0</v>
      </c>
      <c r="N133" s="41">
        <v>1</v>
      </c>
      <c r="O133" s="138">
        <v>0</v>
      </c>
      <c r="P133" s="147">
        <v>421361</v>
      </c>
      <c r="Q133" s="139">
        <v>1</v>
      </c>
      <c r="R133" s="139">
        <v>0</v>
      </c>
      <c r="S133" s="139">
        <v>0</v>
      </c>
      <c r="T133" s="140"/>
      <c r="U133" s="139">
        <v>0</v>
      </c>
      <c r="V133" s="141"/>
      <c r="W133" s="141">
        <v>0.5</v>
      </c>
      <c r="X133" s="24"/>
      <c r="Y133" s="24"/>
      <c r="Z133" s="24"/>
      <c r="AA133" s="24"/>
      <c r="AB133" s="24"/>
      <c r="AC133" s="24"/>
      <c r="AD133" s="24"/>
      <c r="AE133" s="24"/>
      <c r="AF133" s="24">
        <v>40878</v>
      </c>
      <c r="AG133" s="71">
        <v>43313</v>
      </c>
      <c r="AH133" s="31"/>
      <c r="AI133" s="46" t="str">
        <f t="shared" si="13"/>
        <v/>
      </c>
      <c r="AJ133" s="27"/>
      <c r="AK133" s="27"/>
      <c r="AL133" s="27"/>
      <c r="AM133" s="27"/>
      <c r="AN133" s="27"/>
      <c r="AO133" s="27"/>
      <c r="AP133" s="27"/>
      <c r="AQ133" s="29" t="str">
        <f>IF(AND(AD133&lt;&gt;"",AF133="",AG133=""),DATE(YEAR(AD133)+Menu!$E$10,MONTH(AD133)+Menu!$E$11,1),"")</f>
        <v/>
      </c>
      <c r="AR133" s="29">
        <f t="shared" si="14"/>
        <v>40878</v>
      </c>
      <c r="AS133" s="27" t="str">
        <f>IF(AND(AR133&lt;&gt;"",AH133="",AG133=""),DATE(YEAR(AR133)+Menu!$E$13,MONTH(AR133)+Menu!$E$14,1),"")</f>
        <v/>
      </c>
      <c r="AT133" s="27"/>
      <c r="AU133" s="15" t="s">
        <v>138</v>
      </c>
      <c r="AV133" s="15" t="s">
        <v>138</v>
      </c>
      <c r="AW133" s="16" t="s">
        <v>138</v>
      </c>
      <c r="AX133" s="15" t="s">
        <v>138</v>
      </c>
      <c r="AY133" s="15" t="s">
        <v>138</v>
      </c>
      <c r="AZ133" s="15" t="s">
        <v>138</v>
      </c>
      <c r="BA133" s="15" t="s">
        <v>138</v>
      </c>
      <c r="BB133" s="15" t="s">
        <v>138</v>
      </c>
      <c r="BC133" s="15" t="s">
        <v>138</v>
      </c>
      <c r="BD133" s="16" t="s">
        <v>134</v>
      </c>
      <c r="BE133" s="16" t="s">
        <v>134</v>
      </c>
      <c r="BF133" s="16" t="s">
        <v>134</v>
      </c>
      <c r="BG133" s="16" t="s">
        <v>134</v>
      </c>
      <c r="BH133" s="16" t="s">
        <v>134</v>
      </c>
      <c r="BI133" s="16" t="s">
        <v>134</v>
      </c>
      <c r="BJ133" s="15" t="s">
        <v>134</v>
      </c>
      <c r="BK133" s="15" t="s">
        <v>135</v>
      </c>
      <c r="BL133" s="131" t="s">
        <v>135</v>
      </c>
      <c r="BM133" t="s">
        <v>135</v>
      </c>
      <c r="BN133" t="s">
        <v>135</v>
      </c>
      <c r="BO133" t="s">
        <v>135</v>
      </c>
      <c r="BP133" t="s">
        <v>135</v>
      </c>
      <c r="BQ133" t="s">
        <v>135</v>
      </c>
      <c r="BR133" t="s">
        <v>135</v>
      </c>
      <c r="BS133" t="s">
        <v>135</v>
      </c>
      <c r="BT133" t="s">
        <v>135</v>
      </c>
      <c r="BU133" t="s">
        <v>135</v>
      </c>
      <c r="BV133" t="s">
        <v>135</v>
      </c>
      <c r="BW133" t="s">
        <v>135</v>
      </c>
      <c r="BX133" t="s">
        <v>135</v>
      </c>
      <c r="BY133" s="56">
        <v>421361</v>
      </c>
      <c r="BZ133" s="56">
        <v>449279.75</v>
      </c>
      <c r="CA133" s="56">
        <v>477198.5</v>
      </c>
      <c r="CB133" s="56">
        <v>500187.5</v>
      </c>
      <c r="CC133" s="56">
        <v>500187.5</v>
      </c>
      <c r="CD133" s="56">
        <v>500187.5</v>
      </c>
      <c r="CE133" s="56">
        <v>500187.5</v>
      </c>
      <c r="CF133" s="56">
        <v>500187.5</v>
      </c>
      <c r="CG133" s="56">
        <v>500187.5</v>
      </c>
      <c r="CH133" s="56">
        <v>500187.5</v>
      </c>
      <c r="CI133" s="56">
        <v>500187.5</v>
      </c>
      <c r="CJ133" s="56">
        <v>500187.5</v>
      </c>
      <c r="CK133" s="56">
        <v>500187.5</v>
      </c>
    </row>
    <row r="134" spans="1:89" ht="13" x14ac:dyDescent="0.3">
      <c r="A134" s="135" t="s">
        <v>80</v>
      </c>
      <c r="B134" s="48">
        <v>113157</v>
      </c>
      <c r="C134" s="47" t="s">
        <v>200</v>
      </c>
      <c r="D134" s="49">
        <v>23888</v>
      </c>
      <c r="E134" s="49">
        <v>47269</v>
      </c>
      <c r="F134" s="47" t="s">
        <v>172</v>
      </c>
      <c r="G134" s="47">
        <v>2017</v>
      </c>
      <c r="H134" s="47" t="s">
        <v>134</v>
      </c>
      <c r="I134" s="41">
        <v>841</v>
      </c>
      <c r="J134" s="41">
        <v>0</v>
      </c>
      <c r="K134" s="41">
        <v>0</v>
      </c>
      <c r="L134" s="41">
        <v>0</v>
      </c>
      <c r="M134" s="41">
        <v>1</v>
      </c>
      <c r="N134" s="41">
        <v>0</v>
      </c>
      <c r="O134" s="138">
        <v>0</v>
      </c>
      <c r="P134" s="147">
        <f>683270-P117-P35-P232</f>
        <v>683270</v>
      </c>
      <c r="Q134" s="139">
        <v>1</v>
      </c>
      <c r="R134" s="139">
        <v>1</v>
      </c>
      <c r="S134" s="139">
        <v>0</v>
      </c>
      <c r="T134" s="140"/>
      <c r="U134" s="139">
        <f>-SUM(U35,U117,U232)*5/12</f>
        <v>-31465.503125000003</v>
      </c>
      <c r="V134" s="141">
        <v>2029</v>
      </c>
      <c r="W134" s="141">
        <v>1</v>
      </c>
      <c r="X134" s="24"/>
      <c r="Y134" s="24"/>
      <c r="Z134" s="24"/>
      <c r="AA134" s="24"/>
      <c r="AB134" s="24">
        <v>40157</v>
      </c>
      <c r="AC134" s="24"/>
      <c r="AD134" s="24"/>
      <c r="AE134" s="24"/>
      <c r="AF134" s="24">
        <v>42826</v>
      </c>
      <c r="AG134" s="24"/>
      <c r="AH134" s="31"/>
      <c r="AI134" s="46" t="str">
        <f t="shared" si="13"/>
        <v/>
      </c>
      <c r="AJ134" s="27"/>
      <c r="AK134" s="27"/>
      <c r="AL134" s="27"/>
      <c r="AM134" s="27"/>
      <c r="AN134" s="27"/>
      <c r="AO134" s="27"/>
      <c r="AP134" s="27"/>
      <c r="AQ134" s="29" t="str">
        <f>IF(AND(AD134&lt;&gt;"",AF134="",AG134=""),DATE(YEAR(AD134)+Menu!$E$10,MONTH(AD134)+Menu!$E$11,1),"")</f>
        <v/>
      </c>
      <c r="AR134" s="29">
        <f t="shared" si="14"/>
        <v>42826</v>
      </c>
      <c r="AS134" s="27">
        <f>IF(AND(AR134&lt;&gt;"",AH134="",AG134=""),DATE(YEAR(AR134)+Menu!$E$13,MONTH(AR134)+Menu!$E$14,1),"")</f>
        <v>45292</v>
      </c>
      <c r="AT134" s="27"/>
      <c r="AU134" s="15" t="s">
        <v>138</v>
      </c>
      <c r="AV134" s="15" t="s">
        <v>138</v>
      </c>
      <c r="AW134" s="16" t="s">
        <v>138</v>
      </c>
      <c r="AX134" s="15" t="s">
        <v>138</v>
      </c>
      <c r="AY134" s="15" t="s">
        <v>138</v>
      </c>
      <c r="AZ134" s="15" t="s">
        <v>138</v>
      </c>
      <c r="BA134" s="15" t="s">
        <v>138</v>
      </c>
      <c r="BB134" s="16" t="s">
        <v>131</v>
      </c>
      <c r="BC134" s="16" t="s">
        <v>131</v>
      </c>
      <c r="BD134" s="16" t="s">
        <v>131</v>
      </c>
      <c r="BE134" s="16" t="s">
        <v>131</v>
      </c>
      <c r="BF134" s="16" t="s">
        <v>131</v>
      </c>
      <c r="BG134" s="16" t="s">
        <v>131</v>
      </c>
      <c r="BH134" s="16" t="s">
        <v>131</v>
      </c>
      <c r="BI134" s="16" t="s">
        <v>131</v>
      </c>
      <c r="BJ134" s="15" t="s">
        <v>134</v>
      </c>
      <c r="BK134" s="15" t="s">
        <v>134</v>
      </c>
      <c r="BL134" s="131" t="s">
        <v>134</v>
      </c>
      <c r="BM134" t="s">
        <v>134</v>
      </c>
      <c r="BN134" t="s">
        <v>134</v>
      </c>
      <c r="BO134" t="s">
        <v>134</v>
      </c>
      <c r="BP134" t="s">
        <v>134</v>
      </c>
      <c r="BQ134" t="s">
        <v>135</v>
      </c>
      <c r="BR134" t="s">
        <v>135</v>
      </c>
      <c r="BS134" t="s">
        <v>135</v>
      </c>
      <c r="BT134" t="s">
        <v>135</v>
      </c>
      <c r="BU134" t="s">
        <v>135</v>
      </c>
      <c r="BV134" t="s">
        <v>138</v>
      </c>
      <c r="BW134" t="s">
        <v>138</v>
      </c>
      <c r="BX134" t="s">
        <v>138</v>
      </c>
      <c r="BY134" s="56">
        <v>683270</v>
      </c>
      <c r="BZ134" s="56">
        <v>711708.5</v>
      </c>
      <c r="CA134" s="56">
        <v>721188</v>
      </c>
      <c r="CB134" s="56">
        <v>721188</v>
      </c>
      <c r="CC134" s="56">
        <v>721188</v>
      </c>
      <c r="CD134" s="56">
        <v>777025.5</v>
      </c>
      <c r="CE134" s="56">
        <v>832863</v>
      </c>
      <c r="CF134" s="56">
        <v>888700.5</v>
      </c>
      <c r="CG134" s="56">
        <v>944538</v>
      </c>
      <c r="CH134" s="56">
        <v>1000375</v>
      </c>
      <c r="CI134" s="56">
        <v>385357.4135416667</v>
      </c>
      <c r="CJ134" s="56">
        <v>0</v>
      </c>
      <c r="CK134" s="56">
        <v>0</v>
      </c>
    </row>
    <row r="135" spans="1:89" ht="13" x14ac:dyDescent="0.3">
      <c r="A135" s="135" t="s">
        <v>81</v>
      </c>
      <c r="B135" s="148">
        <v>149175</v>
      </c>
      <c r="C135" s="47" t="s">
        <v>201</v>
      </c>
      <c r="D135" s="49">
        <v>22702</v>
      </c>
      <c r="E135" s="49">
        <v>43708</v>
      </c>
      <c r="F135" s="47" t="s">
        <v>173</v>
      </c>
      <c r="G135" s="47"/>
      <c r="H135" s="47"/>
      <c r="I135" s="41">
        <v>862</v>
      </c>
      <c r="J135" s="41">
        <v>0</v>
      </c>
      <c r="K135" s="41">
        <v>0</v>
      </c>
      <c r="L135" s="41">
        <v>0</v>
      </c>
      <c r="M135" s="41">
        <v>0</v>
      </c>
      <c r="N135" s="41">
        <v>1</v>
      </c>
      <c r="O135" s="138">
        <v>0</v>
      </c>
      <c r="P135" s="147">
        <f>460083-P233</f>
        <v>311739.17499999999</v>
      </c>
      <c r="Q135" s="139">
        <v>1</v>
      </c>
      <c r="R135" s="139">
        <v>0</v>
      </c>
      <c r="S135" s="139">
        <v>0</v>
      </c>
      <c r="T135" s="140"/>
      <c r="U135" s="139">
        <v>0</v>
      </c>
      <c r="V135" s="141"/>
      <c r="W135" s="141">
        <v>1</v>
      </c>
      <c r="X135" s="24"/>
      <c r="Y135" s="24"/>
      <c r="Z135" s="24"/>
      <c r="AA135" s="24"/>
      <c r="AB135" s="24"/>
      <c r="AC135" s="24">
        <v>38604</v>
      </c>
      <c r="AD135" s="24"/>
      <c r="AE135" s="24"/>
      <c r="AF135" s="24">
        <v>39904</v>
      </c>
      <c r="AG135" s="24"/>
      <c r="AH135" s="31"/>
      <c r="AI135" s="46"/>
      <c r="AJ135" s="27"/>
      <c r="AK135" s="27"/>
      <c r="AL135" s="27"/>
      <c r="AM135" s="27"/>
      <c r="AN135" s="27"/>
      <c r="AO135" s="27"/>
      <c r="AP135" s="27"/>
      <c r="AQ135" s="29" t="str">
        <f>IF(AND(AD135&lt;&gt;"",AF135="",AG135=""),DATE(YEAR(AD135)+Menu!$E$10,MONTH(AD135)+Menu!$E$11,1),"")</f>
        <v/>
      </c>
      <c r="AR135" s="29">
        <f t="shared" si="14"/>
        <v>39904</v>
      </c>
      <c r="AS135" s="27"/>
      <c r="AT135" s="27"/>
      <c r="AU135" s="15" t="s">
        <v>138</v>
      </c>
      <c r="AV135" s="15" t="s">
        <v>138</v>
      </c>
      <c r="AW135" s="15" t="s">
        <v>138</v>
      </c>
      <c r="AX135" s="16" t="s">
        <v>132</v>
      </c>
      <c r="AY135" s="16" t="s">
        <v>132</v>
      </c>
      <c r="AZ135" s="16" t="s">
        <v>132</v>
      </c>
      <c r="BA135" s="16" t="s">
        <v>132</v>
      </c>
      <c r="BB135" s="16" t="s">
        <v>134</v>
      </c>
      <c r="BC135" s="16" t="s">
        <v>134</v>
      </c>
      <c r="BD135" s="16" t="s">
        <v>134</v>
      </c>
      <c r="BE135" s="16" t="s">
        <v>134</v>
      </c>
      <c r="BF135" s="16" t="s">
        <v>134</v>
      </c>
      <c r="BG135" s="16" t="s">
        <v>134</v>
      </c>
      <c r="BH135" s="16" t="s">
        <v>134</v>
      </c>
      <c r="BI135" s="16" t="s">
        <v>134</v>
      </c>
      <c r="BJ135" s="15" t="s">
        <v>134</v>
      </c>
      <c r="BK135" s="15" t="s">
        <v>134</v>
      </c>
      <c r="BL135" s="131" t="s">
        <v>138</v>
      </c>
      <c r="BM135" t="s">
        <v>138</v>
      </c>
      <c r="BN135" t="s">
        <v>138</v>
      </c>
      <c r="BO135" t="s">
        <v>138</v>
      </c>
      <c r="BP135" t="s">
        <v>138</v>
      </c>
      <c r="BQ135" t="s">
        <v>138</v>
      </c>
      <c r="BR135" t="s">
        <v>138</v>
      </c>
      <c r="BS135" t="s">
        <v>138</v>
      </c>
      <c r="BT135" t="s">
        <v>138</v>
      </c>
      <c r="BU135" t="s">
        <v>138</v>
      </c>
      <c r="BV135" t="s">
        <v>138</v>
      </c>
      <c r="BW135" t="s">
        <v>138</v>
      </c>
      <c r="BX135" t="s">
        <v>138</v>
      </c>
      <c r="BY135" s="56">
        <v>311739.17499999999</v>
      </c>
      <c r="BZ135" s="56">
        <v>0</v>
      </c>
      <c r="CA135" s="56">
        <v>0</v>
      </c>
      <c r="CB135" s="56">
        <v>0</v>
      </c>
      <c r="CC135" s="56">
        <v>0</v>
      </c>
      <c r="CD135" s="56">
        <v>0</v>
      </c>
      <c r="CE135" s="56">
        <v>0</v>
      </c>
      <c r="CF135" s="56">
        <v>0</v>
      </c>
      <c r="CG135" s="56">
        <v>0</v>
      </c>
      <c r="CH135" s="56">
        <v>0</v>
      </c>
      <c r="CI135" s="56">
        <v>0</v>
      </c>
      <c r="CJ135" s="56">
        <v>0</v>
      </c>
      <c r="CK135" s="56">
        <v>0</v>
      </c>
    </row>
    <row r="136" spans="1:89" ht="13" x14ac:dyDescent="0.3">
      <c r="A136" s="135" t="s">
        <v>82</v>
      </c>
      <c r="B136" s="48">
        <v>105869</v>
      </c>
      <c r="C136" s="47" t="s">
        <v>200</v>
      </c>
      <c r="D136" s="49">
        <v>22177</v>
      </c>
      <c r="E136" s="49">
        <v>45930</v>
      </c>
      <c r="F136" s="47" t="s">
        <v>173</v>
      </c>
      <c r="G136" s="47"/>
      <c r="H136" s="47"/>
      <c r="I136" s="41">
        <v>376</v>
      </c>
      <c r="J136" s="41">
        <v>0</v>
      </c>
      <c r="K136" s="41">
        <v>0</v>
      </c>
      <c r="L136" s="41">
        <v>0</v>
      </c>
      <c r="M136" s="41">
        <v>1</v>
      </c>
      <c r="N136" s="41">
        <v>0</v>
      </c>
      <c r="O136" s="138">
        <v>1</v>
      </c>
      <c r="P136" s="147">
        <v>243429.75</v>
      </c>
      <c r="Q136" s="139">
        <v>1</v>
      </c>
      <c r="R136" s="139">
        <v>0</v>
      </c>
      <c r="S136" s="139">
        <v>0</v>
      </c>
      <c r="T136" s="140"/>
      <c r="U136" s="139">
        <v>0</v>
      </c>
      <c r="V136" s="141"/>
      <c r="W136" s="141">
        <v>1</v>
      </c>
      <c r="X136" s="24"/>
      <c r="Y136" s="24">
        <v>39888</v>
      </c>
      <c r="Z136" s="24"/>
      <c r="AA136" s="24"/>
      <c r="AB136" s="24"/>
      <c r="AC136" s="24"/>
      <c r="AD136" s="24"/>
      <c r="AE136" s="24"/>
      <c r="AF136" s="24"/>
      <c r="AG136" s="24"/>
      <c r="AH136" s="31"/>
      <c r="AI136" s="46" t="str">
        <f>IF(YEAR(E136)&lt;2018,YEAR(E136),"")</f>
        <v/>
      </c>
      <c r="AJ136" s="27"/>
      <c r="AK136" s="27"/>
      <c r="AL136" s="27"/>
      <c r="AM136" s="27"/>
      <c r="AN136" s="27"/>
      <c r="AO136" s="27"/>
      <c r="AP136" s="27"/>
      <c r="AQ136" s="29" t="str">
        <f>IF(AND(AD136&lt;&gt;"",AF136="",AG136=""),DATE(YEAR(AD136)+Menu!$E$10,MONTH(AD136)+Menu!$E$11,1),"")</f>
        <v/>
      </c>
      <c r="AR136" s="29" t="str">
        <f t="shared" si="14"/>
        <v/>
      </c>
      <c r="AS136" s="27" t="str">
        <f>IF(AND(AR136&lt;&gt;"",AH136="",AG136=""),DATE(YEAR(AR136)+Menu!$E$13,MONTH(AR136)+Menu!$E$14,1),"")</f>
        <v/>
      </c>
      <c r="AT136" s="27"/>
      <c r="AU136" s="15" t="s">
        <v>138</v>
      </c>
      <c r="AV136" s="15" t="s">
        <v>138</v>
      </c>
      <c r="AW136" s="16" t="s">
        <v>138</v>
      </c>
      <c r="AX136" s="15" t="s">
        <v>138</v>
      </c>
      <c r="AY136" s="15" t="s">
        <v>138</v>
      </c>
      <c r="AZ136" s="15" t="s">
        <v>138</v>
      </c>
      <c r="BA136" s="15" t="s">
        <v>138</v>
      </c>
      <c r="BB136" s="16" t="s">
        <v>129</v>
      </c>
      <c r="BC136" s="16" t="s">
        <v>129</v>
      </c>
      <c r="BD136" s="16" t="s">
        <v>129</v>
      </c>
      <c r="BE136" s="16" t="s">
        <v>129</v>
      </c>
      <c r="BF136" s="16" t="s">
        <v>129</v>
      </c>
      <c r="BG136" s="16" t="s">
        <v>129</v>
      </c>
      <c r="BH136" s="16" t="s">
        <v>129</v>
      </c>
      <c r="BI136" s="16" t="s">
        <v>129</v>
      </c>
      <c r="BJ136" s="15" t="s">
        <v>129</v>
      </c>
      <c r="BK136" s="15" t="s">
        <v>129</v>
      </c>
      <c r="BL136" s="131" t="s">
        <v>129</v>
      </c>
      <c r="BM136" t="s">
        <v>129</v>
      </c>
      <c r="BN136" t="s">
        <v>129</v>
      </c>
      <c r="BO136" t="s">
        <v>129</v>
      </c>
      <c r="BP136" t="s">
        <v>129</v>
      </c>
      <c r="BQ136" t="s">
        <v>129</v>
      </c>
      <c r="BR136" t="s">
        <v>129</v>
      </c>
      <c r="BS136" t="s">
        <v>138</v>
      </c>
      <c r="BT136" t="s">
        <v>138</v>
      </c>
      <c r="BU136" t="s">
        <v>138</v>
      </c>
      <c r="BV136" t="s">
        <v>138</v>
      </c>
      <c r="BW136" t="s">
        <v>138</v>
      </c>
      <c r="BX136" t="s">
        <v>138</v>
      </c>
      <c r="BY136" s="56">
        <v>243429.75</v>
      </c>
      <c r="BZ136" s="56">
        <v>243429.75</v>
      </c>
      <c r="CA136" s="56">
        <v>243429.75</v>
      </c>
      <c r="CB136" s="56">
        <v>243429.75</v>
      </c>
      <c r="CC136" s="56">
        <v>243429.75</v>
      </c>
      <c r="CD136" s="56">
        <v>243429.75</v>
      </c>
      <c r="CE136" s="56">
        <v>182572.3125</v>
      </c>
      <c r="CF136" s="56">
        <v>0</v>
      </c>
      <c r="CG136" s="56">
        <v>0</v>
      </c>
      <c r="CH136" s="56">
        <v>0</v>
      </c>
      <c r="CI136" s="56">
        <v>0</v>
      </c>
      <c r="CJ136" s="56">
        <v>0</v>
      </c>
      <c r="CK136" s="56">
        <v>0</v>
      </c>
    </row>
    <row r="137" spans="1:89" ht="13" x14ac:dyDescent="0.3">
      <c r="A137" s="135" t="s">
        <v>192</v>
      </c>
      <c r="B137" s="148"/>
      <c r="C137" s="47" t="s">
        <v>196</v>
      </c>
      <c r="D137" s="49">
        <v>17386</v>
      </c>
      <c r="E137" s="49">
        <v>41152</v>
      </c>
      <c r="F137" s="47" t="s">
        <v>173</v>
      </c>
      <c r="G137" s="47"/>
      <c r="H137" s="47"/>
      <c r="I137" s="40">
        <v>0</v>
      </c>
      <c r="J137" s="41">
        <v>1</v>
      </c>
      <c r="K137" s="41">
        <v>0</v>
      </c>
      <c r="L137" s="41">
        <v>0</v>
      </c>
      <c r="M137" s="41">
        <v>0</v>
      </c>
      <c r="N137" s="41">
        <v>0</v>
      </c>
      <c r="O137" s="138">
        <v>0</v>
      </c>
      <c r="P137" s="147">
        <v>0</v>
      </c>
      <c r="Q137" s="139">
        <v>0</v>
      </c>
      <c r="R137" s="139">
        <v>0</v>
      </c>
      <c r="S137" s="139">
        <v>0</v>
      </c>
      <c r="T137" s="140"/>
      <c r="U137" s="139">
        <v>0</v>
      </c>
      <c r="V137" s="141"/>
      <c r="W137" s="141">
        <v>0</v>
      </c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31"/>
      <c r="AI137" s="46">
        <v>2006</v>
      </c>
      <c r="AJ137" s="27"/>
      <c r="AK137" s="27"/>
      <c r="AL137" s="27"/>
      <c r="AM137" s="27"/>
      <c r="AN137" s="27"/>
      <c r="AO137" s="27"/>
      <c r="AP137" s="27"/>
      <c r="AQ137" s="29" t="str">
        <f>IF(AND(AD137&lt;&gt;"",AF137="",AG137=""),DATE(YEAR(AD137)+Menu!$E$10,MONTH(AD137)+Menu!$E$11,1),"")</f>
        <v/>
      </c>
      <c r="AR137" s="29" t="str">
        <f t="shared" si="14"/>
        <v/>
      </c>
      <c r="AS137" s="27" t="str">
        <f>IF(AND(AR137&lt;&gt;"",AH137="",AG137=""),DATE(YEAR(AR137)+Menu!$E$13,MONTH(AR137)+Menu!$E$14,1),"")</f>
        <v/>
      </c>
      <c r="AT137" s="27"/>
      <c r="AU137" s="15" t="s">
        <v>135</v>
      </c>
      <c r="AV137" s="15" t="s">
        <v>135</v>
      </c>
      <c r="AW137" s="16" t="s">
        <v>135</v>
      </c>
      <c r="AX137" s="15" t="s">
        <v>135</v>
      </c>
      <c r="AY137" s="15" t="s">
        <v>136</v>
      </c>
      <c r="AZ137" s="15" t="s">
        <v>136</v>
      </c>
      <c r="BA137" s="15" t="s">
        <v>136</v>
      </c>
      <c r="BB137" s="15" t="s">
        <v>136</v>
      </c>
      <c r="BC137" s="15" t="s">
        <v>136</v>
      </c>
      <c r="BD137" s="15" t="s">
        <v>136</v>
      </c>
      <c r="BE137" s="15" t="s">
        <v>136</v>
      </c>
      <c r="BF137" s="15" t="s">
        <v>136</v>
      </c>
      <c r="BG137" s="15" t="s">
        <v>136</v>
      </c>
      <c r="BH137" s="15" t="s">
        <v>136</v>
      </c>
      <c r="BI137" s="15" t="s">
        <v>136</v>
      </c>
      <c r="BJ137" s="15" t="s">
        <v>136</v>
      </c>
      <c r="BK137" s="15" t="s">
        <v>136</v>
      </c>
      <c r="BL137" s="131"/>
      <c r="BY137" s="56">
        <v>0</v>
      </c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</row>
    <row r="138" spans="1:89" ht="13" x14ac:dyDescent="0.3">
      <c r="A138" s="42" t="s">
        <v>83</v>
      </c>
      <c r="B138" s="43">
        <v>178549</v>
      </c>
      <c r="C138" s="42" t="s">
        <v>200</v>
      </c>
      <c r="D138" s="44">
        <v>26837</v>
      </c>
      <c r="E138" s="44">
        <v>50586</v>
      </c>
      <c r="F138" s="42" t="s">
        <v>173</v>
      </c>
      <c r="G138" s="47"/>
      <c r="H138" s="47"/>
      <c r="I138" s="40">
        <v>127</v>
      </c>
      <c r="J138" s="41">
        <v>0</v>
      </c>
      <c r="K138" s="41">
        <v>0</v>
      </c>
      <c r="L138" s="41">
        <v>0</v>
      </c>
      <c r="M138" s="41">
        <v>1</v>
      </c>
      <c r="N138" s="41">
        <v>0</v>
      </c>
      <c r="O138" s="138">
        <v>0</v>
      </c>
      <c r="P138" s="147">
        <v>0</v>
      </c>
      <c r="Q138" s="139">
        <v>0</v>
      </c>
      <c r="R138" s="139">
        <v>0</v>
      </c>
      <c r="S138" s="139">
        <v>0</v>
      </c>
      <c r="T138" s="140"/>
      <c r="U138" s="139">
        <v>0</v>
      </c>
      <c r="V138" s="141"/>
      <c r="W138" s="141">
        <v>0</v>
      </c>
      <c r="X138" s="24"/>
      <c r="Y138" s="24"/>
      <c r="Z138" s="24"/>
      <c r="AA138" s="24"/>
      <c r="AB138" s="24"/>
      <c r="AC138" s="24"/>
      <c r="AD138" s="24"/>
      <c r="AE138" s="24"/>
      <c r="AF138" s="24">
        <v>39264</v>
      </c>
      <c r="AG138" s="24">
        <v>40976</v>
      </c>
      <c r="AH138" s="31"/>
      <c r="AI138" s="46" t="str">
        <f t="shared" ref="AI138:AI154" si="15">IF(YEAR(E138)&lt;2018,YEAR(E138),"")</f>
        <v/>
      </c>
      <c r="AJ138" s="27"/>
      <c r="AK138" s="27"/>
      <c r="AL138" s="27"/>
      <c r="AM138" s="27"/>
      <c r="AN138" s="27"/>
      <c r="AO138" s="27"/>
      <c r="AP138" s="27"/>
      <c r="AQ138" s="29" t="str">
        <f>IF(AND(AD138&lt;&gt;"",AF138="",AG138=""),DATE(YEAR(AD138)+Menu!$E$10,MONTH(AD138)+Menu!$E$11,1),"")</f>
        <v/>
      </c>
      <c r="AR138" s="29">
        <f t="shared" si="14"/>
        <v>39264</v>
      </c>
      <c r="AS138" s="27" t="str">
        <f>IF(AND(AR138&lt;&gt;"",AH138="",AG138=""),DATE(YEAR(AR138)+Menu!$E$13,MONTH(AR138)+Menu!$E$14,1),"")</f>
        <v/>
      </c>
      <c r="AT138" s="27"/>
      <c r="AU138" s="15" t="s">
        <v>138</v>
      </c>
      <c r="AV138" s="15" t="s">
        <v>138</v>
      </c>
      <c r="AW138" s="16" t="s">
        <v>138</v>
      </c>
      <c r="AX138" s="15" t="s">
        <v>138</v>
      </c>
      <c r="AY138" s="15" t="s">
        <v>138</v>
      </c>
      <c r="AZ138" s="16" t="s">
        <v>134</v>
      </c>
      <c r="BA138" s="16" t="s">
        <v>134</v>
      </c>
      <c r="BB138" s="16" t="s">
        <v>134</v>
      </c>
      <c r="BC138" s="16" t="s">
        <v>134</v>
      </c>
      <c r="BD138" s="16" t="s">
        <v>134</v>
      </c>
      <c r="BE138" s="16" t="s">
        <v>135</v>
      </c>
      <c r="BF138" s="16" t="s">
        <v>135</v>
      </c>
      <c r="BG138" s="16" t="s">
        <v>135</v>
      </c>
      <c r="BH138" s="16" t="s">
        <v>135</v>
      </c>
      <c r="BI138" s="16" t="s">
        <v>135</v>
      </c>
      <c r="BJ138" s="15" t="s">
        <v>135</v>
      </c>
      <c r="BK138" s="15" t="s">
        <v>135</v>
      </c>
      <c r="BL138" s="131" t="s">
        <v>135</v>
      </c>
      <c r="BM138" t="s">
        <v>135</v>
      </c>
      <c r="BN138" t="s">
        <v>135</v>
      </c>
      <c r="BO138" t="s">
        <v>135</v>
      </c>
      <c r="BP138" t="s">
        <v>135</v>
      </c>
      <c r="BQ138" t="s">
        <v>135</v>
      </c>
      <c r="BR138" t="s">
        <v>135</v>
      </c>
      <c r="BS138" t="s">
        <v>135</v>
      </c>
      <c r="BT138" t="s">
        <v>135</v>
      </c>
      <c r="BU138" t="s">
        <v>135</v>
      </c>
      <c r="BV138" t="s">
        <v>135</v>
      </c>
      <c r="BW138" t="s">
        <v>135</v>
      </c>
      <c r="BX138" t="s">
        <v>135</v>
      </c>
      <c r="BY138" s="56">
        <v>0</v>
      </c>
      <c r="BZ138" s="56">
        <v>0</v>
      </c>
      <c r="CA138" s="56">
        <v>0</v>
      </c>
      <c r="CB138" s="56">
        <v>0</v>
      </c>
      <c r="CC138" s="56">
        <v>0</v>
      </c>
      <c r="CD138" s="56">
        <v>0</v>
      </c>
      <c r="CE138" s="56">
        <v>0</v>
      </c>
      <c r="CF138" s="56">
        <v>0</v>
      </c>
      <c r="CG138" s="56">
        <v>0</v>
      </c>
      <c r="CH138" s="56">
        <v>0</v>
      </c>
      <c r="CI138" s="56">
        <v>0</v>
      </c>
      <c r="CJ138" s="56">
        <v>0</v>
      </c>
      <c r="CK138" s="56">
        <v>0</v>
      </c>
    </row>
    <row r="139" spans="1:89" ht="13" x14ac:dyDescent="0.3">
      <c r="A139" s="135" t="s">
        <v>245</v>
      </c>
      <c r="B139" s="134">
        <v>292067</v>
      </c>
      <c r="C139" s="135" t="s">
        <v>200</v>
      </c>
      <c r="D139" s="136">
        <v>30922</v>
      </c>
      <c r="E139" s="136">
        <v>54666</v>
      </c>
      <c r="F139" s="135" t="s">
        <v>173</v>
      </c>
      <c r="G139" s="135">
        <v>2018</v>
      </c>
      <c r="H139" s="135" t="s">
        <v>133</v>
      </c>
      <c r="I139" s="137">
        <v>307</v>
      </c>
      <c r="J139" s="137">
        <v>0</v>
      </c>
      <c r="K139" s="137">
        <v>0</v>
      </c>
      <c r="L139" s="137">
        <v>0</v>
      </c>
      <c r="M139" s="137">
        <v>1</v>
      </c>
      <c r="N139" s="137">
        <v>0</v>
      </c>
      <c r="O139" s="138">
        <v>0</v>
      </c>
      <c r="P139" s="147">
        <v>143479.75</v>
      </c>
      <c r="Q139" s="139">
        <v>1</v>
      </c>
      <c r="R139" s="139">
        <v>0</v>
      </c>
      <c r="S139" s="139">
        <v>0</v>
      </c>
      <c r="T139" s="140"/>
      <c r="U139" s="139">
        <v>0</v>
      </c>
      <c r="V139" s="141"/>
      <c r="W139" s="141">
        <v>1</v>
      </c>
      <c r="X139" s="24"/>
      <c r="Y139" s="24"/>
      <c r="Z139" s="24"/>
      <c r="AA139" s="24">
        <v>43252</v>
      </c>
      <c r="AB139" s="24"/>
      <c r="AC139" s="24"/>
      <c r="AD139" s="24">
        <v>43252</v>
      </c>
      <c r="AE139" s="24"/>
      <c r="AF139" s="24"/>
      <c r="AG139" s="24"/>
      <c r="AH139" s="31"/>
      <c r="AI139" s="46" t="str">
        <f t="shared" si="15"/>
        <v/>
      </c>
      <c r="AJ139" s="27"/>
      <c r="AK139" s="27"/>
      <c r="AL139" s="27"/>
      <c r="AM139" s="27"/>
      <c r="AN139" s="27"/>
      <c r="AO139" s="27"/>
      <c r="AP139" s="27"/>
      <c r="AQ139" s="29">
        <f>IF(AND(AD139&lt;&gt;"",AF139="",AG139=""),DATE(YEAR(AD139)+Menu!$E$10,MONTH(AD139)+Menu!$E$11,1),"")</f>
        <v>45717</v>
      </c>
      <c r="AR139" s="29">
        <f t="shared" si="14"/>
        <v>45717</v>
      </c>
      <c r="AS139" s="27">
        <f>IF(AND(AR139&lt;&gt;"",AH139="",AG139=""),DATE(YEAR(AR139)+Menu!$E$13,MONTH(AR139)+Menu!$E$14,1),"")</f>
        <v>48183</v>
      </c>
      <c r="AT139" s="27"/>
      <c r="AU139" s="15" t="s">
        <v>138</v>
      </c>
      <c r="AV139" s="15" t="s">
        <v>138</v>
      </c>
      <c r="AW139" s="15" t="s">
        <v>138</v>
      </c>
      <c r="AX139" s="15" t="s">
        <v>138</v>
      </c>
      <c r="AY139" s="15" t="s">
        <v>138</v>
      </c>
      <c r="AZ139" s="15" t="s">
        <v>138</v>
      </c>
      <c r="BA139" s="15" t="s">
        <v>138</v>
      </c>
      <c r="BB139" s="15" t="s">
        <v>138</v>
      </c>
      <c r="BC139" s="15" t="s">
        <v>138</v>
      </c>
      <c r="BD139" s="15" t="s">
        <v>138</v>
      </c>
      <c r="BE139" s="15" t="s">
        <v>138</v>
      </c>
      <c r="BF139" s="15" t="s">
        <v>138</v>
      </c>
      <c r="BG139" s="15" t="s">
        <v>138</v>
      </c>
      <c r="BH139" s="15" t="s">
        <v>138</v>
      </c>
      <c r="BI139" s="15" t="s">
        <v>138</v>
      </c>
      <c r="BJ139" s="15" t="s">
        <v>138</v>
      </c>
      <c r="BK139" s="15" t="s">
        <v>133</v>
      </c>
      <c r="BL139" s="131" t="s">
        <v>133</v>
      </c>
      <c r="BM139" t="s">
        <v>133</v>
      </c>
      <c r="BN139" t="s">
        <v>133</v>
      </c>
      <c r="BO139" t="s">
        <v>133</v>
      </c>
      <c r="BP139" t="s">
        <v>133</v>
      </c>
      <c r="BQ139" t="s">
        <v>133</v>
      </c>
      <c r="BR139" t="s">
        <v>134</v>
      </c>
      <c r="BS139" t="s">
        <v>134</v>
      </c>
      <c r="BT139" t="s">
        <v>134</v>
      </c>
      <c r="BU139" t="s">
        <v>134</v>
      </c>
      <c r="BV139" t="s">
        <v>134</v>
      </c>
      <c r="BW139" t="s">
        <v>134</v>
      </c>
      <c r="BX139" t="s">
        <v>135</v>
      </c>
      <c r="BY139" s="56">
        <v>143479.75</v>
      </c>
      <c r="BZ139" s="56">
        <v>143479.75</v>
      </c>
      <c r="CA139" s="56">
        <v>182781.83333333334</v>
      </c>
      <c r="CB139" s="56">
        <v>210854.75</v>
      </c>
      <c r="CC139" s="56">
        <v>210854.75</v>
      </c>
      <c r="CD139" s="56">
        <v>210854.75</v>
      </c>
      <c r="CE139" s="56">
        <v>636132.45833333337</v>
      </c>
      <c r="CF139" s="56">
        <v>636132.45833333337</v>
      </c>
      <c r="CG139" s="56">
        <v>636132.45833333337</v>
      </c>
      <c r="CH139" s="56">
        <v>636132.45833333337</v>
      </c>
      <c r="CI139" s="56">
        <v>721188</v>
      </c>
      <c r="CJ139" s="56">
        <v>721188</v>
      </c>
      <c r="CK139" s="56">
        <v>725841.125</v>
      </c>
    </row>
    <row r="140" spans="1:89" ht="13" x14ac:dyDescent="0.3">
      <c r="A140" s="145" t="s">
        <v>84</v>
      </c>
      <c r="B140" s="134">
        <v>102717</v>
      </c>
      <c r="C140" s="135" t="s">
        <v>198</v>
      </c>
      <c r="D140" s="136">
        <v>24548</v>
      </c>
      <c r="E140" s="136">
        <v>48304</v>
      </c>
      <c r="F140" s="135" t="s">
        <v>173</v>
      </c>
      <c r="G140" s="135"/>
      <c r="H140" s="135"/>
      <c r="I140" s="137">
        <v>888</v>
      </c>
      <c r="J140" s="137">
        <v>0</v>
      </c>
      <c r="K140" s="137">
        <v>0</v>
      </c>
      <c r="L140" s="137">
        <v>1</v>
      </c>
      <c r="M140" s="137">
        <v>0</v>
      </c>
      <c r="N140" s="137">
        <v>0</v>
      </c>
      <c r="O140" s="138">
        <v>2</v>
      </c>
      <c r="P140" s="139">
        <f>184204*1.225+10000</f>
        <v>235649.90000000002</v>
      </c>
      <c r="Q140" s="139">
        <v>1</v>
      </c>
      <c r="R140" s="139">
        <v>0</v>
      </c>
      <c r="S140" s="139">
        <v>0</v>
      </c>
      <c r="T140" s="140"/>
      <c r="U140" s="139">
        <v>0</v>
      </c>
      <c r="V140" s="141"/>
      <c r="W140" s="141">
        <v>1</v>
      </c>
      <c r="X140" s="24"/>
      <c r="Y140" s="24">
        <v>39223</v>
      </c>
      <c r="Z140" s="24"/>
      <c r="AA140" s="24"/>
      <c r="AB140" s="24">
        <v>41417</v>
      </c>
      <c r="AC140" s="24"/>
      <c r="AD140" s="24"/>
      <c r="AE140" s="24"/>
      <c r="AF140" s="24"/>
      <c r="AG140" s="24"/>
      <c r="AH140" s="31"/>
      <c r="AI140" s="46" t="str">
        <f t="shared" si="15"/>
        <v/>
      </c>
      <c r="AJ140" s="27"/>
      <c r="AK140" s="27"/>
      <c r="AL140" s="27"/>
      <c r="AM140" s="27"/>
      <c r="AN140" s="27"/>
      <c r="AO140" s="27"/>
      <c r="AP140" s="27"/>
      <c r="AQ140" s="29" t="str">
        <f>IF(AND(AD140&lt;&gt;"",AF140="",AG140=""),DATE(YEAR(AD140)+Menu!$E$10,MONTH(AD140)+Menu!$E$11,1),"")</f>
        <v/>
      </c>
      <c r="AR140" s="29" t="str">
        <f t="shared" si="14"/>
        <v/>
      </c>
      <c r="AS140" s="27" t="str">
        <f>IF(AND(AR140&lt;&gt;"",AH140="",AG140=""),DATE(YEAR(AR140)+Menu!$E$13,MONTH(AR140)+Menu!$E$14,1),"")</f>
        <v/>
      </c>
      <c r="AT140" s="27"/>
      <c r="AU140" s="15" t="s">
        <v>138</v>
      </c>
      <c r="AV140" s="15" t="s">
        <v>138</v>
      </c>
      <c r="AW140" s="16" t="s">
        <v>138</v>
      </c>
      <c r="AX140" s="15" t="s">
        <v>138</v>
      </c>
      <c r="AY140" s="15" t="s">
        <v>138</v>
      </c>
      <c r="AZ140" s="16" t="s">
        <v>129</v>
      </c>
      <c r="BA140" s="16" t="s">
        <v>129</v>
      </c>
      <c r="BB140" s="16" t="s">
        <v>129</v>
      </c>
      <c r="BC140" s="16" t="s">
        <v>129</v>
      </c>
      <c r="BD140" s="16" t="s">
        <v>129</v>
      </c>
      <c r="BE140" s="16" t="s">
        <v>129</v>
      </c>
      <c r="BF140" s="16" t="s">
        <v>131</v>
      </c>
      <c r="BG140" s="16" t="s">
        <v>131</v>
      </c>
      <c r="BH140" s="16" t="s">
        <v>131</v>
      </c>
      <c r="BI140" s="16" t="s">
        <v>131</v>
      </c>
      <c r="BJ140" s="15" t="s">
        <v>131</v>
      </c>
      <c r="BK140" s="15" t="s">
        <v>131</v>
      </c>
      <c r="BL140" s="131" t="s">
        <v>131</v>
      </c>
      <c r="BM140" t="s">
        <v>131</v>
      </c>
      <c r="BN140" t="s">
        <v>131</v>
      </c>
      <c r="BO140" t="s">
        <v>131</v>
      </c>
      <c r="BP140" t="s">
        <v>131</v>
      </c>
      <c r="BQ140" t="s">
        <v>131</v>
      </c>
      <c r="BR140" t="s">
        <v>131</v>
      </c>
      <c r="BS140" t="s">
        <v>131</v>
      </c>
      <c r="BT140" t="s">
        <v>131</v>
      </c>
      <c r="BU140" t="s">
        <v>131</v>
      </c>
      <c r="BV140" t="s">
        <v>131</v>
      </c>
      <c r="BW140" t="s">
        <v>131</v>
      </c>
      <c r="BX140" t="s">
        <v>131</v>
      </c>
      <c r="BY140" s="56">
        <v>235649.90000000002</v>
      </c>
      <c r="BZ140" s="56">
        <v>235649.90000000002</v>
      </c>
      <c r="CA140" s="56">
        <v>235649.90000000002</v>
      </c>
      <c r="CB140" s="56">
        <v>235649.90000000002</v>
      </c>
      <c r="CC140" s="56">
        <v>235649.90000000002</v>
      </c>
      <c r="CD140" s="56">
        <v>235649.90000000002</v>
      </c>
      <c r="CE140" s="56">
        <v>235649.90000000002</v>
      </c>
      <c r="CF140" s="56">
        <v>235649.90000000002</v>
      </c>
      <c r="CG140" s="56">
        <v>235649.90000000002</v>
      </c>
      <c r="CH140" s="56">
        <v>235649.90000000002</v>
      </c>
      <c r="CI140" s="56">
        <v>235649.90000000002</v>
      </c>
      <c r="CJ140" s="56">
        <v>235649.90000000002</v>
      </c>
      <c r="CK140" s="56">
        <v>235649.90000000002</v>
      </c>
    </row>
    <row r="141" spans="1:89" ht="13" x14ac:dyDescent="0.3">
      <c r="A141" s="135" t="s">
        <v>151</v>
      </c>
      <c r="B141" s="134">
        <v>105889</v>
      </c>
      <c r="C141" s="135" t="s">
        <v>197</v>
      </c>
      <c r="D141" s="136">
        <v>16019</v>
      </c>
      <c r="E141" s="136">
        <v>39872</v>
      </c>
      <c r="F141" s="135" t="s">
        <v>173</v>
      </c>
      <c r="G141" s="135"/>
      <c r="H141" s="135"/>
      <c r="I141" s="137">
        <v>331</v>
      </c>
      <c r="J141" s="137">
        <v>0</v>
      </c>
      <c r="K141" s="137">
        <v>1</v>
      </c>
      <c r="L141" s="137">
        <v>0</v>
      </c>
      <c r="M141" s="137">
        <v>0</v>
      </c>
      <c r="N141" s="137">
        <v>0</v>
      </c>
      <c r="O141" s="138">
        <v>0</v>
      </c>
      <c r="P141" s="147">
        <v>0</v>
      </c>
      <c r="Q141" s="139">
        <v>0</v>
      </c>
      <c r="R141" s="139">
        <v>0</v>
      </c>
      <c r="S141" s="139">
        <v>0</v>
      </c>
      <c r="T141" s="140"/>
      <c r="U141" s="139">
        <v>0</v>
      </c>
      <c r="V141" s="141"/>
      <c r="W141" s="141">
        <v>0</v>
      </c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31"/>
      <c r="AI141" s="46">
        <f t="shared" si="15"/>
        <v>2009</v>
      </c>
      <c r="AJ141" s="27"/>
      <c r="AK141" s="27"/>
      <c r="AL141" s="27"/>
      <c r="AM141" s="27"/>
      <c r="AN141" s="27"/>
      <c r="AO141" s="27"/>
      <c r="AP141" s="27"/>
      <c r="AQ141" s="29" t="str">
        <f>IF(AND(AD141&lt;&gt;"",AF141="",AG141=""),DATE(YEAR(AD141)+Menu!$E$10,MONTH(AD141)+Menu!$E$11,1),"")</f>
        <v/>
      </c>
      <c r="AR141" s="29" t="str">
        <f t="shared" si="14"/>
        <v/>
      </c>
      <c r="AS141" s="27" t="str">
        <f>IF(AND(AR141&lt;&gt;"",AH141="",AG141=""),DATE(YEAR(AR141)+Menu!$E$13,MONTH(AR141)+Menu!$E$14,1),"")</f>
        <v/>
      </c>
      <c r="AT141" s="27"/>
      <c r="AU141" s="16" t="s">
        <v>135</v>
      </c>
      <c r="AV141" s="16" t="s">
        <v>135</v>
      </c>
      <c r="AW141" s="16" t="s">
        <v>135</v>
      </c>
      <c r="AX141" s="16" t="s">
        <v>135</v>
      </c>
      <c r="AY141" s="16" t="s">
        <v>135</v>
      </c>
      <c r="AZ141" s="16" t="s">
        <v>135</v>
      </c>
      <c r="BA141" s="16" t="s">
        <v>135</v>
      </c>
      <c r="BB141" s="16" t="s">
        <v>136</v>
      </c>
      <c r="BC141" s="16" t="s">
        <v>136</v>
      </c>
      <c r="BD141" s="16" t="s">
        <v>136</v>
      </c>
      <c r="BE141" s="16" t="s">
        <v>136</v>
      </c>
      <c r="BF141" s="16" t="s">
        <v>136</v>
      </c>
      <c r="BG141" s="16" t="s">
        <v>136</v>
      </c>
      <c r="BH141" s="16" t="s">
        <v>136</v>
      </c>
      <c r="BI141" s="16" t="s">
        <v>136</v>
      </c>
      <c r="BJ141" s="15" t="s">
        <v>136</v>
      </c>
      <c r="BK141" s="15" t="s">
        <v>136</v>
      </c>
      <c r="BL141" s="131"/>
      <c r="BY141" s="56">
        <v>0</v>
      </c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</row>
    <row r="142" spans="1:89" ht="13" x14ac:dyDescent="0.3">
      <c r="A142" s="175" t="s">
        <v>85</v>
      </c>
      <c r="B142" s="134">
        <v>112836</v>
      </c>
      <c r="C142" s="135" t="s">
        <v>200</v>
      </c>
      <c r="D142" s="136">
        <v>21098</v>
      </c>
      <c r="E142" s="136">
        <v>44865</v>
      </c>
      <c r="F142" s="135" t="s">
        <v>173</v>
      </c>
      <c r="G142" s="135"/>
      <c r="H142" s="135"/>
      <c r="I142" s="137">
        <v>825</v>
      </c>
      <c r="J142" s="137">
        <v>0</v>
      </c>
      <c r="K142" s="137">
        <v>0</v>
      </c>
      <c r="L142" s="137">
        <v>0</v>
      </c>
      <c r="M142" s="137">
        <v>1</v>
      </c>
      <c r="N142" s="137">
        <v>0</v>
      </c>
      <c r="O142" s="138">
        <v>0</v>
      </c>
      <c r="P142" s="147">
        <f>1122029</f>
        <v>1122029</v>
      </c>
      <c r="Q142" s="139">
        <v>1</v>
      </c>
      <c r="R142" s="139">
        <v>0</v>
      </c>
      <c r="S142" s="139">
        <v>0</v>
      </c>
      <c r="T142" s="140"/>
      <c r="U142" s="139">
        <f>-(U34+U48)*10/12</f>
        <v>-165485.65833333335</v>
      </c>
      <c r="V142" s="141">
        <v>2022</v>
      </c>
      <c r="W142" s="141">
        <v>1</v>
      </c>
      <c r="X142" s="24"/>
      <c r="Y142" s="24"/>
      <c r="Z142" s="24"/>
      <c r="AA142" s="24"/>
      <c r="AB142" s="24"/>
      <c r="AC142" s="24"/>
      <c r="AD142" s="24"/>
      <c r="AE142" s="24"/>
      <c r="AF142" s="24"/>
      <c r="AG142" s="24">
        <v>35431</v>
      </c>
      <c r="AH142" s="31"/>
      <c r="AI142" s="46" t="str">
        <f t="shared" si="15"/>
        <v/>
      </c>
      <c r="AJ142" s="27"/>
      <c r="AK142" s="27"/>
      <c r="AL142" s="27"/>
      <c r="AM142" s="27"/>
      <c r="AN142" s="27"/>
      <c r="AO142" s="27"/>
      <c r="AP142" s="27"/>
      <c r="AQ142" s="29" t="str">
        <f>IF(AND(AD142&lt;&gt;"",AF142="",AG142=""),DATE(YEAR(AD142)+Menu!$E$10,MONTH(AD142)+Menu!$E$11,1),"")</f>
        <v/>
      </c>
      <c r="AR142" s="29" t="str">
        <f t="shared" si="14"/>
        <v/>
      </c>
      <c r="AS142" s="27" t="str">
        <f>IF(AND(AR142&lt;&gt;"",AH142="",AG142=""),DATE(YEAR(AR142)+Menu!$E$13,MONTH(AR142)+Menu!$E$14,1),"")</f>
        <v/>
      </c>
      <c r="AT142" s="27"/>
      <c r="AU142" s="16" t="s">
        <v>135</v>
      </c>
      <c r="AV142" s="16" t="s">
        <v>135</v>
      </c>
      <c r="AW142" s="16" t="s">
        <v>135</v>
      </c>
      <c r="AX142" s="16" t="s">
        <v>135</v>
      </c>
      <c r="AY142" s="16" t="s">
        <v>135</v>
      </c>
      <c r="AZ142" s="16" t="s">
        <v>135</v>
      </c>
      <c r="BA142" s="16" t="s">
        <v>135</v>
      </c>
      <c r="BB142" s="16" t="s">
        <v>135</v>
      </c>
      <c r="BC142" s="16" t="s">
        <v>135</v>
      </c>
      <c r="BD142" s="16" t="s">
        <v>135</v>
      </c>
      <c r="BE142" s="16" t="s">
        <v>135</v>
      </c>
      <c r="BF142" s="16" t="s">
        <v>135</v>
      </c>
      <c r="BG142" s="16" t="s">
        <v>135</v>
      </c>
      <c r="BH142" s="16" t="s">
        <v>135</v>
      </c>
      <c r="BI142" s="16" t="s">
        <v>135</v>
      </c>
      <c r="BJ142" s="15" t="s">
        <v>135</v>
      </c>
      <c r="BK142" s="15" t="s">
        <v>135</v>
      </c>
      <c r="BL142" s="131" t="s">
        <v>135</v>
      </c>
      <c r="BM142" t="s">
        <v>135</v>
      </c>
      <c r="BN142" t="s">
        <v>135</v>
      </c>
      <c r="BO142" t="s">
        <v>138</v>
      </c>
      <c r="BP142" t="s">
        <v>138</v>
      </c>
      <c r="BQ142" t="s">
        <v>138</v>
      </c>
      <c r="BR142" t="s">
        <v>138</v>
      </c>
      <c r="BS142" t="s">
        <v>138</v>
      </c>
      <c r="BT142" t="s">
        <v>138</v>
      </c>
      <c r="BU142" t="s">
        <v>138</v>
      </c>
      <c r="BV142" t="s">
        <v>138</v>
      </c>
      <c r="BW142" t="s">
        <v>138</v>
      </c>
      <c r="BX142" t="s">
        <v>138</v>
      </c>
      <c r="BY142" s="56">
        <v>1122029</v>
      </c>
      <c r="BZ142" s="56">
        <v>1000375</v>
      </c>
      <c r="CA142" s="56">
        <v>1000375</v>
      </c>
      <c r="CB142" s="56">
        <v>668160.17500000005</v>
      </c>
      <c r="CC142" s="56">
        <v>0</v>
      </c>
      <c r="CD142" s="56">
        <v>0</v>
      </c>
      <c r="CE142" s="56">
        <v>0</v>
      </c>
      <c r="CF142" s="56">
        <v>0</v>
      </c>
      <c r="CG142" s="56">
        <v>0</v>
      </c>
      <c r="CH142" s="56">
        <v>0</v>
      </c>
      <c r="CI142" s="56">
        <v>0</v>
      </c>
      <c r="CJ142" s="56">
        <v>0</v>
      </c>
      <c r="CK142" s="56">
        <v>0</v>
      </c>
    </row>
    <row r="143" spans="1:89" ht="13" x14ac:dyDescent="0.3">
      <c r="A143" s="135" t="s">
        <v>86</v>
      </c>
      <c r="B143" s="134">
        <v>199130</v>
      </c>
      <c r="C143" s="135" t="s">
        <v>198</v>
      </c>
      <c r="D143" s="136">
        <v>25347</v>
      </c>
      <c r="E143" s="136">
        <v>49095</v>
      </c>
      <c r="F143" s="135" t="s">
        <v>173</v>
      </c>
      <c r="G143" s="135">
        <v>2010</v>
      </c>
      <c r="H143" s="135" t="s">
        <v>134</v>
      </c>
      <c r="I143" s="137">
        <v>1026</v>
      </c>
      <c r="J143" s="137">
        <v>0</v>
      </c>
      <c r="K143" s="137">
        <v>0</v>
      </c>
      <c r="L143" s="137">
        <v>1</v>
      </c>
      <c r="M143" s="137">
        <v>0</v>
      </c>
      <c r="N143" s="137">
        <v>0</v>
      </c>
      <c r="O143" s="138">
        <v>0</v>
      </c>
      <c r="P143" s="147">
        <v>779734.75</v>
      </c>
      <c r="Q143" s="139">
        <v>1</v>
      </c>
      <c r="R143" s="139">
        <v>1</v>
      </c>
      <c r="S143" s="139">
        <v>0</v>
      </c>
      <c r="T143" s="140"/>
      <c r="U143" s="139">
        <v>0</v>
      </c>
      <c r="V143" s="141"/>
      <c r="W143" s="141">
        <v>1</v>
      </c>
      <c r="X143" s="24"/>
      <c r="Y143" s="24"/>
      <c r="Z143" s="24"/>
      <c r="AA143" s="24"/>
      <c r="AB143" s="24"/>
      <c r="AC143" s="24"/>
      <c r="AD143" s="24"/>
      <c r="AE143" s="24"/>
      <c r="AF143" s="24">
        <v>40252</v>
      </c>
      <c r="AG143" s="24"/>
      <c r="AH143" s="31">
        <v>44105</v>
      </c>
      <c r="AI143" s="46" t="str">
        <f t="shared" si="15"/>
        <v/>
      </c>
      <c r="AJ143" s="27"/>
      <c r="AK143" s="27"/>
      <c r="AL143" s="27"/>
      <c r="AM143" s="27"/>
      <c r="AN143" s="27"/>
      <c r="AO143" s="27"/>
      <c r="AP143" s="27"/>
      <c r="AQ143" s="29" t="str">
        <f>IF(AND(AD143&lt;&gt;"",AF143="",AG143=""),DATE(YEAR(AD143)+Menu!$E$10,MONTH(AD143)+Menu!$E$11,1),"")</f>
        <v/>
      </c>
      <c r="AR143" s="29">
        <f t="shared" si="14"/>
        <v>40252</v>
      </c>
      <c r="AS143" s="27" t="str">
        <f>IF(AND(AR143&lt;&gt;"",AH143="",AG143=""),DATE(YEAR(AR143)+Menu!$E$13,MONTH(AR143)+Menu!$E$14,1),"")</f>
        <v/>
      </c>
      <c r="AT143" s="27"/>
      <c r="AU143" s="15" t="s">
        <v>138</v>
      </c>
      <c r="AV143" s="15" t="s">
        <v>138</v>
      </c>
      <c r="AW143" s="16" t="s">
        <v>138</v>
      </c>
      <c r="AX143" s="15" t="s">
        <v>138</v>
      </c>
      <c r="AY143" s="15" t="s">
        <v>138</v>
      </c>
      <c r="AZ143" s="15" t="s">
        <v>138</v>
      </c>
      <c r="BA143" s="15" t="s">
        <v>138</v>
      </c>
      <c r="BB143" s="15" t="s">
        <v>138</v>
      </c>
      <c r="BC143" s="16" t="s">
        <v>134</v>
      </c>
      <c r="BD143" s="16" t="s">
        <v>134</v>
      </c>
      <c r="BE143" s="16" t="s">
        <v>134</v>
      </c>
      <c r="BF143" s="16" t="s">
        <v>134</v>
      </c>
      <c r="BG143" s="16" t="s">
        <v>134</v>
      </c>
      <c r="BH143" s="16" t="s">
        <v>134</v>
      </c>
      <c r="BI143" s="16" t="s">
        <v>134</v>
      </c>
      <c r="BJ143" s="15" t="s">
        <v>134</v>
      </c>
      <c r="BK143" s="15" t="s">
        <v>134</v>
      </c>
      <c r="BL143" s="131" t="s">
        <v>134</v>
      </c>
      <c r="BM143" t="s">
        <v>135</v>
      </c>
      <c r="BN143" t="s">
        <v>135</v>
      </c>
      <c r="BO143" t="s">
        <v>135</v>
      </c>
      <c r="BP143" t="s">
        <v>135</v>
      </c>
      <c r="BQ143" t="s">
        <v>135</v>
      </c>
      <c r="BR143" t="s">
        <v>135</v>
      </c>
      <c r="BS143" t="s">
        <v>135</v>
      </c>
      <c r="BT143" t="s">
        <v>135</v>
      </c>
      <c r="BU143" t="s">
        <v>135</v>
      </c>
      <c r="BV143" t="s">
        <v>135</v>
      </c>
      <c r="BW143" t="s">
        <v>135</v>
      </c>
      <c r="BX143" t="s">
        <v>135</v>
      </c>
      <c r="BY143" s="56">
        <v>779734.75</v>
      </c>
      <c r="BZ143" s="56">
        <v>793694.125</v>
      </c>
      <c r="CA143" s="56">
        <v>849531.625</v>
      </c>
      <c r="CB143" s="56">
        <v>905369.125</v>
      </c>
      <c r="CC143" s="56">
        <v>961206.625</v>
      </c>
      <c r="CD143" s="56">
        <v>1000375</v>
      </c>
      <c r="CE143" s="56">
        <v>1000375</v>
      </c>
      <c r="CF143" s="56">
        <v>1000375</v>
      </c>
      <c r="CG143" s="56">
        <v>1000375</v>
      </c>
      <c r="CH143" s="56">
        <v>1000375</v>
      </c>
      <c r="CI143" s="56">
        <v>1000375</v>
      </c>
      <c r="CJ143" s="56">
        <v>1000375</v>
      </c>
      <c r="CK143" s="56">
        <v>1000375</v>
      </c>
    </row>
    <row r="144" spans="1:89" ht="13" x14ac:dyDescent="0.3">
      <c r="A144" s="135" t="s">
        <v>87</v>
      </c>
      <c r="B144" s="134">
        <v>105917</v>
      </c>
      <c r="C144" s="135" t="s">
        <v>196</v>
      </c>
      <c r="D144" s="136">
        <v>18980</v>
      </c>
      <c r="E144" s="136">
        <v>42794</v>
      </c>
      <c r="F144" s="135" t="s">
        <v>173</v>
      </c>
      <c r="G144" s="135"/>
      <c r="H144" s="135"/>
      <c r="I144" s="137">
        <v>435</v>
      </c>
      <c r="J144" s="137">
        <v>1</v>
      </c>
      <c r="K144" s="137">
        <v>0</v>
      </c>
      <c r="L144" s="137">
        <v>0</v>
      </c>
      <c r="M144" s="137">
        <v>0</v>
      </c>
      <c r="N144" s="137">
        <v>0</v>
      </c>
      <c r="O144" s="138">
        <v>0</v>
      </c>
      <c r="P144" s="147">
        <v>0</v>
      </c>
      <c r="Q144" s="139">
        <v>0</v>
      </c>
      <c r="R144" s="139">
        <v>0</v>
      </c>
      <c r="S144" s="139">
        <v>0</v>
      </c>
      <c r="T144" s="140"/>
      <c r="U144" s="139">
        <v>0</v>
      </c>
      <c r="V144" s="141"/>
      <c r="W144" s="141">
        <v>0</v>
      </c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31"/>
      <c r="AI144" s="46">
        <f t="shared" si="15"/>
        <v>2017</v>
      </c>
      <c r="AJ144" s="27"/>
      <c r="AK144" s="27"/>
      <c r="AL144" s="27"/>
      <c r="AM144" s="27"/>
      <c r="AN144" s="27"/>
      <c r="AO144" s="27"/>
      <c r="AP144" s="27"/>
      <c r="AQ144" s="29" t="str">
        <f>IF(AND(AD144&lt;&gt;"",AF144="",AG144=""),DATE(YEAR(AD144)+Menu!$E$10,MONTH(AD144)+Menu!$E$11,1),"")</f>
        <v/>
      </c>
      <c r="AR144" s="29" t="str">
        <f t="shared" si="14"/>
        <v/>
      </c>
      <c r="AS144" s="27" t="str">
        <f>IF(AND(AR144&lt;&gt;"",AH144="",AG144=""),DATE(YEAR(AR144)+Menu!$E$13,MONTH(AR144)+Menu!$E$14,1),"")</f>
        <v/>
      </c>
      <c r="AT144" s="27"/>
      <c r="AU144" s="16" t="s">
        <v>134</v>
      </c>
      <c r="AV144" s="16" t="s">
        <v>134</v>
      </c>
      <c r="AW144" s="16" t="s">
        <v>134</v>
      </c>
      <c r="AX144" s="16" t="s">
        <v>134</v>
      </c>
      <c r="AY144" s="16" t="s">
        <v>134</v>
      </c>
      <c r="AZ144" s="16" t="s">
        <v>134</v>
      </c>
      <c r="BA144" s="16" t="s">
        <v>134</v>
      </c>
      <c r="BB144" s="16" t="s">
        <v>135</v>
      </c>
      <c r="BC144" s="16" t="s">
        <v>135</v>
      </c>
      <c r="BD144" s="16" t="s">
        <v>135</v>
      </c>
      <c r="BE144" s="16" t="s">
        <v>135</v>
      </c>
      <c r="BF144" s="16" t="s">
        <v>135</v>
      </c>
      <c r="BG144" s="16" t="s">
        <v>135</v>
      </c>
      <c r="BH144" s="16" t="s">
        <v>135</v>
      </c>
      <c r="BI144" s="16" t="s">
        <v>135</v>
      </c>
      <c r="BJ144" s="15" t="s">
        <v>136</v>
      </c>
      <c r="BK144" s="15" t="s">
        <v>136</v>
      </c>
      <c r="BL144" s="131"/>
      <c r="BY144" s="56">
        <v>0</v>
      </c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</row>
    <row r="145" spans="1:89" ht="13" x14ac:dyDescent="0.3">
      <c r="A145" s="135" t="s">
        <v>215</v>
      </c>
      <c r="B145" s="144">
        <v>252550</v>
      </c>
      <c r="C145" s="135" t="s">
        <v>197</v>
      </c>
      <c r="D145" s="136">
        <v>30572</v>
      </c>
      <c r="E145" s="136">
        <v>53965</v>
      </c>
      <c r="F145" s="135" t="s">
        <v>172</v>
      </c>
      <c r="G145" s="135">
        <v>2016</v>
      </c>
      <c r="H145" s="135" t="s">
        <v>133</v>
      </c>
      <c r="I145" s="137">
        <v>1055</v>
      </c>
      <c r="J145" s="137">
        <v>0</v>
      </c>
      <c r="K145" s="137">
        <v>1</v>
      </c>
      <c r="L145" s="137">
        <v>0</v>
      </c>
      <c r="M145" s="137">
        <v>0</v>
      </c>
      <c r="N145" s="137">
        <v>0</v>
      </c>
      <c r="O145" s="138">
        <v>0</v>
      </c>
      <c r="P145" s="147">
        <v>512511.00000000006</v>
      </c>
      <c r="Q145" s="139">
        <v>1</v>
      </c>
      <c r="R145" s="139">
        <v>0</v>
      </c>
      <c r="S145" s="139">
        <v>0</v>
      </c>
      <c r="T145" s="140"/>
      <c r="U145" s="139">
        <v>0</v>
      </c>
      <c r="V145" s="141"/>
      <c r="W145" s="141">
        <v>1</v>
      </c>
      <c r="X145" s="24"/>
      <c r="Y145" s="24"/>
      <c r="Z145" s="24"/>
      <c r="AA145" s="24"/>
      <c r="AB145" s="24"/>
      <c r="AC145" s="24"/>
      <c r="AD145" s="24">
        <v>42370</v>
      </c>
      <c r="AE145" s="24"/>
      <c r="AF145" s="24"/>
      <c r="AG145" s="24"/>
      <c r="AH145" s="31"/>
      <c r="AI145" s="46" t="str">
        <f t="shared" si="15"/>
        <v/>
      </c>
      <c r="AJ145" s="27"/>
      <c r="AK145" s="27"/>
      <c r="AL145" s="27"/>
      <c r="AM145" s="27"/>
      <c r="AN145" s="27"/>
      <c r="AO145" s="27"/>
      <c r="AP145" s="27"/>
      <c r="AQ145" s="29">
        <f>IF(AND(AD145&lt;&gt;"",AF145="",AG145=""),DATE(YEAR(AD145)+Menu!$E$10,MONTH(AD145)+Menu!$E$11,1),"")</f>
        <v>44835</v>
      </c>
      <c r="AR145" s="29">
        <f t="shared" si="14"/>
        <v>44835</v>
      </c>
      <c r="AS145" s="27">
        <f>IF(AND(AR145&lt;&gt;"",AH145="",AG145=""),DATE(YEAR(AR145)+Menu!$E$13,MONTH(AR145)+Menu!$E$14,1),"")</f>
        <v>47300</v>
      </c>
      <c r="AT145" s="27"/>
      <c r="AU145" s="15" t="s">
        <v>138</v>
      </c>
      <c r="AV145" s="15" t="s">
        <v>138</v>
      </c>
      <c r="AW145" s="15" t="s">
        <v>138</v>
      </c>
      <c r="AX145" s="15" t="s">
        <v>138</v>
      </c>
      <c r="AY145" s="15" t="s">
        <v>138</v>
      </c>
      <c r="AZ145" s="15" t="s">
        <v>138</v>
      </c>
      <c r="BA145" s="15" t="s">
        <v>138</v>
      </c>
      <c r="BB145" s="15" t="s">
        <v>138</v>
      </c>
      <c r="BC145" s="15" t="s">
        <v>138</v>
      </c>
      <c r="BD145" s="15" t="s">
        <v>138</v>
      </c>
      <c r="BE145" s="15" t="s">
        <v>138</v>
      </c>
      <c r="BF145" s="15" t="s">
        <v>138</v>
      </c>
      <c r="BG145" s="15" t="s">
        <v>138</v>
      </c>
      <c r="BH145" s="15" t="s">
        <v>138</v>
      </c>
      <c r="BI145" s="15" t="s">
        <v>133</v>
      </c>
      <c r="BJ145" s="15" t="s">
        <v>133</v>
      </c>
      <c r="BK145" s="15" t="s">
        <v>133</v>
      </c>
      <c r="BL145" s="131" t="s">
        <v>133</v>
      </c>
      <c r="BM145" t="s">
        <v>133</v>
      </c>
      <c r="BN145" t="s">
        <v>133</v>
      </c>
      <c r="BO145" t="s">
        <v>134</v>
      </c>
      <c r="BP145" t="s">
        <v>134</v>
      </c>
      <c r="BQ145" t="s">
        <v>134</v>
      </c>
      <c r="BR145" t="s">
        <v>134</v>
      </c>
      <c r="BS145" t="s">
        <v>134</v>
      </c>
      <c r="BT145" t="s">
        <v>134</v>
      </c>
      <c r="BU145" t="s">
        <v>134</v>
      </c>
      <c r="BV145" t="s">
        <v>135</v>
      </c>
      <c r="BW145" t="s">
        <v>135</v>
      </c>
      <c r="BX145" t="s">
        <v>135</v>
      </c>
      <c r="BY145" s="56">
        <v>512511.00000000006</v>
      </c>
      <c r="BZ145" s="56">
        <v>512511.00000000006</v>
      </c>
      <c r="CA145" s="56">
        <v>512511.00000000006</v>
      </c>
      <c r="CB145" s="56">
        <v>564680.25</v>
      </c>
      <c r="CC145" s="56">
        <v>564680.25</v>
      </c>
      <c r="CD145" s="56">
        <v>564680.25</v>
      </c>
      <c r="CE145" s="56">
        <v>564680.25</v>
      </c>
      <c r="CF145" s="56">
        <v>721188</v>
      </c>
      <c r="CG145" s="56">
        <v>721188</v>
      </c>
      <c r="CH145" s="56">
        <v>721188</v>
      </c>
      <c r="CI145" s="56">
        <v>749106.75</v>
      </c>
      <c r="CJ145" s="56">
        <v>804944.25</v>
      </c>
      <c r="CK145" s="56">
        <v>860781.75</v>
      </c>
    </row>
    <row r="146" spans="1:89" ht="13" x14ac:dyDescent="0.3">
      <c r="A146" s="135" t="s">
        <v>88</v>
      </c>
      <c r="B146" s="134">
        <v>105945</v>
      </c>
      <c r="C146" s="135" t="s">
        <v>200</v>
      </c>
      <c r="D146" s="136">
        <v>19921</v>
      </c>
      <c r="E146" s="136">
        <v>43677</v>
      </c>
      <c r="F146" s="135" t="s">
        <v>173</v>
      </c>
      <c r="G146" s="135"/>
      <c r="H146" s="135"/>
      <c r="I146" s="137">
        <v>366</v>
      </c>
      <c r="J146" s="137">
        <v>0</v>
      </c>
      <c r="K146" s="137">
        <v>0</v>
      </c>
      <c r="L146" s="137">
        <v>0</v>
      </c>
      <c r="M146" s="137">
        <v>1</v>
      </c>
      <c r="N146" s="137">
        <v>0</v>
      </c>
      <c r="O146" s="138">
        <v>1</v>
      </c>
      <c r="P146" s="147">
        <v>170220.75</v>
      </c>
      <c r="Q146" s="139">
        <v>1</v>
      </c>
      <c r="R146" s="139">
        <v>0</v>
      </c>
      <c r="S146" s="139">
        <v>0</v>
      </c>
      <c r="T146" s="140"/>
      <c r="U146" s="139">
        <v>0</v>
      </c>
      <c r="V146" s="141"/>
      <c r="W146" s="141">
        <v>1</v>
      </c>
      <c r="X146" s="24"/>
      <c r="Y146" s="24"/>
      <c r="Z146" s="24"/>
      <c r="AA146" s="24"/>
      <c r="AB146" s="24">
        <v>38604</v>
      </c>
      <c r="AC146" s="24"/>
      <c r="AD146" s="24"/>
      <c r="AE146" s="24"/>
      <c r="AF146" s="24"/>
      <c r="AG146" s="24"/>
      <c r="AH146" s="31"/>
      <c r="AI146" s="46" t="str">
        <f t="shared" si="15"/>
        <v/>
      </c>
      <c r="AJ146" s="27"/>
      <c r="AK146" s="27"/>
      <c r="AL146" s="27"/>
      <c r="AM146" s="27"/>
      <c r="AN146" s="27"/>
      <c r="AO146" s="27"/>
      <c r="AP146" s="27"/>
      <c r="AQ146" s="29" t="str">
        <f>IF(AND(AD146&lt;&gt;"",AF146="",AG146=""),DATE(YEAR(AD146)+Menu!$E$10,MONTH(AD146)+Menu!$E$11,1),"")</f>
        <v/>
      </c>
      <c r="AR146" s="29" t="str">
        <f t="shared" si="14"/>
        <v/>
      </c>
      <c r="AS146" s="27" t="str">
        <f>IF(AND(AR146&lt;&gt;"",AH146="",AG146=""),DATE(YEAR(AR146)+Menu!$E$13,MONTH(AR146)+Menu!$E$14,1),"")</f>
        <v/>
      </c>
      <c r="AT146" s="27"/>
      <c r="AU146" s="15" t="s">
        <v>138</v>
      </c>
      <c r="AV146" s="15" t="s">
        <v>138</v>
      </c>
      <c r="AW146" s="15" t="s">
        <v>138</v>
      </c>
      <c r="AX146" s="16" t="s">
        <v>131</v>
      </c>
      <c r="AY146" s="16" t="s">
        <v>131</v>
      </c>
      <c r="AZ146" s="16" t="s">
        <v>131</v>
      </c>
      <c r="BA146" s="16" t="s">
        <v>131</v>
      </c>
      <c r="BB146" s="16" t="s">
        <v>131</v>
      </c>
      <c r="BC146" s="16" t="s">
        <v>131</v>
      </c>
      <c r="BD146" s="16" t="s">
        <v>131</v>
      </c>
      <c r="BE146" s="16" t="s">
        <v>131</v>
      </c>
      <c r="BF146" s="16" t="s">
        <v>131</v>
      </c>
      <c r="BG146" s="16" t="s">
        <v>131</v>
      </c>
      <c r="BH146" s="16" t="s">
        <v>131</v>
      </c>
      <c r="BI146" s="16" t="s">
        <v>131</v>
      </c>
      <c r="BJ146" s="15" t="s">
        <v>131</v>
      </c>
      <c r="BK146" s="15" t="s">
        <v>131</v>
      </c>
      <c r="BL146" s="131" t="s">
        <v>138</v>
      </c>
      <c r="BM146" t="s">
        <v>138</v>
      </c>
      <c r="BN146" t="s">
        <v>138</v>
      </c>
      <c r="BO146" t="s">
        <v>138</v>
      </c>
      <c r="BP146" t="s">
        <v>138</v>
      </c>
      <c r="BQ146" t="s">
        <v>138</v>
      </c>
      <c r="BR146" t="s">
        <v>138</v>
      </c>
      <c r="BS146" t="s">
        <v>138</v>
      </c>
      <c r="BT146" t="s">
        <v>138</v>
      </c>
      <c r="BU146" t="s">
        <v>138</v>
      </c>
      <c r="BV146" t="s">
        <v>138</v>
      </c>
      <c r="BW146" t="s">
        <v>138</v>
      </c>
      <c r="BX146" t="s">
        <v>138</v>
      </c>
      <c r="BY146" s="56">
        <v>170220.75</v>
      </c>
      <c r="BZ146" s="56">
        <v>0</v>
      </c>
      <c r="CA146" s="56">
        <v>0</v>
      </c>
      <c r="CB146" s="56">
        <v>0</v>
      </c>
      <c r="CC146" s="56">
        <v>0</v>
      </c>
      <c r="CD146" s="56">
        <v>0</v>
      </c>
      <c r="CE146" s="56">
        <v>0</v>
      </c>
      <c r="CF146" s="56">
        <v>0</v>
      </c>
      <c r="CG146" s="56">
        <v>0</v>
      </c>
      <c r="CH146" s="56">
        <v>0</v>
      </c>
      <c r="CI146" s="56">
        <v>0</v>
      </c>
      <c r="CJ146" s="56">
        <v>0</v>
      </c>
      <c r="CK146" s="56">
        <v>0</v>
      </c>
    </row>
    <row r="147" spans="1:89" ht="13" x14ac:dyDescent="0.3">
      <c r="A147" s="135" t="s">
        <v>89</v>
      </c>
      <c r="B147" s="134">
        <v>123275</v>
      </c>
      <c r="C147" s="135" t="s">
        <v>196</v>
      </c>
      <c r="D147" s="136">
        <v>16317</v>
      </c>
      <c r="E147" s="136">
        <v>41912</v>
      </c>
      <c r="F147" s="135" t="s">
        <v>173</v>
      </c>
      <c r="G147" s="135"/>
      <c r="H147" s="135"/>
      <c r="I147" s="137">
        <v>1002</v>
      </c>
      <c r="J147" s="137">
        <v>1</v>
      </c>
      <c r="K147" s="137">
        <v>0</v>
      </c>
      <c r="L147" s="137">
        <v>0</v>
      </c>
      <c r="M147" s="137">
        <v>0</v>
      </c>
      <c r="N147" s="137">
        <v>0</v>
      </c>
      <c r="O147" s="138">
        <v>0</v>
      </c>
      <c r="P147" s="147">
        <v>0</v>
      </c>
      <c r="Q147" s="139">
        <v>0</v>
      </c>
      <c r="R147" s="139">
        <v>0</v>
      </c>
      <c r="S147" s="139">
        <v>0</v>
      </c>
      <c r="T147" s="140"/>
      <c r="U147" s="139">
        <v>0</v>
      </c>
      <c r="V147" s="141"/>
      <c r="W147" s="141">
        <v>0</v>
      </c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31"/>
      <c r="AI147" s="46">
        <f t="shared" si="15"/>
        <v>2014</v>
      </c>
      <c r="AJ147" s="27"/>
      <c r="AK147" s="27"/>
      <c r="AL147" s="27"/>
      <c r="AM147" s="27"/>
      <c r="AN147" s="27"/>
      <c r="AO147" s="27"/>
      <c r="AP147" s="27"/>
      <c r="AQ147" s="29" t="str">
        <f>IF(AND(AD147&lt;&gt;"",AF147="",AG147=""),DATE(YEAR(AD147)+Menu!$E$10,MONTH(AD147)+Menu!$E$11,1),"")</f>
        <v/>
      </c>
      <c r="AR147" s="29" t="str">
        <f t="shared" si="14"/>
        <v/>
      </c>
      <c r="AS147" s="27" t="str">
        <f>IF(AND(AR147&lt;&gt;"",AH147="",AG147=""),DATE(YEAR(AR147)+Menu!$E$13,MONTH(AR147)+Menu!$E$14,1),"")</f>
        <v/>
      </c>
      <c r="AT147" s="27"/>
      <c r="AU147" s="16" t="s">
        <v>132</v>
      </c>
      <c r="AV147" s="16" t="s">
        <v>132</v>
      </c>
      <c r="AW147" s="16" t="s">
        <v>132</v>
      </c>
      <c r="AX147" s="16" t="s">
        <v>132</v>
      </c>
      <c r="AY147" s="16" t="s">
        <v>132</v>
      </c>
      <c r="AZ147" s="16" t="s">
        <v>135</v>
      </c>
      <c r="BA147" s="16" t="s">
        <v>135</v>
      </c>
      <c r="BB147" s="16" t="s">
        <v>135</v>
      </c>
      <c r="BC147" s="16" t="s">
        <v>135</v>
      </c>
      <c r="BD147" s="16" t="s">
        <v>135</v>
      </c>
      <c r="BE147" s="16" t="s">
        <v>135</v>
      </c>
      <c r="BF147" s="16" t="s">
        <v>135</v>
      </c>
      <c r="BG147" s="16" t="s">
        <v>136</v>
      </c>
      <c r="BH147" s="16" t="s">
        <v>136</v>
      </c>
      <c r="BI147" s="16" t="s">
        <v>136</v>
      </c>
      <c r="BJ147" s="15" t="s">
        <v>136</v>
      </c>
      <c r="BK147" s="15" t="s">
        <v>136</v>
      </c>
      <c r="BL147" s="131"/>
      <c r="BY147" s="56">
        <v>0</v>
      </c>
      <c r="BZ147" s="56"/>
      <c r="CA147" s="56"/>
      <c r="CB147" s="56"/>
      <c r="CC147" s="56"/>
      <c r="CD147" s="56"/>
      <c r="CE147" s="56"/>
      <c r="CF147" s="56"/>
      <c r="CG147" s="56"/>
      <c r="CH147" s="56"/>
      <c r="CI147" s="56"/>
      <c r="CJ147" s="56"/>
      <c r="CK147" s="56"/>
    </row>
    <row r="148" spans="1:89" ht="13" x14ac:dyDescent="0.3">
      <c r="A148" s="135" t="s">
        <v>144</v>
      </c>
      <c r="B148" s="143">
        <v>105997</v>
      </c>
      <c r="C148" s="135" t="s">
        <v>200</v>
      </c>
      <c r="D148" s="136">
        <v>23897</v>
      </c>
      <c r="E148" s="136">
        <v>47664</v>
      </c>
      <c r="F148" s="135" t="s">
        <v>173</v>
      </c>
      <c r="G148" s="135"/>
      <c r="H148" s="135"/>
      <c r="I148" s="137">
        <v>0</v>
      </c>
      <c r="J148" s="137">
        <v>0</v>
      </c>
      <c r="K148" s="137">
        <v>0</v>
      </c>
      <c r="L148" s="137">
        <v>0</v>
      </c>
      <c r="M148" s="137">
        <v>1</v>
      </c>
      <c r="N148" s="137">
        <v>0</v>
      </c>
      <c r="O148" s="138">
        <v>0</v>
      </c>
      <c r="P148" s="147">
        <v>0</v>
      </c>
      <c r="Q148" s="139">
        <v>1</v>
      </c>
      <c r="R148" s="139">
        <v>0</v>
      </c>
      <c r="S148" s="139">
        <v>0</v>
      </c>
      <c r="T148" s="140"/>
      <c r="U148" s="139">
        <v>0</v>
      </c>
      <c r="V148" s="141"/>
      <c r="W148" s="141">
        <v>0</v>
      </c>
      <c r="X148" s="24"/>
      <c r="Y148" s="24"/>
      <c r="Z148" s="24"/>
      <c r="AA148" s="24"/>
      <c r="AB148" s="24"/>
      <c r="AC148" s="24">
        <v>40815</v>
      </c>
      <c r="AD148" s="24"/>
      <c r="AE148" s="24"/>
      <c r="AF148" s="24"/>
      <c r="AG148" s="24"/>
      <c r="AH148" s="31"/>
      <c r="AI148" s="46" t="str">
        <f t="shared" si="15"/>
        <v/>
      </c>
      <c r="AJ148" s="27"/>
      <c r="AK148" s="27"/>
      <c r="AL148" s="27"/>
      <c r="AM148" s="27"/>
      <c r="AN148" s="27"/>
      <c r="AO148" s="27"/>
      <c r="AP148" s="27"/>
      <c r="AQ148" s="29" t="str">
        <f>IF(AND(AD148&lt;&gt;"",AF148="",AG148=""),DATE(YEAR(AD148)+Menu!$E$10,MONTH(AD148)+Menu!$E$11,1),"")</f>
        <v/>
      </c>
      <c r="AR148" s="29" t="str">
        <f t="shared" si="14"/>
        <v/>
      </c>
      <c r="AS148" s="27" t="str">
        <f>IF(AND(AR148&lt;&gt;"",AH148="",AG148=""),DATE(YEAR(AR148)+Menu!$E$13,MONTH(AR148)+Menu!$E$14,1),"")</f>
        <v/>
      </c>
      <c r="AT148" s="27"/>
      <c r="AU148" s="15" t="s">
        <v>138</v>
      </c>
      <c r="AV148" s="15" t="s">
        <v>138</v>
      </c>
      <c r="AW148" s="16" t="s">
        <v>138</v>
      </c>
      <c r="AX148" s="15" t="s">
        <v>138</v>
      </c>
      <c r="AY148" s="15" t="s">
        <v>138</v>
      </c>
      <c r="AZ148" s="15" t="s">
        <v>138</v>
      </c>
      <c r="BA148" s="15" t="s">
        <v>138</v>
      </c>
      <c r="BB148" s="15" t="s">
        <v>138</v>
      </c>
      <c r="BC148" s="15" t="s">
        <v>138</v>
      </c>
      <c r="BD148" s="16" t="s">
        <v>132</v>
      </c>
      <c r="BE148" s="16" t="s">
        <v>132</v>
      </c>
      <c r="BF148" s="16" t="s">
        <v>132</v>
      </c>
      <c r="BG148" s="16" t="s">
        <v>132</v>
      </c>
      <c r="BH148" s="16" t="s">
        <v>132</v>
      </c>
      <c r="BI148" s="16" t="s">
        <v>132</v>
      </c>
      <c r="BJ148" s="16" t="s">
        <v>132</v>
      </c>
      <c r="BK148" s="16" t="s">
        <v>132</v>
      </c>
      <c r="BL148" s="132" t="s">
        <v>132</v>
      </c>
      <c r="BM148" t="s">
        <v>132</v>
      </c>
      <c r="BN148" t="s">
        <v>132</v>
      </c>
      <c r="BO148" t="s">
        <v>132</v>
      </c>
      <c r="BP148" t="s">
        <v>132</v>
      </c>
      <c r="BQ148" t="s">
        <v>132</v>
      </c>
      <c r="BR148" t="s">
        <v>132</v>
      </c>
      <c r="BS148" t="s">
        <v>132</v>
      </c>
      <c r="BT148" t="s">
        <v>132</v>
      </c>
      <c r="BU148" t="s">
        <v>132</v>
      </c>
      <c r="BV148" t="s">
        <v>132</v>
      </c>
      <c r="BW148" t="s">
        <v>132</v>
      </c>
      <c r="BX148" t="s">
        <v>138</v>
      </c>
      <c r="BY148" s="56">
        <v>0</v>
      </c>
      <c r="BZ148" s="56">
        <v>0</v>
      </c>
      <c r="CA148" s="56">
        <v>0</v>
      </c>
      <c r="CB148" s="56">
        <v>0</v>
      </c>
      <c r="CC148" s="56">
        <v>0</v>
      </c>
      <c r="CD148" s="56">
        <v>0</v>
      </c>
      <c r="CE148" s="56">
        <v>0</v>
      </c>
      <c r="CF148" s="56">
        <v>0</v>
      </c>
      <c r="CG148" s="56">
        <v>0</v>
      </c>
      <c r="CH148" s="56">
        <v>0</v>
      </c>
      <c r="CI148" s="56">
        <v>0</v>
      </c>
      <c r="CJ148" s="56">
        <v>0</v>
      </c>
      <c r="CK148" s="56">
        <v>0</v>
      </c>
    </row>
    <row r="149" spans="1:89" ht="13" x14ac:dyDescent="0.3">
      <c r="A149" s="135" t="s">
        <v>90</v>
      </c>
      <c r="B149" s="134">
        <v>161663</v>
      </c>
      <c r="C149" s="135" t="s">
        <v>196</v>
      </c>
      <c r="D149" s="136">
        <v>24870</v>
      </c>
      <c r="E149" s="136">
        <v>48638</v>
      </c>
      <c r="F149" s="135" t="s">
        <v>173</v>
      </c>
      <c r="G149" s="135"/>
      <c r="H149" s="135"/>
      <c r="I149" s="137">
        <v>421</v>
      </c>
      <c r="J149" s="137">
        <v>1</v>
      </c>
      <c r="K149" s="137">
        <v>0</v>
      </c>
      <c r="L149" s="137">
        <v>0</v>
      </c>
      <c r="M149" s="137">
        <v>0</v>
      </c>
      <c r="N149" s="137">
        <v>0</v>
      </c>
      <c r="O149" s="138">
        <v>2</v>
      </c>
      <c r="P149" s="147">
        <v>0</v>
      </c>
      <c r="Q149" s="139">
        <v>1</v>
      </c>
      <c r="R149" s="139">
        <v>0</v>
      </c>
      <c r="S149" s="139">
        <v>0</v>
      </c>
      <c r="T149" s="140"/>
      <c r="U149" s="139">
        <v>0</v>
      </c>
      <c r="V149" s="141"/>
      <c r="W149" s="141">
        <v>0</v>
      </c>
      <c r="X149" s="24"/>
      <c r="Y149" s="24"/>
      <c r="Z149" s="24">
        <v>40602</v>
      </c>
      <c r="AA149" s="24"/>
      <c r="AB149" s="24"/>
      <c r="AC149" s="24"/>
      <c r="AD149" s="24"/>
      <c r="AE149" s="24"/>
      <c r="AF149" s="24"/>
      <c r="AG149" s="24"/>
      <c r="AH149" s="31"/>
      <c r="AI149" s="46" t="str">
        <f t="shared" si="15"/>
        <v/>
      </c>
      <c r="AJ149" s="27"/>
      <c r="AK149" s="27"/>
      <c r="AL149" s="27"/>
      <c r="AM149" s="27"/>
      <c r="AN149" s="27"/>
      <c r="AO149" s="27"/>
      <c r="AP149" s="27"/>
      <c r="AQ149" s="29" t="str">
        <f>IF(AND(AD149&lt;&gt;"",AF149="",AG149=""),DATE(YEAR(AD149)+Menu!$E$10,MONTH(AD149)+Menu!$E$11,1),"")</f>
        <v/>
      </c>
      <c r="AR149" s="29" t="str">
        <f t="shared" si="14"/>
        <v/>
      </c>
      <c r="AS149" s="27" t="str">
        <f>IF(AND(AR149&lt;&gt;"",AH149="",AG149=""),DATE(YEAR(AR149)+Menu!$E$13,MONTH(AR149)+Menu!$E$14,1),"")</f>
        <v/>
      </c>
      <c r="AT149" s="27"/>
      <c r="AU149" s="15" t="s">
        <v>138</v>
      </c>
      <c r="AV149" s="15" t="s">
        <v>138</v>
      </c>
      <c r="AW149" s="16" t="s">
        <v>138</v>
      </c>
      <c r="AX149" s="15" t="s">
        <v>138</v>
      </c>
      <c r="AY149" s="15" t="s">
        <v>138</v>
      </c>
      <c r="AZ149" s="15" t="s">
        <v>138</v>
      </c>
      <c r="BA149" s="15" t="s">
        <v>138</v>
      </c>
      <c r="BB149" s="15" t="s">
        <v>138</v>
      </c>
      <c r="BC149" s="15" t="s">
        <v>138</v>
      </c>
      <c r="BD149" s="16" t="s">
        <v>137</v>
      </c>
      <c r="BE149" s="16" t="s">
        <v>137</v>
      </c>
      <c r="BF149" s="16" t="s">
        <v>137</v>
      </c>
      <c r="BG149" s="16" t="s">
        <v>137</v>
      </c>
      <c r="BH149" s="16" t="s">
        <v>137</v>
      </c>
      <c r="BI149" s="16" t="s">
        <v>137</v>
      </c>
      <c r="BJ149" s="15" t="s">
        <v>137</v>
      </c>
      <c r="BK149" s="15" t="s">
        <v>137</v>
      </c>
      <c r="BL149" s="131" t="s">
        <v>137</v>
      </c>
      <c r="BM149" t="s">
        <v>137</v>
      </c>
      <c r="BN149" t="s">
        <v>137</v>
      </c>
      <c r="BO149" t="s">
        <v>137</v>
      </c>
      <c r="BP149" t="s">
        <v>137</v>
      </c>
      <c r="BQ149" t="s">
        <v>137</v>
      </c>
      <c r="BR149" t="s">
        <v>137</v>
      </c>
      <c r="BS149" t="s">
        <v>137</v>
      </c>
      <c r="BT149" t="s">
        <v>137</v>
      </c>
      <c r="BU149" t="s">
        <v>137</v>
      </c>
      <c r="BV149" t="s">
        <v>137</v>
      </c>
      <c r="BW149" t="s">
        <v>137</v>
      </c>
      <c r="BX149" t="s">
        <v>137</v>
      </c>
      <c r="BY149" s="56">
        <v>0</v>
      </c>
      <c r="BZ149" s="56">
        <v>0</v>
      </c>
      <c r="CA149" s="56">
        <v>0</v>
      </c>
      <c r="CB149" s="56">
        <v>0</v>
      </c>
      <c r="CC149" s="56">
        <v>0</v>
      </c>
      <c r="CD149" s="56">
        <v>0</v>
      </c>
      <c r="CE149" s="56">
        <v>0</v>
      </c>
      <c r="CF149" s="56">
        <v>0</v>
      </c>
      <c r="CG149" s="56">
        <v>0</v>
      </c>
      <c r="CH149" s="56">
        <v>0</v>
      </c>
      <c r="CI149" s="56">
        <v>0</v>
      </c>
      <c r="CJ149" s="56">
        <v>0</v>
      </c>
      <c r="CK149" s="56">
        <v>0</v>
      </c>
    </row>
    <row r="150" spans="1:89" ht="13" x14ac:dyDescent="0.3">
      <c r="A150" s="135" t="s">
        <v>91</v>
      </c>
      <c r="B150" s="134">
        <v>106017</v>
      </c>
      <c r="C150" s="135" t="s">
        <v>197</v>
      </c>
      <c r="D150" s="136">
        <v>20576</v>
      </c>
      <c r="E150" s="136">
        <v>44347</v>
      </c>
      <c r="F150" s="135" t="s">
        <v>173</v>
      </c>
      <c r="G150" s="135"/>
      <c r="H150" s="135"/>
      <c r="I150" s="137">
        <v>369</v>
      </c>
      <c r="J150" s="137">
        <v>0</v>
      </c>
      <c r="K150" s="137">
        <v>1</v>
      </c>
      <c r="L150" s="137">
        <v>0</v>
      </c>
      <c r="M150" s="137">
        <v>0</v>
      </c>
      <c r="N150" s="137">
        <v>0</v>
      </c>
      <c r="O150" s="138">
        <v>1</v>
      </c>
      <c r="P150" s="147">
        <v>249418.00000000003</v>
      </c>
      <c r="Q150" s="139">
        <v>1</v>
      </c>
      <c r="R150" s="139">
        <v>0</v>
      </c>
      <c r="S150" s="139">
        <v>0</v>
      </c>
      <c r="T150" s="140"/>
      <c r="U150" s="139">
        <v>0</v>
      </c>
      <c r="V150" s="141"/>
      <c r="W150" s="141">
        <v>1</v>
      </c>
      <c r="X150" s="24"/>
      <c r="Y150" s="24">
        <v>40231</v>
      </c>
      <c r="Z150" s="24"/>
      <c r="AA150" s="24"/>
      <c r="AB150" s="24"/>
      <c r="AC150" s="24"/>
      <c r="AD150" s="24"/>
      <c r="AE150" s="24"/>
      <c r="AF150" s="24"/>
      <c r="AG150" s="24"/>
      <c r="AH150" s="31"/>
      <c r="AI150" s="46" t="str">
        <f t="shared" si="15"/>
        <v/>
      </c>
      <c r="AJ150" s="27"/>
      <c r="AK150" s="27"/>
      <c r="AL150" s="27"/>
      <c r="AM150" s="27"/>
      <c r="AN150" s="27"/>
      <c r="AO150" s="27"/>
      <c r="AP150" s="27"/>
      <c r="AQ150" s="29" t="str">
        <f>IF(AND(AD150&lt;&gt;"",AF150="",AG150=""),DATE(YEAR(AD150)+Menu!$E$10,MONTH(AD150)+Menu!$E$11,1),"")</f>
        <v/>
      </c>
      <c r="AR150" s="29" t="str">
        <f t="shared" si="14"/>
        <v/>
      </c>
      <c r="AS150" s="27" t="str">
        <f>IF(AND(AR150&lt;&gt;"",AH150="",AG150=""),DATE(YEAR(AR150)+Menu!$E$13,MONTH(AR150)+Menu!$E$14,1),"")</f>
        <v/>
      </c>
      <c r="AT150" s="27"/>
      <c r="AU150" s="15" t="s">
        <v>138</v>
      </c>
      <c r="AV150" s="15" t="s">
        <v>138</v>
      </c>
      <c r="AW150" s="16" t="s">
        <v>138</v>
      </c>
      <c r="AX150" s="15" t="s">
        <v>138</v>
      </c>
      <c r="AY150" s="15" t="s">
        <v>138</v>
      </c>
      <c r="AZ150" s="15" t="s">
        <v>138</v>
      </c>
      <c r="BA150" s="15" t="s">
        <v>138</v>
      </c>
      <c r="BB150" s="15" t="s">
        <v>138</v>
      </c>
      <c r="BC150" s="16" t="s">
        <v>129</v>
      </c>
      <c r="BD150" s="16" t="s">
        <v>129</v>
      </c>
      <c r="BE150" s="16" t="s">
        <v>129</v>
      </c>
      <c r="BF150" s="16" t="s">
        <v>129</v>
      </c>
      <c r="BG150" s="16" t="s">
        <v>129</v>
      </c>
      <c r="BH150" s="16" t="s">
        <v>129</v>
      </c>
      <c r="BI150" s="16" t="s">
        <v>129</v>
      </c>
      <c r="BJ150" s="15" t="s">
        <v>129</v>
      </c>
      <c r="BK150" s="15" t="s">
        <v>129</v>
      </c>
      <c r="BL150" s="131" t="s">
        <v>129</v>
      </c>
      <c r="BM150" t="s">
        <v>129</v>
      </c>
      <c r="BN150" t="s">
        <v>129</v>
      </c>
      <c r="BO150" t="s">
        <v>138</v>
      </c>
      <c r="BP150" t="s">
        <v>138</v>
      </c>
      <c r="BQ150" t="s">
        <v>138</v>
      </c>
      <c r="BR150" t="s">
        <v>138</v>
      </c>
      <c r="BS150" t="s">
        <v>138</v>
      </c>
      <c r="BT150" t="s">
        <v>138</v>
      </c>
      <c r="BU150" t="s">
        <v>138</v>
      </c>
      <c r="BV150" t="s">
        <v>138</v>
      </c>
      <c r="BW150" t="s">
        <v>138</v>
      </c>
      <c r="BX150" t="s">
        <v>138</v>
      </c>
      <c r="BY150" s="56">
        <v>249418.00000000003</v>
      </c>
      <c r="BZ150" s="56">
        <v>249418.00000000003</v>
      </c>
      <c r="CA150" s="56">
        <v>103924.16666666669</v>
      </c>
      <c r="CB150" s="56">
        <v>0</v>
      </c>
      <c r="CC150" s="56">
        <v>0</v>
      </c>
      <c r="CD150" s="56">
        <v>0</v>
      </c>
      <c r="CE150" s="56">
        <v>0</v>
      </c>
      <c r="CF150" s="56">
        <v>0</v>
      </c>
      <c r="CG150" s="56">
        <v>0</v>
      </c>
      <c r="CH150" s="56">
        <v>0</v>
      </c>
      <c r="CI150" s="56">
        <v>0</v>
      </c>
      <c r="CJ150" s="56">
        <v>0</v>
      </c>
      <c r="CK150" s="56">
        <v>0</v>
      </c>
    </row>
    <row r="151" spans="1:89" ht="13" x14ac:dyDescent="0.3">
      <c r="A151" s="135" t="s">
        <v>92</v>
      </c>
      <c r="B151" s="134">
        <v>218367</v>
      </c>
      <c r="C151" s="135" t="s">
        <v>197</v>
      </c>
      <c r="D151" s="136">
        <v>29173</v>
      </c>
      <c r="E151" s="136">
        <v>52565</v>
      </c>
      <c r="F151" s="135" t="s">
        <v>172</v>
      </c>
      <c r="G151" s="135">
        <v>2012</v>
      </c>
      <c r="H151" s="135" t="s">
        <v>133</v>
      </c>
      <c r="I151" s="137">
        <v>318</v>
      </c>
      <c r="J151" s="137">
        <v>0</v>
      </c>
      <c r="K151" s="137">
        <v>1</v>
      </c>
      <c r="L151" s="137">
        <v>0</v>
      </c>
      <c r="M151" s="137">
        <v>0</v>
      </c>
      <c r="N151" s="137">
        <v>0</v>
      </c>
      <c r="O151" s="138">
        <v>0</v>
      </c>
      <c r="P151" s="147">
        <v>625958.25</v>
      </c>
      <c r="Q151" s="139">
        <v>1</v>
      </c>
      <c r="R151" s="139">
        <v>0</v>
      </c>
      <c r="S151" s="139">
        <v>0</v>
      </c>
      <c r="T151" s="140"/>
      <c r="U151" s="139">
        <v>0</v>
      </c>
      <c r="V151" s="141"/>
      <c r="W151" s="141">
        <v>1</v>
      </c>
      <c r="X151" s="24"/>
      <c r="Y151" s="24"/>
      <c r="Z151" s="24"/>
      <c r="AA151" s="24"/>
      <c r="AB151" s="24"/>
      <c r="AC151" s="24"/>
      <c r="AD151" s="24">
        <v>40909</v>
      </c>
      <c r="AE151" s="24"/>
      <c r="AF151" s="24">
        <v>43466</v>
      </c>
      <c r="AG151" s="24"/>
      <c r="AH151" s="31"/>
      <c r="AI151" s="46" t="str">
        <f t="shared" si="15"/>
        <v/>
      </c>
      <c r="AJ151" s="27"/>
      <c r="AK151" s="27"/>
      <c r="AL151" s="27"/>
      <c r="AM151" s="27"/>
      <c r="AN151" s="27"/>
      <c r="AO151" s="27"/>
      <c r="AP151" s="27"/>
      <c r="AQ151" s="29" t="str">
        <f>IF(AND(AD151&lt;&gt;"",AF151="",AG151=""),DATE(YEAR(AD151)+Menu!$E$10,MONTH(AD151)+Menu!$E$11,1),"")</f>
        <v/>
      </c>
      <c r="AR151" s="29">
        <f t="shared" si="14"/>
        <v>43466</v>
      </c>
      <c r="AS151" s="27">
        <f>IF(AND(AR151&lt;&gt;"",AH151="",AG151=""),DATE(YEAR(AR151)+Menu!$E$13,MONTH(AR151)+Menu!$E$14,1),"")</f>
        <v>45931</v>
      </c>
      <c r="AT151" s="27"/>
      <c r="AU151" s="15" t="s">
        <v>138</v>
      </c>
      <c r="AV151" s="15" t="s">
        <v>138</v>
      </c>
      <c r="AW151" s="16" t="s">
        <v>138</v>
      </c>
      <c r="AX151" s="15" t="s">
        <v>138</v>
      </c>
      <c r="AY151" s="15" t="s">
        <v>138</v>
      </c>
      <c r="AZ151" s="15" t="s">
        <v>138</v>
      </c>
      <c r="BA151" s="15" t="s">
        <v>138</v>
      </c>
      <c r="BB151" s="15" t="s">
        <v>138</v>
      </c>
      <c r="BC151" s="15" t="s">
        <v>138</v>
      </c>
      <c r="BD151" s="15" t="s">
        <v>138</v>
      </c>
      <c r="BE151" s="16" t="s">
        <v>133</v>
      </c>
      <c r="BF151" s="16" t="s">
        <v>133</v>
      </c>
      <c r="BG151" s="16" t="s">
        <v>133</v>
      </c>
      <c r="BH151" s="16" t="s">
        <v>133</v>
      </c>
      <c r="BI151" s="16" t="s">
        <v>133</v>
      </c>
      <c r="BJ151" s="15" t="s">
        <v>133</v>
      </c>
      <c r="BK151" s="15" t="s">
        <v>133</v>
      </c>
      <c r="BL151" s="131" t="s">
        <v>134</v>
      </c>
      <c r="BM151" t="s">
        <v>134</v>
      </c>
      <c r="BN151" t="s">
        <v>134</v>
      </c>
      <c r="BO151" t="s">
        <v>134</v>
      </c>
      <c r="BP151" t="s">
        <v>134</v>
      </c>
      <c r="BQ151" t="s">
        <v>134</v>
      </c>
      <c r="BR151" t="s">
        <v>135</v>
      </c>
      <c r="BS151" t="s">
        <v>135</v>
      </c>
      <c r="BT151" t="s">
        <v>135</v>
      </c>
      <c r="BU151" t="s">
        <v>135</v>
      </c>
      <c r="BV151" t="s">
        <v>135</v>
      </c>
      <c r="BW151" t="s">
        <v>135</v>
      </c>
      <c r="BX151" t="s">
        <v>135</v>
      </c>
      <c r="BY151" s="56">
        <v>625958.25</v>
      </c>
      <c r="BZ151" s="56">
        <v>721188</v>
      </c>
      <c r="CA151" s="56">
        <v>721188</v>
      </c>
      <c r="CB151" s="56">
        <v>721188</v>
      </c>
      <c r="CC151" s="56">
        <v>721188</v>
      </c>
      <c r="CD151" s="56">
        <v>721188</v>
      </c>
      <c r="CE151" s="56">
        <v>735147.375</v>
      </c>
      <c r="CF151" s="56">
        <v>790984.875</v>
      </c>
      <c r="CG151" s="56">
        <v>846822.375</v>
      </c>
      <c r="CH151" s="56">
        <v>902659.875</v>
      </c>
      <c r="CI151" s="56">
        <v>958497.375</v>
      </c>
      <c r="CJ151" s="56">
        <v>1000375</v>
      </c>
      <c r="CK151" s="56">
        <v>1000375</v>
      </c>
    </row>
    <row r="152" spans="1:89" ht="13" x14ac:dyDescent="0.3">
      <c r="A152" s="135" t="s">
        <v>93</v>
      </c>
      <c r="B152" s="134">
        <v>156731</v>
      </c>
      <c r="C152" s="135" t="s">
        <v>196</v>
      </c>
      <c r="D152" s="136">
        <v>26827</v>
      </c>
      <c r="E152" s="136">
        <v>50586</v>
      </c>
      <c r="F152" s="135" t="s">
        <v>173</v>
      </c>
      <c r="G152" s="135">
        <v>2011</v>
      </c>
      <c r="H152" s="135" t="s">
        <v>134</v>
      </c>
      <c r="I152" s="137">
        <v>442</v>
      </c>
      <c r="J152" s="137">
        <v>1</v>
      </c>
      <c r="K152" s="137">
        <v>0</v>
      </c>
      <c r="L152" s="137">
        <v>0</v>
      </c>
      <c r="M152" s="137">
        <v>0</v>
      </c>
      <c r="N152" s="137">
        <v>0</v>
      </c>
      <c r="O152" s="138">
        <v>0</v>
      </c>
      <c r="P152" s="147">
        <v>922882.75</v>
      </c>
      <c r="Q152" s="139">
        <v>1</v>
      </c>
      <c r="R152" s="139">
        <v>1</v>
      </c>
      <c r="S152" s="139">
        <v>0</v>
      </c>
      <c r="T152" s="140"/>
      <c r="U152" s="139">
        <v>0</v>
      </c>
      <c r="V152" s="141"/>
      <c r="W152" s="141">
        <v>1</v>
      </c>
      <c r="X152" s="24"/>
      <c r="Y152" s="24"/>
      <c r="Z152" s="24"/>
      <c r="AA152" s="24"/>
      <c r="AB152" s="24"/>
      <c r="AC152" s="24"/>
      <c r="AD152" s="24"/>
      <c r="AE152" s="24"/>
      <c r="AF152" s="24">
        <v>40725</v>
      </c>
      <c r="AG152" s="24">
        <v>42948</v>
      </c>
      <c r="AH152" s="31"/>
      <c r="AI152" s="46" t="str">
        <f t="shared" si="15"/>
        <v/>
      </c>
      <c r="AJ152" s="27"/>
      <c r="AK152" s="27"/>
      <c r="AL152" s="27"/>
      <c r="AM152" s="27"/>
      <c r="AN152" s="27"/>
      <c r="AO152" s="27"/>
      <c r="AP152" s="27"/>
      <c r="AQ152" s="29" t="str">
        <f>IF(AND(AD152&lt;&gt;"",AF152="",AG152=""),DATE(YEAR(AD152)+Menu!$E$10,MONTH(AD152)+Menu!$E$11,1),"")</f>
        <v/>
      </c>
      <c r="AR152" s="29">
        <f t="shared" si="14"/>
        <v>40725</v>
      </c>
      <c r="AS152" s="27" t="str">
        <f>IF(AND(AR152&lt;&gt;"",AH152="",AG152=""),DATE(YEAR(AR152)+Menu!$E$13,MONTH(AR152)+Menu!$E$14,1),"")</f>
        <v/>
      </c>
      <c r="AT152" s="27"/>
      <c r="AU152" s="15" t="s">
        <v>138</v>
      </c>
      <c r="AV152" s="15" t="s">
        <v>138</v>
      </c>
      <c r="AW152" s="16" t="s">
        <v>138</v>
      </c>
      <c r="AX152" s="15" t="s">
        <v>138</v>
      </c>
      <c r="AY152" s="15" t="s">
        <v>138</v>
      </c>
      <c r="AZ152" s="15" t="s">
        <v>138</v>
      </c>
      <c r="BA152" s="15" t="s">
        <v>138</v>
      </c>
      <c r="BB152" s="15" t="s">
        <v>138</v>
      </c>
      <c r="BC152" s="15" t="s">
        <v>138</v>
      </c>
      <c r="BD152" s="15" t="s">
        <v>134</v>
      </c>
      <c r="BE152" s="16" t="s">
        <v>134</v>
      </c>
      <c r="BF152" s="16" t="s">
        <v>134</v>
      </c>
      <c r="BG152" s="16" t="s">
        <v>134</v>
      </c>
      <c r="BH152" s="16" t="s">
        <v>134</v>
      </c>
      <c r="BI152" s="16" t="s">
        <v>134</v>
      </c>
      <c r="BJ152" s="15" t="s">
        <v>135</v>
      </c>
      <c r="BK152" s="15" t="s">
        <v>135</v>
      </c>
      <c r="BL152" s="131" t="s">
        <v>135</v>
      </c>
      <c r="BM152" t="s">
        <v>135</v>
      </c>
      <c r="BN152" t="s">
        <v>135</v>
      </c>
      <c r="BO152" t="s">
        <v>135</v>
      </c>
      <c r="BP152" t="s">
        <v>135</v>
      </c>
      <c r="BQ152" t="s">
        <v>135</v>
      </c>
      <c r="BR152" t="s">
        <v>135</v>
      </c>
      <c r="BS152" t="s">
        <v>135</v>
      </c>
      <c r="BT152" t="s">
        <v>135</v>
      </c>
      <c r="BU152" t="s">
        <v>135</v>
      </c>
      <c r="BV152" t="s">
        <v>135</v>
      </c>
      <c r="BW152" t="s">
        <v>135</v>
      </c>
      <c r="BX152" t="s">
        <v>135</v>
      </c>
      <c r="BY152" s="56">
        <v>922882.75</v>
      </c>
      <c r="BZ152" s="56">
        <v>978720.25</v>
      </c>
      <c r="CA152" s="56">
        <v>1000375</v>
      </c>
      <c r="CB152" s="56">
        <v>1000375</v>
      </c>
      <c r="CC152" s="56">
        <v>1000375</v>
      </c>
      <c r="CD152" s="56">
        <v>1000375</v>
      </c>
      <c r="CE152" s="56">
        <v>1000375</v>
      </c>
      <c r="CF152" s="56">
        <v>1000375</v>
      </c>
      <c r="CG152" s="56">
        <v>1000375</v>
      </c>
      <c r="CH152" s="56">
        <v>1000375</v>
      </c>
      <c r="CI152" s="56">
        <v>1000375</v>
      </c>
      <c r="CJ152" s="56">
        <v>1000375</v>
      </c>
      <c r="CK152" s="56">
        <v>1000375</v>
      </c>
    </row>
    <row r="153" spans="1:89" ht="13" x14ac:dyDescent="0.3">
      <c r="A153" s="135" t="s">
        <v>193</v>
      </c>
      <c r="B153" s="142"/>
      <c r="C153" s="135"/>
      <c r="D153" s="136">
        <v>14180</v>
      </c>
      <c r="E153" s="136">
        <v>37894</v>
      </c>
      <c r="F153" s="135" t="s">
        <v>173</v>
      </c>
      <c r="G153" s="135"/>
      <c r="H153" s="135"/>
      <c r="I153" s="137">
        <v>0</v>
      </c>
      <c r="J153" s="137">
        <v>0</v>
      </c>
      <c r="K153" s="137">
        <v>0</v>
      </c>
      <c r="L153" s="137">
        <v>0</v>
      </c>
      <c r="M153" s="137">
        <v>0</v>
      </c>
      <c r="N153" s="137">
        <v>0</v>
      </c>
      <c r="O153" s="138">
        <v>0</v>
      </c>
      <c r="P153" s="147">
        <v>0</v>
      </c>
      <c r="Q153" s="139">
        <v>0</v>
      </c>
      <c r="R153" s="139">
        <v>0</v>
      </c>
      <c r="S153" s="139">
        <v>0</v>
      </c>
      <c r="T153" s="140"/>
      <c r="U153" s="139">
        <v>0</v>
      </c>
      <c r="V153" s="141"/>
      <c r="W153" s="141">
        <v>0</v>
      </c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31"/>
      <c r="AI153" s="46">
        <f t="shared" si="15"/>
        <v>2003</v>
      </c>
      <c r="AJ153" s="27"/>
      <c r="AK153" s="27"/>
      <c r="AL153" s="27"/>
      <c r="AM153" s="27"/>
      <c r="AN153" s="27"/>
      <c r="AO153" s="27"/>
      <c r="AP153" s="27"/>
      <c r="AQ153" s="29" t="str">
        <f>IF(AND(AD153&lt;&gt;"",AF153="",AG153=""),DATE(YEAR(AD153)+Menu!$E$10,MONTH(AD153)+Menu!$E$11,1),"")</f>
        <v/>
      </c>
      <c r="AR153" s="29" t="str">
        <f t="shared" si="14"/>
        <v/>
      </c>
      <c r="AS153" s="27" t="str">
        <f>IF(AND(AR153&lt;&gt;"",AH153="",AG153=""),DATE(YEAR(AR153)+Menu!$E$13,MONTH(AR153)+Menu!$E$14,1),"")</f>
        <v/>
      </c>
      <c r="AT153" s="27"/>
      <c r="AU153" s="15" t="s">
        <v>135</v>
      </c>
      <c r="AV153" s="15" t="s">
        <v>138</v>
      </c>
      <c r="AW153" s="15" t="s">
        <v>138</v>
      </c>
      <c r="AX153" s="15" t="s">
        <v>138</v>
      </c>
      <c r="AY153" s="15" t="s">
        <v>138</v>
      </c>
      <c r="AZ153" s="15" t="s">
        <v>138</v>
      </c>
      <c r="BA153" s="15" t="s">
        <v>138</v>
      </c>
      <c r="BB153" s="15" t="s">
        <v>138</v>
      </c>
      <c r="BC153" s="15" t="s">
        <v>138</v>
      </c>
      <c r="BD153" s="15" t="s">
        <v>138</v>
      </c>
      <c r="BE153" s="15" t="s">
        <v>138</v>
      </c>
      <c r="BF153" s="15" t="s">
        <v>138</v>
      </c>
      <c r="BG153" s="15" t="s">
        <v>138</v>
      </c>
      <c r="BH153" s="15" t="s">
        <v>138</v>
      </c>
      <c r="BI153" s="15" t="s">
        <v>138</v>
      </c>
      <c r="BJ153" s="15" t="s">
        <v>138</v>
      </c>
      <c r="BK153" s="15" t="s">
        <v>138</v>
      </c>
      <c r="BL153" s="131"/>
      <c r="BY153" s="56">
        <v>0</v>
      </c>
      <c r="BZ153" s="56"/>
      <c r="CA153" s="56"/>
      <c r="CB153" s="56"/>
      <c r="CC153" s="56"/>
      <c r="CD153" s="56"/>
      <c r="CE153" s="56"/>
      <c r="CF153" s="56"/>
      <c r="CG153" s="56"/>
      <c r="CH153" s="56"/>
      <c r="CI153" s="56"/>
      <c r="CJ153" s="56"/>
      <c r="CK153" s="56"/>
    </row>
    <row r="154" spans="1:89" ht="13" x14ac:dyDescent="0.3">
      <c r="A154" s="135" t="s">
        <v>94</v>
      </c>
      <c r="B154" s="134">
        <v>106071</v>
      </c>
      <c r="C154" s="135" t="s">
        <v>198</v>
      </c>
      <c r="D154" s="136">
        <v>24097</v>
      </c>
      <c r="E154" s="136">
        <v>47848</v>
      </c>
      <c r="F154" s="135" t="s">
        <v>173</v>
      </c>
      <c r="G154" s="135"/>
      <c r="H154" s="135"/>
      <c r="I154" s="137">
        <v>457</v>
      </c>
      <c r="J154" s="137">
        <v>0</v>
      </c>
      <c r="K154" s="137">
        <v>0</v>
      </c>
      <c r="L154" s="137">
        <v>1</v>
      </c>
      <c r="M154" s="137">
        <v>0</v>
      </c>
      <c r="N154" s="137">
        <v>0</v>
      </c>
      <c r="O154" s="138">
        <v>1</v>
      </c>
      <c r="P154" s="147">
        <f>514318-P230-P231</f>
        <v>298230.93999999994</v>
      </c>
      <c r="Q154" s="139">
        <v>1</v>
      </c>
      <c r="R154" s="139">
        <v>0</v>
      </c>
      <c r="S154" s="139">
        <v>0</v>
      </c>
      <c r="T154" s="140"/>
      <c r="U154" s="139">
        <v>0</v>
      </c>
      <c r="V154" s="141"/>
      <c r="W154" s="141">
        <v>1</v>
      </c>
      <c r="X154" s="24"/>
      <c r="Y154" s="24"/>
      <c r="Z154" s="24"/>
      <c r="AA154" s="24"/>
      <c r="AB154" s="24">
        <v>37881</v>
      </c>
      <c r="AC154" s="24"/>
      <c r="AD154" s="24"/>
      <c r="AE154" s="24"/>
      <c r="AF154" s="24"/>
      <c r="AG154" s="24"/>
      <c r="AH154" s="31"/>
      <c r="AI154" s="46" t="str">
        <f t="shared" si="15"/>
        <v/>
      </c>
      <c r="AJ154" s="27"/>
      <c r="AK154" s="27"/>
      <c r="AL154" s="27"/>
      <c r="AM154" s="27"/>
      <c r="AN154" s="27"/>
      <c r="AO154" s="27"/>
      <c r="AP154" s="27"/>
      <c r="AQ154" s="29" t="str">
        <f>IF(AND(AD154&lt;&gt;"",AF154="",AG154=""),DATE(YEAR(AD154)+Menu!$E$10,MONTH(AD154)+Menu!$E$11,1),"")</f>
        <v/>
      </c>
      <c r="AR154" s="29" t="str">
        <f t="shared" si="14"/>
        <v/>
      </c>
      <c r="AS154" s="27" t="str">
        <f>IF(AND(AR154&lt;&gt;"",AH154="",AG154=""),DATE(YEAR(AR154)+Menu!$E$13,MONTH(AR154)+Menu!$E$14,1),"")</f>
        <v/>
      </c>
      <c r="AT154" s="27"/>
      <c r="AU154" s="15" t="s">
        <v>138</v>
      </c>
      <c r="AV154" s="16" t="s">
        <v>131</v>
      </c>
      <c r="AW154" s="16" t="s">
        <v>131</v>
      </c>
      <c r="AX154" s="16" t="s">
        <v>131</v>
      </c>
      <c r="AY154" s="16" t="s">
        <v>131</v>
      </c>
      <c r="AZ154" s="16" t="s">
        <v>131</v>
      </c>
      <c r="BA154" s="16" t="s">
        <v>131</v>
      </c>
      <c r="BB154" s="16" t="s">
        <v>131</v>
      </c>
      <c r="BC154" s="16" t="s">
        <v>131</v>
      </c>
      <c r="BD154" s="16" t="s">
        <v>131</v>
      </c>
      <c r="BE154" s="16" t="s">
        <v>131</v>
      </c>
      <c r="BF154" s="16" t="s">
        <v>131</v>
      </c>
      <c r="BG154" s="16" t="s">
        <v>131</v>
      </c>
      <c r="BH154" s="16" t="s">
        <v>131</v>
      </c>
      <c r="BI154" s="16" t="s">
        <v>131</v>
      </c>
      <c r="BJ154" s="15" t="s">
        <v>131</v>
      </c>
      <c r="BK154" s="15" t="s">
        <v>131</v>
      </c>
      <c r="BL154" s="131" t="s">
        <v>131</v>
      </c>
      <c r="BM154" t="s">
        <v>131</v>
      </c>
      <c r="BN154" t="s">
        <v>131</v>
      </c>
      <c r="BO154" t="s">
        <v>131</v>
      </c>
      <c r="BP154" t="s">
        <v>131</v>
      </c>
      <c r="BQ154" t="s">
        <v>131</v>
      </c>
      <c r="BR154" t="s">
        <v>131</v>
      </c>
      <c r="BS154" t="s">
        <v>131</v>
      </c>
      <c r="BT154" t="s">
        <v>131</v>
      </c>
      <c r="BU154" t="s">
        <v>131</v>
      </c>
      <c r="BV154" t="s">
        <v>131</v>
      </c>
      <c r="BW154" t="s">
        <v>131</v>
      </c>
      <c r="BX154" t="s">
        <v>138</v>
      </c>
      <c r="BY154" s="56">
        <v>298230.93999999994</v>
      </c>
      <c r="BZ154" s="56">
        <v>298230.93999999994</v>
      </c>
      <c r="CA154" s="56">
        <v>298230.93999999994</v>
      </c>
      <c r="CB154" s="56">
        <v>298230.93999999994</v>
      </c>
      <c r="CC154" s="56">
        <v>298230.93999999994</v>
      </c>
      <c r="CD154" s="56">
        <v>298230.93999999994</v>
      </c>
      <c r="CE154" s="56">
        <v>298230.93999999994</v>
      </c>
      <c r="CF154" s="56">
        <v>298230.93999999994</v>
      </c>
      <c r="CG154" s="56">
        <v>298230.93999999994</v>
      </c>
      <c r="CH154" s="56">
        <v>298230.93999999994</v>
      </c>
      <c r="CI154" s="56">
        <v>298230.93999999994</v>
      </c>
      <c r="CJ154" s="56">
        <v>298230.93999999994</v>
      </c>
      <c r="CK154" s="56">
        <v>0</v>
      </c>
    </row>
    <row r="155" spans="1:89" ht="13" x14ac:dyDescent="0.3">
      <c r="A155" s="135" t="s">
        <v>95</v>
      </c>
      <c r="B155" s="134">
        <v>118757</v>
      </c>
      <c r="C155" s="135" t="s">
        <v>196</v>
      </c>
      <c r="D155" s="136">
        <v>29158</v>
      </c>
      <c r="E155" s="136">
        <v>52901</v>
      </c>
      <c r="F155" s="135" t="s">
        <v>173</v>
      </c>
      <c r="G155" s="135"/>
      <c r="H155" s="135"/>
      <c r="I155" s="137">
        <v>441</v>
      </c>
      <c r="J155" s="137">
        <v>1</v>
      </c>
      <c r="K155" s="137">
        <v>0</v>
      </c>
      <c r="L155" s="137">
        <v>0</v>
      </c>
      <c r="M155" s="137">
        <v>0</v>
      </c>
      <c r="N155" s="137">
        <v>0</v>
      </c>
      <c r="O155" s="138">
        <v>0</v>
      </c>
      <c r="P155" s="147">
        <v>0</v>
      </c>
      <c r="Q155" s="139">
        <v>0</v>
      </c>
      <c r="R155" s="139">
        <v>0</v>
      </c>
      <c r="S155" s="139">
        <v>0</v>
      </c>
      <c r="T155" s="140"/>
      <c r="U155" s="139">
        <v>0</v>
      </c>
      <c r="V155" s="141"/>
      <c r="W155" s="141">
        <v>0</v>
      </c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31"/>
      <c r="AI155" s="46">
        <v>2014</v>
      </c>
      <c r="AJ155" s="27"/>
      <c r="AK155" s="27"/>
      <c r="AL155" s="27"/>
      <c r="AM155" s="27"/>
      <c r="AN155" s="27"/>
      <c r="AO155" s="27"/>
      <c r="AP155" s="27"/>
      <c r="AQ155" s="29" t="str">
        <f>IF(AND(AD155&lt;&gt;"",AF155="",AG155=""),DATE(YEAR(AD155)+Menu!$E$10,MONTH(AD155)+Menu!$E$11,1),"")</f>
        <v/>
      </c>
      <c r="AR155" s="29" t="str">
        <f t="shared" si="14"/>
        <v/>
      </c>
      <c r="AS155" s="27" t="str">
        <f>IF(AND(AR155&lt;&gt;"",AH155="",AG155=""),DATE(YEAR(AR155)+Menu!$E$13,MONTH(AR155)+Menu!$E$14,1),"")</f>
        <v/>
      </c>
      <c r="AT155" s="27"/>
      <c r="AU155" s="15" t="s">
        <v>138</v>
      </c>
      <c r="AV155" s="15" t="s">
        <v>138</v>
      </c>
      <c r="AW155" s="16" t="s">
        <v>138</v>
      </c>
      <c r="AX155" s="15" t="s">
        <v>138</v>
      </c>
      <c r="AY155" s="15" t="s">
        <v>138</v>
      </c>
      <c r="AZ155" s="15" t="s">
        <v>138</v>
      </c>
      <c r="BA155" s="15" t="s">
        <v>138</v>
      </c>
      <c r="BB155" s="15" t="s">
        <v>138</v>
      </c>
      <c r="BC155" s="15" t="s">
        <v>138</v>
      </c>
      <c r="BD155" s="16" t="s">
        <v>130</v>
      </c>
      <c r="BE155" s="16" t="s">
        <v>130</v>
      </c>
      <c r="BF155" s="16" t="s">
        <v>130</v>
      </c>
      <c r="BG155" s="15" t="s">
        <v>138</v>
      </c>
      <c r="BH155" s="15" t="s">
        <v>138</v>
      </c>
      <c r="BI155" s="15" t="s">
        <v>138</v>
      </c>
      <c r="BJ155" s="15" t="s">
        <v>138</v>
      </c>
      <c r="BK155" s="15" t="s">
        <v>138</v>
      </c>
      <c r="BL155" s="131"/>
      <c r="BY155" s="56">
        <v>0</v>
      </c>
      <c r="BZ155" s="56"/>
      <c r="CA155" s="56"/>
      <c r="CB155" s="56"/>
      <c r="CC155" s="56"/>
      <c r="CD155" s="56"/>
      <c r="CE155" s="56"/>
      <c r="CF155" s="56"/>
      <c r="CG155" s="56"/>
      <c r="CH155" s="56"/>
      <c r="CI155" s="56"/>
      <c r="CJ155" s="56"/>
      <c r="CK155" s="56"/>
    </row>
    <row r="156" spans="1:89" ht="13" x14ac:dyDescent="0.3">
      <c r="A156" s="135" t="s">
        <v>96</v>
      </c>
      <c r="B156" s="134">
        <v>103117</v>
      </c>
      <c r="C156" s="135" t="s">
        <v>201</v>
      </c>
      <c r="D156" s="136">
        <v>24715</v>
      </c>
      <c r="E156" s="136">
        <v>48457</v>
      </c>
      <c r="F156" s="135" t="s">
        <v>173</v>
      </c>
      <c r="G156" s="135"/>
      <c r="H156" s="135"/>
      <c r="I156" s="137">
        <v>1063</v>
      </c>
      <c r="J156" s="137">
        <v>0</v>
      </c>
      <c r="K156" s="137">
        <v>1</v>
      </c>
      <c r="L156" s="137">
        <v>0</v>
      </c>
      <c r="M156" s="137">
        <v>0</v>
      </c>
      <c r="N156" s="137">
        <v>1</v>
      </c>
      <c r="O156" s="138">
        <v>0</v>
      </c>
      <c r="P156" s="147">
        <v>747142</v>
      </c>
      <c r="Q156" s="139">
        <v>1</v>
      </c>
      <c r="R156" s="139">
        <v>1</v>
      </c>
      <c r="S156" s="139">
        <v>0</v>
      </c>
      <c r="T156" s="140"/>
      <c r="U156" s="139">
        <f>-U256*MONTH(E156)/12</f>
        <v>-39620.175000000003</v>
      </c>
      <c r="V156" s="141">
        <v>2032</v>
      </c>
      <c r="W156" s="141">
        <v>1</v>
      </c>
      <c r="X156" s="24"/>
      <c r="Y156" s="24"/>
      <c r="Z156" s="24"/>
      <c r="AA156" s="24"/>
      <c r="AB156" s="24"/>
      <c r="AC156" s="24"/>
      <c r="AD156" s="24">
        <v>38808</v>
      </c>
      <c r="AE156" s="24"/>
      <c r="AF156" s="24">
        <v>41487</v>
      </c>
      <c r="AG156" s="24"/>
      <c r="AH156" s="31">
        <v>44105</v>
      </c>
      <c r="AI156" s="46" t="str">
        <f t="shared" ref="AI156:AI185" si="16">IF(YEAR(E156)&lt;2018,YEAR(E156),"")</f>
        <v/>
      </c>
      <c r="AJ156" s="27"/>
      <c r="AK156" s="27"/>
      <c r="AL156" s="27"/>
      <c r="AM156" s="27"/>
      <c r="AN156" s="27"/>
      <c r="AO156" s="27"/>
      <c r="AP156" s="27"/>
      <c r="AQ156" s="29" t="str">
        <f>IF(AND(AD156&lt;&gt;"",AF156="",AG156=""),DATE(YEAR(AD156)+Menu!$E$10,MONTH(AD156)+Menu!$E$11,1),"")</f>
        <v/>
      </c>
      <c r="AR156" s="29">
        <f t="shared" si="14"/>
        <v>41487</v>
      </c>
      <c r="AS156" s="27" t="str">
        <f>IF(AND(AR156&lt;&gt;"",AH156="",AG156=""),DATE(YEAR(AR156)+Menu!$E$13,MONTH(AR156)+Menu!$E$14,1),"")</f>
        <v/>
      </c>
      <c r="AT156" s="27"/>
      <c r="AU156" s="15" t="s">
        <v>138</v>
      </c>
      <c r="AV156" s="15" t="s">
        <v>138</v>
      </c>
      <c r="AW156" s="16" t="s">
        <v>138</v>
      </c>
      <c r="AX156" s="15" t="s">
        <v>138</v>
      </c>
      <c r="AY156" s="16" t="s">
        <v>133</v>
      </c>
      <c r="AZ156" s="16" t="s">
        <v>133</v>
      </c>
      <c r="BA156" s="16" t="s">
        <v>133</v>
      </c>
      <c r="BB156" s="16" t="s">
        <v>133</v>
      </c>
      <c r="BC156" s="16" t="s">
        <v>133</v>
      </c>
      <c r="BD156" s="16" t="s">
        <v>133</v>
      </c>
      <c r="BE156" s="16" t="s">
        <v>133</v>
      </c>
      <c r="BF156" s="16" t="s">
        <v>134</v>
      </c>
      <c r="BG156" s="16" t="s">
        <v>134</v>
      </c>
      <c r="BH156" s="16" t="s">
        <v>134</v>
      </c>
      <c r="BI156" s="16" t="s">
        <v>134</v>
      </c>
      <c r="BJ156" s="15" t="s">
        <v>134</v>
      </c>
      <c r="BK156" s="15" t="s">
        <v>134</v>
      </c>
      <c r="BL156" s="131" t="s">
        <v>134</v>
      </c>
      <c r="BM156" t="s">
        <v>135</v>
      </c>
      <c r="BN156" t="s">
        <v>135</v>
      </c>
      <c r="BO156" t="s">
        <v>135</v>
      </c>
      <c r="BP156" t="s">
        <v>135</v>
      </c>
      <c r="BQ156" t="s">
        <v>135</v>
      </c>
      <c r="BR156" t="s">
        <v>135</v>
      </c>
      <c r="BS156" t="s">
        <v>135</v>
      </c>
      <c r="BT156" t="s">
        <v>135</v>
      </c>
      <c r="BU156" t="s">
        <v>135</v>
      </c>
      <c r="BV156" t="s">
        <v>135</v>
      </c>
      <c r="BW156" t="s">
        <v>135</v>
      </c>
      <c r="BX156" t="s">
        <v>135</v>
      </c>
      <c r="BY156" s="56">
        <v>747142</v>
      </c>
      <c r="BZ156" s="56">
        <v>761101.375</v>
      </c>
      <c r="CA156" s="56">
        <v>816938.875</v>
      </c>
      <c r="CB156" s="56">
        <v>872776.375</v>
      </c>
      <c r="CC156" s="56">
        <v>928613.875</v>
      </c>
      <c r="CD156" s="56">
        <v>984451.375</v>
      </c>
      <c r="CE156" s="56">
        <v>1000375</v>
      </c>
      <c r="CF156" s="56">
        <v>1000375</v>
      </c>
      <c r="CG156" s="56">
        <v>1000375</v>
      </c>
      <c r="CH156" s="56">
        <v>1000375</v>
      </c>
      <c r="CI156" s="56">
        <v>1000375</v>
      </c>
      <c r="CJ156" s="56">
        <v>1000375</v>
      </c>
      <c r="CK156" s="56">
        <v>1000375</v>
      </c>
    </row>
    <row r="157" spans="1:89" ht="13" x14ac:dyDescent="0.3">
      <c r="A157" s="135" t="s">
        <v>438</v>
      </c>
      <c r="B157" s="142">
        <v>106123</v>
      </c>
      <c r="C157" s="135" t="s">
        <v>200</v>
      </c>
      <c r="D157" s="136">
        <v>21917</v>
      </c>
      <c r="E157" s="136">
        <v>45688</v>
      </c>
      <c r="F157" s="135" t="s">
        <v>173</v>
      </c>
      <c r="G157" s="135"/>
      <c r="H157" s="135"/>
      <c r="I157" s="137">
        <v>826</v>
      </c>
      <c r="J157" s="137">
        <v>0</v>
      </c>
      <c r="K157" s="137">
        <v>0</v>
      </c>
      <c r="L157" s="137">
        <v>0</v>
      </c>
      <c r="M157" s="137">
        <v>1</v>
      </c>
      <c r="N157" s="137">
        <v>0</v>
      </c>
      <c r="O157" s="138">
        <v>2</v>
      </c>
      <c r="P157" s="147">
        <f>147136*1.225*W157</f>
        <v>90120.8</v>
      </c>
      <c r="Q157" s="139">
        <v>1</v>
      </c>
      <c r="R157" s="139">
        <v>0</v>
      </c>
      <c r="S157" s="139">
        <v>0</v>
      </c>
      <c r="T157" s="140"/>
      <c r="U157" s="139">
        <v>0</v>
      </c>
      <c r="V157" s="141"/>
      <c r="W157" s="141">
        <v>0.5</v>
      </c>
      <c r="X157" s="24"/>
      <c r="Y157" s="24">
        <v>41687</v>
      </c>
      <c r="Z157" s="24"/>
      <c r="AA157" s="24"/>
      <c r="AB157" s="24"/>
      <c r="AC157" s="24"/>
      <c r="AD157" s="24"/>
      <c r="AE157" s="24"/>
      <c r="AF157" s="24"/>
      <c r="AG157" s="24"/>
      <c r="AH157" s="31"/>
      <c r="AI157" s="46" t="str">
        <f t="shared" si="16"/>
        <v/>
      </c>
      <c r="AJ157" s="27"/>
      <c r="AK157" s="27"/>
      <c r="AL157" s="27"/>
      <c r="AM157" s="27"/>
      <c r="AN157" s="27"/>
      <c r="AO157" s="27"/>
      <c r="AP157" s="27"/>
      <c r="AQ157" s="29" t="str">
        <f>IF(AND(AD157&lt;&gt;"",AF157="",AG157=""),DATE(YEAR(AD157)+Menu!$E$10,MONTH(AD157)+Menu!$E$11,1),"")</f>
        <v/>
      </c>
      <c r="AR157" s="29" t="str">
        <f t="shared" si="14"/>
        <v/>
      </c>
      <c r="AS157" s="27" t="str">
        <f>IF(AND(AR157&lt;&gt;"",AH157="",AG157=""),DATE(YEAR(AR157)+Menu!$E$13,MONTH(AR157)+Menu!$E$14,1),"")</f>
        <v/>
      </c>
      <c r="AT157" s="27"/>
      <c r="AU157" s="15" t="s">
        <v>138</v>
      </c>
      <c r="AV157" s="15" t="s">
        <v>138</v>
      </c>
      <c r="AW157" s="15" t="s">
        <v>138</v>
      </c>
      <c r="AX157" s="15" t="s">
        <v>138</v>
      </c>
      <c r="AY157" s="15" t="s">
        <v>138</v>
      </c>
      <c r="AZ157" s="15" t="s">
        <v>138</v>
      </c>
      <c r="BA157" s="15" t="s">
        <v>138</v>
      </c>
      <c r="BB157" s="15" t="s">
        <v>138</v>
      </c>
      <c r="BC157" s="15" t="s">
        <v>138</v>
      </c>
      <c r="BD157" s="15" t="s">
        <v>138</v>
      </c>
      <c r="BE157" s="15" t="s">
        <v>138</v>
      </c>
      <c r="BF157" s="15" t="s">
        <v>138</v>
      </c>
      <c r="BG157" s="16" t="s">
        <v>129</v>
      </c>
      <c r="BH157" s="16" t="s">
        <v>129</v>
      </c>
      <c r="BI157" s="16" t="s">
        <v>129</v>
      </c>
      <c r="BJ157" s="15" t="s">
        <v>129</v>
      </c>
      <c r="BK157" s="15" t="s">
        <v>129</v>
      </c>
      <c r="BL157" s="131" t="s">
        <v>129</v>
      </c>
      <c r="BM157" t="s">
        <v>129</v>
      </c>
      <c r="BN157" t="s">
        <v>129</v>
      </c>
      <c r="BO157" t="s">
        <v>129</v>
      </c>
      <c r="BP157" t="s">
        <v>129</v>
      </c>
      <c r="BQ157" t="s">
        <v>129</v>
      </c>
      <c r="BR157" t="s">
        <v>129</v>
      </c>
      <c r="BS157" t="s">
        <v>138</v>
      </c>
      <c r="BT157" t="s">
        <v>138</v>
      </c>
      <c r="BU157" t="s">
        <v>138</v>
      </c>
      <c r="BV157" t="s">
        <v>138</v>
      </c>
      <c r="BW157" t="s">
        <v>138</v>
      </c>
      <c r="BX157" t="s">
        <v>138</v>
      </c>
      <c r="BY157" s="56">
        <v>90120.8</v>
      </c>
      <c r="BZ157" s="56">
        <v>90120.8</v>
      </c>
      <c r="CA157" s="56">
        <v>90120.8</v>
      </c>
      <c r="CB157" s="56">
        <v>90120.8</v>
      </c>
      <c r="CC157" s="56">
        <v>90120.8</v>
      </c>
      <c r="CD157" s="56">
        <v>90120.8</v>
      </c>
      <c r="CE157" s="56">
        <v>7510.0666666666666</v>
      </c>
      <c r="CF157" s="56">
        <v>0</v>
      </c>
      <c r="CG157" s="56">
        <v>0</v>
      </c>
      <c r="CH157" s="56">
        <v>0</v>
      </c>
      <c r="CI157" s="56">
        <v>0</v>
      </c>
      <c r="CJ157" s="56">
        <v>0</v>
      </c>
      <c r="CK157" s="56">
        <v>0</v>
      </c>
    </row>
    <row r="158" spans="1:89" ht="13" x14ac:dyDescent="0.3">
      <c r="A158" s="135" t="s">
        <v>155</v>
      </c>
      <c r="B158" s="134">
        <v>106136</v>
      </c>
      <c r="C158" s="135" t="s">
        <v>198</v>
      </c>
      <c r="D158" s="136">
        <v>16539</v>
      </c>
      <c r="E158" s="136">
        <v>40298</v>
      </c>
      <c r="F158" s="135" t="s">
        <v>173</v>
      </c>
      <c r="G158" s="135"/>
      <c r="H158" s="135"/>
      <c r="I158" s="137">
        <v>1031</v>
      </c>
      <c r="J158" s="137">
        <v>0</v>
      </c>
      <c r="K158" s="137">
        <v>0</v>
      </c>
      <c r="L158" s="137">
        <v>1</v>
      </c>
      <c r="M158" s="137">
        <v>0</v>
      </c>
      <c r="N158" s="137">
        <v>0</v>
      </c>
      <c r="O158" s="138">
        <v>0</v>
      </c>
      <c r="P158" s="147">
        <v>0</v>
      </c>
      <c r="Q158" s="139">
        <v>0</v>
      </c>
      <c r="R158" s="139">
        <v>0</v>
      </c>
      <c r="S158" s="139">
        <v>0</v>
      </c>
      <c r="T158" s="140"/>
      <c r="U158" s="139">
        <v>0</v>
      </c>
      <c r="V158" s="141"/>
      <c r="W158" s="141">
        <v>0</v>
      </c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31"/>
      <c r="AI158" s="46">
        <f t="shared" si="16"/>
        <v>2010</v>
      </c>
      <c r="AJ158" s="27"/>
      <c r="AK158" s="27"/>
      <c r="AL158" s="27"/>
      <c r="AM158" s="27"/>
      <c r="AN158" s="27"/>
      <c r="AO158" s="27"/>
      <c r="AP158" s="27"/>
      <c r="AQ158" s="29" t="str">
        <f>IF(AND(AD158&lt;&gt;"",AF158="",AG158=""),DATE(YEAR(AD158)+Menu!$E$10,MONTH(AD158)+Menu!$E$11,1),"")</f>
        <v/>
      </c>
      <c r="AR158" s="29" t="str">
        <f t="shared" si="14"/>
        <v/>
      </c>
      <c r="AS158" s="27" t="str">
        <f>IF(AND(AR158&lt;&gt;"",AH158="",AG158=""),DATE(YEAR(AR158)+Menu!$E$13,MONTH(AR158)+Menu!$E$14,1),"")</f>
        <v/>
      </c>
      <c r="AT158" s="27"/>
      <c r="AU158" s="16" t="s">
        <v>135</v>
      </c>
      <c r="AV158" s="16" t="s">
        <v>135</v>
      </c>
      <c r="AW158" s="16" t="s">
        <v>135</v>
      </c>
      <c r="AX158" s="16" t="s">
        <v>135</v>
      </c>
      <c r="AY158" s="16" t="s">
        <v>135</v>
      </c>
      <c r="AZ158" s="16" t="s">
        <v>135</v>
      </c>
      <c r="BA158" s="16" t="s">
        <v>135</v>
      </c>
      <c r="BB158" s="16" t="s">
        <v>135</v>
      </c>
      <c r="BC158" s="16" t="s">
        <v>136</v>
      </c>
      <c r="BD158" s="16" t="s">
        <v>136</v>
      </c>
      <c r="BE158" s="16" t="s">
        <v>136</v>
      </c>
      <c r="BF158" s="16" t="s">
        <v>136</v>
      </c>
      <c r="BG158" s="16" t="s">
        <v>136</v>
      </c>
      <c r="BH158" s="16" t="s">
        <v>136</v>
      </c>
      <c r="BI158" s="16" t="s">
        <v>136</v>
      </c>
      <c r="BJ158" s="15" t="s">
        <v>136</v>
      </c>
      <c r="BK158" s="15" t="s">
        <v>136</v>
      </c>
      <c r="BL158" s="131"/>
      <c r="BY158" s="56">
        <v>0</v>
      </c>
      <c r="BZ158" s="56"/>
      <c r="CA158" s="56"/>
      <c r="CB158" s="56"/>
      <c r="CC158" s="56"/>
      <c r="CD158" s="56"/>
      <c r="CE158" s="56"/>
      <c r="CF158" s="56"/>
      <c r="CG158" s="56"/>
      <c r="CH158" s="56"/>
      <c r="CI158" s="56"/>
      <c r="CJ158" s="56"/>
      <c r="CK158" s="56"/>
    </row>
    <row r="159" spans="1:89" ht="13" x14ac:dyDescent="0.3">
      <c r="A159" s="135" t="s">
        <v>97</v>
      </c>
      <c r="B159" s="134">
        <v>174684</v>
      </c>
      <c r="C159" s="135" t="s">
        <v>198</v>
      </c>
      <c r="D159" s="136">
        <v>19498</v>
      </c>
      <c r="E159" s="136">
        <v>45077</v>
      </c>
      <c r="F159" s="135" t="s">
        <v>173</v>
      </c>
      <c r="G159" s="135"/>
      <c r="H159" s="135"/>
      <c r="I159" s="137">
        <v>1024</v>
      </c>
      <c r="J159" s="137">
        <v>0</v>
      </c>
      <c r="K159" s="137">
        <v>0</v>
      </c>
      <c r="L159" s="137">
        <v>1</v>
      </c>
      <c r="M159" s="137">
        <v>0</v>
      </c>
      <c r="N159" s="137">
        <v>1</v>
      </c>
      <c r="O159" s="138">
        <v>0</v>
      </c>
      <c r="P159" s="147">
        <v>1166261</v>
      </c>
      <c r="Q159" s="139">
        <v>1</v>
      </c>
      <c r="R159" s="139">
        <v>0</v>
      </c>
      <c r="S159" s="139">
        <v>0</v>
      </c>
      <c r="T159" s="140"/>
      <c r="U159" s="139">
        <f>-U238*MONTH(E159)/12</f>
        <v>-64476.34375</v>
      </c>
      <c r="V159" s="141">
        <v>2023</v>
      </c>
      <c r="W159" s="141">
        <v>1</v>
      </c>
      <c r="X159" s="24"/>
      <c r="Y159" s="24"/>
      <c r="Z159" s="24"/>
      <c r="AA159" s="24"/>
      <c r="AB159" s="24"/>
      <c r="AC159" s="24"/>
      <c r="AD159" s="24"/>
      <c r="AE159" s="24"/>
      <c r="AF159" s="24"/>
      <c r="AG159" s="24">
        <v>39083</v>
      </c>
      <c r="AH159" s="31"/>
      <c r="AI159" s="46" t="str">
        <f t="shared" si="16"/>
        <v/>
      </c>
      <c r="AJ159" s="27"/>
      <c r="AK159" s="27"/>
      <c r="AL159" s="27"/>
      <c r="AM159" s="27"/>
      <c r="AN159" s="27"/>
      <c r="AO159" s="27"/>
      <c r="AP159" s="27"/>
      <c r="AQ159" s="29" t="str">
        <f>IF(AND(AD159&lt;&gt;"",AF159="",AG159=""),DATE(YEAR(AD159)+Menu!$E$10,MONTH(AD159)+Menu!$E$11,1),"")</f>
        <v/>
      </c>
      <c r="AR159" s="29" t="str">
        <f t="shared" si="14"/>
        <v/>
      </c>
      <c r="AS159" s="27" t="str">
        <f>IF(AND(AR159&lt;&gt;"",AH159="",AG159=""),DATE(YEAR(AR159)+Menu!$E$13,MONTH(AR159)+Menu!$E$14,1),"")</f>
        <v/>
      </c>
      <c r="AT159" s="27"/>
      <c r="AU159" s="15" t="s">
        <v>138</v>
      </c>
      <c r="AV159" s="15" t="s">
        <v>138</v>
      </c>
      <c r="AW159" s="16" t="s">
        <v>138</v>
      </c>
      <c r="AX159" s="15" t="s">
        <v>138</v>
      </c>
      <c r="AY159" s="15" t="s">
        <v>138</v>
      </c>
      <c r="AZ159" s="16" t="s">
        <v>135</v>
      </c>
      <c r="BA159" s="16" t="s">
        <v>135</v>
      </c>
      <c r="BB159" s="16" t="s">
        <v>135</v>
      </c>
      <c r="BC159" s="16" t="s">
        <v>135</v>
      </c>
      <c r="BD159" s="16" t="s">
        <v>135</v>
      </c>
      <c r="BE159" s="16" t="s">
        <v>135</v>
      </c>
      <c r="BF159" s="16" t="s">
        <v>135</v>
      </c>
      <c r="BG159" s="16" t="s">
        <v>135</v>
      </c>
      <c r="BH159" s="16" t="s">
        <v>135</v>
      </c>
      <c r="BI159" s="16" t="s">
        <v>135</v>
      </c>
      <c r="BJ159" s="15" t="s">
        <v>135</v>
      </c>
      <c r="BK159" s="15" t="s">
        <v>135</v>
      </c>
      <c r="BL159" s="131" t="s">
        <v>135</v>
      </c>
      <c r="BM159" t="s">
        <v>135</v>
      </c>
      <c r="BN159" t="s">
        <v>135</v>
      </c>
      <c r="BO159" t="s">
        <v>135</v>
      </c>
      <c r="BP159" t="s">
        <v>138</v>
      </c>
      <c r="BQ159" t="s">
        <v>138</v>
      </c>
      <c r="BR159" t="s">
        <v>138</v>
      </c>
      <c r="BS159" t="s">
        <v>138</v>
      </c>
      <c r="BT159" t="s">
        <v>138</v>
      </c>
      <c r="BU159" t="s">
        <v>138</v>
      </c>
      <c r="BV159" t="s">
        <v>138</v>
      </c>
      <c r="BW159" t="s">
        <v>138</v>
      </c>
      <c r="BX159" t="s">
        <v>138</v>
      </c>
      <c r="BY159" s="56">
        <v>1166261</v>
      </c>
      <c r="BZ159" s="56">
        <v>1000375</v>
      </c>
      <c r="CA159" s="56">
        <v>1000375</v>
      </c>
      <c r="CB159" s="56">
        <v>1000375</v>
      </c>
      <c r="CC159" s="56">
        <v>352346.57291666669</v>
      </c>
      <c r="CD159" s="56">
        <v>0</v>
      </c>
      <c r="CE159" s="56">
        <v>0</v>
      </c>
      <c r="CF159" s="56">
        <v>0</v>
      </c>
      <c r="CG159" s="56">
        <v>0</v>
      </c>
      <c r="CH159" s="56">
        <v>0</v>
      </c>
      <c r="CI159" s="56">
        <v>0</v>
      </c>
      <c r="CJ159" s="56">
        <v>0</v>
      </c>
      <c r="CK159" s="56">
        <v>0</v>
      </c>
    </row>
    <row r="160" spans="1:89" ht="13" x14ac:dyDescent="0.3">
      <c r="A160" s="135" t="s">
        <v>219</v>
      </c>
      <c r="B160" s="134">
        <v>136108</v>
      </c>
      <c r="C160" s="135" t="s">
        <v>198</v>
      </c>
      <c r="D160" s="136">
        <v>29427</v>
      </c>
      <c r="E160" s="136">
        <v>53174</v>
      </c>
      <c r="F160" s="135" t="s">
        <v>173</v>
      </c>
      <c r="G160" s="135"/>
      <c r="H160" s="135"/>
      <c r="I160" s="137">
        <v>1058</v>
      </c>
      <c r="J160" s="137">
        <v>0</v>
      </c>
      <c r="K160" s="137">
        <v>0</v>
      </c>
      <c r="L160" s="137">
        <v>1</v>
      </c>
      <c r="M160" s="137">
        <v>0</v>
      </c>
      <c r="N160" s="137">
        <v>0</v>
      </c>
      <c r="O160" s="138">
        <v>0</v>
      </c>
      <c r="P160" s="147">
        <v>0</v>
      </c>
      <c r="Q160" s="139">
        <v>1</v>
      </c>
      <c r="R160" s="139">
        <v>0</v>
      </c>
      <c r="S160" s="139">
        <v>0</v>
      </c>
      <c r="T160" s="140"/>
      <c r="U160" s="139">
        <v>0</v>
      </c>
      <c r="V160" s="141"/>
      <c r="W160" s="141">
        <v>1</v>
      </c>
      <c r="X160" s="24"/>
      <c r="Y160" s="24"/>
      <c r="Z160" s="24"/>
      <c r="AA160" s="24">
        <v>42156</v>
      </c>
      <c r="AB160" s="24"/>
      <c r="AC160" s="24"/>
      <c r="AD160" s="24"/>
      <c r="AE160" s="24"/>
      <c r="AF160" s="24"/>
      <c r="AG160" s="24"/>
      <c r="AH160" s="31"/>
      <c r="AI160" s="46" t="str">
        <f t="shared" si="16"/>
        <v/>
      </c>
      <c r="AJ160" s="27"/>
      <c r="AK160" s="27"/>
      <c r="AL160" s="27"/>
      <c r="AM160" s="27"/>
      <c r="AN160" s="27"/>
      <c r="AO160" s="27"/>
      <c r="AP160" s="27"/>
      <c r="AQ160" s="29" t="str">
        <f>IF(AND(AD160&lt;&gt;"",AF160="",AG160=""),DATE(YEAR(AD160)+Menu!$E$10,MONTH(AD160)+Menu!$E$11,1),"")</f>
        <v/>
      </c>
      <c r="AR160" s="29" t="str">
        <f t="shared" ref="AR160:AR174" si="17">IF(AF160&lt;&gt;0,AF160,AQ160)</f>
        <v/>
      </c>
      <c r="AS160" s="27" t="str">
        <f>IF(AND(AR160&lt;&gt;"",AH160="",AG160=""),DATE(YEAR(AR160)+Menu!$E$13,MONTH(AR160)+Menu!$E$14,1),"")</f>
        <v/>
      </c>
      <c r="AT160" s="27"/>
      <c r="AU160" s="15" t="s">
        <v>138</v>
      </c>
      <c r="AV160" s="15" t="s">
        <v>138</v>
      </c>
      <c r="AW160" s="15" t="s">
        <v>138</v>
      </c>
      <c r="AX160" s="15" t="s">
        <v>138</v>
      </c>
      <c r="AY160" s="15" t="s">
        <v>138</v>
      </c>
      <c r="AZ160" s="15" t="s">
        <v>138</v>
      </c>
      <c r="BA160" s="15" t="s">
        <v>138</v>
      </c>
      <c r="BB160" s="15" t="s">
        <v>138</v>
      </c>
      <c r="BC160" s="15" t="s">
        <v>138</v>
      </c>
      <c r="BD160" s="15" t="s">
        <v>138</v>
      </c>
      <c r="BE160" s="15" t="s">
        <v>138</v>
      </c>
      <c r="BF160" s="15" t="s">
        <v>138</v>
      </c>
      <c r="BG160" s="15" t="s">
        <v>138</v>
      </c>
      <c r="BH160" s="15" t="s">
        <v>130</v>
      </c>
      <c r="BI160" s="15" t="s">
        <v>130</v>
      </c>
      <c r="BJ160" s="15" t="s">
        <v>130</v>
      </c>
      <c r="BK160" s="15" t="s">
        <v>130</v>
      </c>
      <c r="BL160" s="131" t="s">
        <v>130</v>
      </c>
      <c r="BM160" t="s">
        <v>130</v>
      </c>
      <c r="BN160" t="s">
        <v>130</v>
      </c>
      <c r="BO160" t="s">
        <v>130</v>
      </c>
      <c r="BP160" t="s">
        <v>130</v>
      </c>
      <c r="BQ160" t="s">
        <v>130</v>
      </c>
      <c r="BR160" t="s">
        <v>130</v>
      </c>
      <c r="BS160" t="s">
        <v>130</v>
      </c>
      <c r="BT160" t="s">
        <v>130</v>
      </c>
      <c r="BU160" t="s">
        <v>130</v>
      </c>
      <c r="BV160" t="s">
        <v>130</v>
      </c>
      <c r="BW160" t="s">
        <v>130</v>
      </c>
      <c r="BX160" t="s">
        <v>130</v>
      </c>
      <c r="BY160" s="56">
        <v>0</v>
      </c>
      <c r="BZ160" s="56">
        <v>0</v>
      </c>
      <c r="CA160" s="56">
        <v>0</v>
      </c>
      <c r="CB160" s="56">
        <v>0</v>
      </c>
      <c r="CC160" s="56">
        <v>0</v>
      </c>
      <c r="CD160" s="56">
        <v>0</v>
      </c>
      <c r="CE160" s="56">
        <v>0</v>
      </c>
      <c r="CF160" s="56">
        <v>0</v>
      </c>
      <c r="CG160" s="56">
        <v>0</v>
      </c>
      <c r="CH160" s="56">
        <v>0</v>
      </c>
      <c r="CI160" s="56">
        <v>0</v>
      </c>
      <c r="CJ160" s="56">
        <v>0</v>
      </c>
      <c r="CK160" s="56">
        <v>0</v>
      </c>
    </row>
    <row r="161" spans="1:89" ht="13" x14ac:dyDescent="0.3">
      <c r="A161" s="135" t="s">
        <v>98</v>
      </c>
      <c r="B161" s="134">
        <v>106170</v>
      </c>
      <c r="C161" s="135" t="s">
        <v>196</v>
      </c>
      <c r="D161" s="136">
        <v>22880</v>
      </c>
      <c r="E161" s="136">
        <v>46630</v>
      </c>
      <c r="F161" s="135" t="s">
        <v>173</v>
      </c>
      <c r="G161" s="135"/>
      <c r="H161" s="135"/>
      <c r="I161" s="137">
        <v>372</v>
      </c>
      <c r="J161" s="137">
        <v>1</v>
      </c>
      <c r="K161" s="137">
        <v>0</v>
      </c>
      <c r="L161" s="137">
        <v>0</v>
      </c>
      <c r="M161" s="137">
        <v>0</v>
      </c>
      <c r="N161" s="137">
        <v>0</v>
      </c>
      <c r="O161" s="138">
        <v>1</v>
      </c>
      <c r="P161" s="147">
        <v>302613.5</v>
      </c>
      <c r="Q161" s="139">
        <v>1</v>
      </c>
      <c r="R161" s="139">
        <v>0</v>
      </c>
      <c r="S161" s="139">
        <v>0</v>
      </c>
      <c r="T161" s="140"/>
      <c r="U161" s="139">
        <v>0</v>
      </c>
      <c r="V161" s="141"/>
      <c r="W161" s="141">
        <v>1</v>
      </c>
      <c r="X161" s="24"/>
      <c r="Y161" s="24">
        <v>36434</v>
      </c>
      <c r="Z161" s="24"/>
      <c r="AA161" s="24"/>
      <c r="AB161" s="24">
        <v>39358</v>
      </c>
      <c r="AC161" s="24"/>
      <c r="AD161" s="24"/>
      <c r="AE161" s="24"/>
      <c r="AF161" s="24"/>
      <c r="AG161" s="24"/>
      <c r="AH161" s="31"/>
      <c r="AI161" s="46" t="str">
        <f t="shared" si="16"/>
        <v/>
      </c>
      <c r="AJ161" s="27"/>
      <c r="AK161" s="27"/>
      <c r="AL161" s="27"/>
      <c r="AM161" s="27"/>
      <c r="AN161" s="27"/>
      <c r="AO161" s="27"/>
      <c r="AP161" s="27"/>
      <c r="AQ161" s="29" t="str">
        <f>IF(AND(AD161&lt;&gt;"",AF161="",AG161=""),DATE(YEAR(AD161)+Menu!$E$10,MONTH(AD161)+Menu!$E$11,1),"")</f>
        <v/>
      </c>
      <c r="AR161" s="29" t="str">
        <f t="shared" si="17"/>
        <v/>
      </c>
      <c r="AS161" s="27" t="str">
        <f>IF(AND(AR161&lt;&gt;"",AH161="",AG161=""),DATE(YEAR(AR161)+Menu!$E$13,MONTH(AR161)+Menu!$E$14,1),"")</f>
        <v/>
      </c>
      <c r="AT161" s="27"/>
      <c r="AU161" s="16" t="s">
        <v>129</v>
      </c>
      <c r="AV161" s="16" t="s">
        <v>129</v>
      </c>
      <c r="AW161" s="16" t="s">
        <v>129</v>
      </c>
      <c r="AX161" s="16" t="s">
        <v>129</v>
      </c>
      <c r="AY161" s="16" t="s">
        <v>129</v>
      </c>
      <c r="AZ161" s="16" t="s">
        <v>131</v>
      </c>
      <c r="BA161" s="16" t="s">
        <v>131</v>
      </c>
      <c r="BB161" s="16" t="s">
        <v>131</v>
      </c>
      <c r="BC161" s="16" t="s">
        <v>131</v>
      </c>
      <c r="BD161" s="16" t="s">
        <v>131</v>
      </c>
      <c r="BE161" s="16" t="s">
        <v>131</v>
      </c>
      <c r="BF161" s="16" t="s">
        <v>131</v>
      </c>
      <c r="BG161" s="16" t="s">
        <v>131</v>
      </c>
      <c r="BH161" s="16" t="s">
        <v>131</v>
      </c>
      <c r="BI161" s="16" t="s">
        <v>131</v>
      </c>
      <c r="BJ161" s="15" t="s">
        <v>131</v>
      </c>
      <c r="BK161" s="15" t="s">
        <v>131</v>
      </c>
      <c r="BL161" s="131" t="s">
        <v>131</v>
      </c>
      <c r="BM161" t="s">
        <v>131</v>
      </c>
      <c r="BN161" t="s">
        <v>131</v>
      </c>
      <c r="BO161" t="s">
        <v>131</v>
      </c>
      <c r="BP161" t="s">
        <v>131</v>
      </c>
      <c r="BQ161" t="s">
        <v>131</v>
      </c>
      <c r="BR161" t="s">
        <v>131</v>
      </c>
      <c r="BS161" t="s">
        <v>131</v>
      </c>
      <c r="BT161" t="s">
        <v>131</v>
      </c>
      <c r="BU161" t="s">
        <v>138</v>
      </c>
      <c r="BV161" t="s">
        <v>138</v>
      </c>
      <c r="BW161" t="s">
        <v>138</v>
      </c>
      <c r="BX161" t="s">
        <v>138</v>
      </c>
      <c r="BY161" s="56">
        <v>302613.5</v>
      </c>
      <c r="BZ161" s="56">
        <v>302613.5</v>
      </c>
      <c r="CA161" s="56">
        <v>302613.5</v>
      </c>
      <c r="CB161" s="56">
        <v>302613.5</v>
      </c>
      <c r="CC161" s="56">
        <v>302613.5</v>
      </c>
      <c r="CD161" s="56">
        <v>302613.5</v>
      </c>
      <c r="CE161" s="56">
        <v>302613.5</v>
      </c>
      <c r="CF161" s="56">
        <v>302613.5</v>
      </c>
      <c r="CG161" s="56">
        <v>201742.33333333334</v>
      </c>
      <c r="CH161" s="56">
        <v>0</v>
      </c>
      <c r="CI161" s="56">
        <v>0</v>
      </c>
      <c r="CJ161" s="56">
        <v>0</v>
      </c>
      <c r="CK161" s="56">
        <v>0</v>
      </c>
    </row>
    <row r="162" spans="1:89" ht="13" x14ac:dyDescent="0.3">
      <c r="A162" s="135" t="s">
        <v>99</v>
      </c>
      <c r="B162" s="134">
        <v>161458</v>
      </c>
      <c r="C162" s="135" t="s">
        <v>201</v>
      </c>
      <c r="D162" s="136">
        <v>27602</v>
      </c>
      <c r="E162" s="136">
        <v>50982</v>
      </c>
      <c r="F162" s="135" t="s">
        <v>172</v>
      </c>
      <c r="G162" s="135">
        <v>2008</v>
      </c>
      <c r="H162" s="135" t="s">
        <v>133</v>
      </c>
      <c r="I162" s="137">
        <v>881</v>
      </c>
      <c r="J162" s="137">
        <v>0</v>
      </c>
      <c r="K162" s="137">
        <v>0</v>
      </c>
      <c r="L162" s="137">
        <v>0</v>
      </c>
      <c r="M162" s="137">
        <v>0</v>
      </c>
      <c r="N162" s="137">
        <v>1</v>
      </c>
      <c r="O162" s="138">
        <v>0</v>
      </c>
      <c r="P162" s="147">
        <v>747306.75</v>
      </c>
      <c r="Q162" s="139">
        <v>1</v>
      </c>
      <c r="R162" s="139">
        <v>1</v>
      </c>
      <c r="S162" s="139">
        <v>0</v>
      </c>
      <c r="T162" s="140"/>
      <c r="U162" s="139">
        <v>0</v>
      </c>
      <c r="V162" s="141"/>
      <c r="W162" s="141">
        <v>1</v>
      </c>
      <c r="X162" s="24"/>
      <c r="Y162" s="24"/>
      <c r="Z162" s="24"/>
      <c r="AA162" s="24"/>
      <c r="AB162" s="24"/>
      <c r="AC162" s="24"/>
      <c r="AD162" s="24">
        <v>39630</v>
      </c>
      <c r="AE162" s="24"/>
      <c r="AF162" s="24">
        <v>42278</v>
      </c>
      <c r="AG162" s="24"/>
      <c r="AH162" s="31"/>
      <c r="AI162" s="46" t="str">
        <f t="shared" si="16"/>
        <v/>
      </c>
      <c r="AJ162" s="27"/>
      <c r="AK162" s="27"/>
      <c r="AL162" s="27"/>
      <c r="AM162" s="27"/>
      <c r="AN162" s="27"/>
      <c r="AO162" s="27"/>
      <c r="AP162" s="27"/>
      <c r="AQ162" s="29" t="str">
        <f>IF(AND(AD162&lt;&gt;"",AF162="",AG162=""),DATE(YEAR(AD162)+Menu!$E$10,MONTH(AD162)+Menu!$E$11,1),"")</f>
        <v/>
      </c>
      <c r="AR162" s="29">
        <f t="shared" si="17"/>
        <v>42278</v>
      </c>
      <c r="AS162" s="27">
        <f>IF(AND(AR162&lt;&gt;"",AH162="",AG162=""),DATE(YEAR(AR162)+Menu!$E$13,MONTH(AR162)+Menu!$E$14,1),"")</f>
        <v>44743</v>
      </c>
      <c r="AT162" s="27"/>
      <c r="AU162" s="15" t="s">
        <v>138</v>
      </c>
      <c r="AV162" s="15" t="s">
        <v>138</v>
      </c>
      <c r="AW162" s="16" t="s">
        <v>138</v>
      </c>
      <c r="AX162" s="15" t="s">
        <v>138</v>
      </c>
      <c r="AY162" s="15" t="s">
        <v>138</v>
      </c>
      <c r="AZ162" s="15" t="s">
        <v>138</v>
      </c>
      <c r="BA162" s="16" t="s">
        <v>133</v>
      </c>
      <c r="BB162" s="16" t="s">
        <v>133</v>
      </c>
      <c r="BC162" s="16" t="s">
        <v>133</v>
      </c>
      <c r="BD162" s="16" t="s">
        <v>133</v>
      </c>
      <c r="BE162" s="16" t="s">
        <v>133</v>
      </c>
      <c r="BF162" s="16" t="s">
        <v>133</v>
      </c>
      <c r="BG162" s="16" t="s">
        <v>133</v>
      </c>
      <c r="BH162" s="16" t="s">
        <v>134</v>
      </c>
      <c r="BI162" s="16" t="s">
        <v>134</v>
      </c>
      <c r="BJ162" s="15" t="s">
        <v>134</v>
      </c>
      <c r="BK162" s="15" t="s">
        <v>134</v>
      </c>
      <c r="BL162" s="131" t="s">
        <v>134</v>
      </c>
      <c r="BM162" t="s">
        <v>134</v>
      </c>
      <c r="BN162" t="s">
        <v>134</v>
      </c>
      <c r="BO162" t="s">
        <v>135</v>
      </c>
      <c r="BP162" t="s">
        <v>135</v>
      </c>
      <c r="BQ162" t="s">
        <v>135</v>
      </c>
      <c r="BR162" t="s">
        <v>135</v>
      </c>
      <c r="BS162" t="s">
        <v>135</v>
      </c>
      <c r="BT162" t="s">
        <v>135</v>
      </c>
      <c r="BU162" t="s">
        <v>135</v>
      </c>
      <c r="BV162" t="s">
        <v>135</v>
      </c>
      <c r="BW162" t="s">
        <v>135</v>
      </c>
      <c r="BX162" t="s">
        <v>135</v>
      </c>
      <c r="BY162" s="56">
        <v>747306.75</v>
      </c>
      <c r="BZ162" s="56">
        <v>721188</v>
      </c>
      <c r="CA162" s="56">
        <v>721188</v>
      </c>
      <c r="CB162" s="56">
        <v>749106.75</v>
      </c>
      <c r="CC162" s="56">
        <v>804944.25</v>
      </c>
      <c r="CD162" s="56">
        <v>860781.75</v>
      </c>
      <c r="CE162" s="56">
        <v>916619.25</v>
      </c>
      <c r="CF162" s="56">
        <v>972456.75</v>
      </c>
      <c r="CG162" s="56">
        <v>1000375</v>
      </c>
      <c r="CH162" s="56">
        <v>1000375</v>
      </c>
      <c r="CI162" s="56">
        <v>1000375</v>
      </c>
      <c r="CJ162" s="56">
        <v>1000375</v>
      </c>
      <c r="CK162" s="56">
        <v>1000375</v>
      </c>
    </row>
    <row r="163" spans="1:89" ht="13" x14ac:dyDescent="0.3">
      <c r="A163" s="135" t="s">
        <v>100</v>
      </c>
      <c r="B163" s="134">
        <v>106186</v>
      </c>
      <c r="C163" s="135" t="s">
        <v>200</v>
      </c>
      <c r="D163" s="136">
        <v>18530</v>
      </c>
      <c r="E163" s="136">
        <v>42277</v>
      </c>
      <c r="F163" s="135" t="s">
        <v>173</v>
      </c>
      <c r="G163" s="135"/>
      <c r="H163" s="135"/>
      <c r="I163" s="137">
        <v>822</v>
      </c>
      <c r="J163" s="137">
        <v>0</v>
      </c>
      <c r="K163" s="137">
        <v>0</v>
      </c>
      <c r="L163" s="137">
        <v>0</v>
      </c>
      <c r="M163" s="137">
        <v>1</v>
      </c>
      <c r="N163" s="137">
        <v>0</v>
      </c>
      <c r="O163" s="138">
        <v>0</v>
      </c>
      <c r="P163" s="147">
        <v>0</v>
      </c>
      <c r="Q163" s="139">
        <v>0</v>
      </c>
      <c r="R163" s="139">
        <v>0</v>
      </c>
      <c r="S163" s="139">
        <v>0</v>
      </c>
      <c r="T163" s="140"/>
      <c r="U163" s="139">
        <v>0</v>
      </c>
      <c r="V163" s="141"/>
      <c r="W163" s="141">
        <v>0</v>
      </c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31"/>
      <c r="AI163" s="46">
        <f t="shared" si="16"/>
        <v>2015</v>
      </c>
      <c r="AJ163" s="27"/>
      <c r="AK163" s="27"/>
      <c r="AL163" s="27"/>
      <c r="AM163" s="27"/>
      <c r="AN163" s="27"/>
      <c r="AO163" s="27"/>
      <c r="AP163" s="27"/>
      <c r="AQ163" s="29" t="str">
        <f>IF(AND(AD163&lt;&gt;"",AF163="",AG163=""),DATE(YEAR(AD163)+Menu!$E$10,MONTH(AD163)+Menu!$E$11,1),"")</f>
        <v/>
      </c>
      <c r="AR163" s="29" t="str">
        <f t="shared" si="17"/>
        <v/>
      </c>
      <c r="AS163" s="27" t="str">
        <f>IF(AND(AR163&lt;&gt;"",AH163="",AG163=""),DATE(YEAR(AR163)+Menu!$E$13,MONTH(AR163)+Menu!$E$14,1),"")</f>
        <v/>
      </c>
      <c r="AT163" s="27"/>
      <c r="AU163" s="16" t="s">
        <v>131</v>
      </c>
      <c r="AV163" s="16" t="s">
        <v>135</v>
      </c>
      <c r="AW163" s="16" t="s">
        <v>135</v>
      </c>
      <c r="AX163" s="16" t="s">
        <v>135</v>
      </c>
      <c r="AY163" s="16" t="s">
        <v>135</v>
      </c>
      <c r="AZ163" s="16" t="s">
        <v>135</v>
      </c>
      <c r="BA163" s="16" t="s">
        <v>135</v>
      </c>
      <c r="BB163" s="16" t="s">
        <v>135</v>
      </c>
      <c r="BC163" s="16" t="s">
        <v>135</v>
      </c>
      <c r="BD163" s="16" t="s">
        <v>135</v>
      </c>
      <c r="BE163" s="16" t="s">
        <v>135</v>
      </c>
      <c r="BF163" s="16" t="s">
        <v>135</v>
      </c>
      <c r="BG163" s="16" t="s">
        <v>135</v>
      </c>
      <c r="BH163" s="16" t="s">
        <v>136</v>
      </c>
      <c r="BI163" s="16" t="s">
        <v>136</v>
      </c>
      <c r="BJ163" s="15" t="s">
        <v>136</v>
      </c>
      <c r="BK163" s="15" t="s">
        <v>136</v>
      </c>
      <c r="BL163" s="131"/>
      <c r="BY163" s="56">
        <v>0</v>
      </c>
      <c r="BZ163" s="56"/>
      <c r="CA163" s="56"/>
      <c r="CB163" s="56"/>
      <c r="CC163" s="56"/>
      <c r="CD163" s="56"/>
      <c r="CE163" s="56"/>
      <c r="CF163" s="56"/>
      <c r="CG163" s="56"/>
      <c r="CH163" s="56"/>
      <c r="CI163" s="56"/>
      <c r="CJ163" s="56"/>
      <c r="CK163" s="56"/>
    </row>
    <row r="164" spans="1:89" ht="13" x14ac:dyDescent="0.3">
      <c r="A164" s="135" t="s">
        <v>240</v>
      </c>
      <c r="B164" s="134">
        <v>283343</v>
      </c>
      <c r="C164" s="135" t="s">
        <v>197</v>
      </c>
      <c r="D164" s="136">
        <v>28610</v>
      </c>
      <c r="E164" s="136">
        <v>52351</v>
      </c>
      <c r="F164" s="135" t="s">
        <v>173</v>
      </c>
      <c r="G164" s="135">
        <v>2017</v>
      </c>
      <c r="H164" s="135" t="s">
        <v>135</v>
      </c>
      <c r="I164" s="137">
        <v>305</v>
      </c>
      <c r="J164" s="137">
        <v>0</v>
      </c>
      <c r="K164" s="137">
        <v>1</v>
      </c>
      <c r="L164" s="137">
        <v>0</v>
      </c>
      <c r="M164" s="137">
        <v>0</v>
      </c>
      <c r="N164" s="137">
        <v>0</v>
      </c>
      <c r="O164" s="138">
        <v>0</v>
      </c>
      <c r="P164" s="147">
        <v>1110492</v>
      </c>
      <c r="Q164" s="139">
        <v>1</v>
      </c>
      <c r="R164" s="139">
        <v>0</v>
      </c>
      <c r="S164" s="139">
        <v>0</v>
      </c>
      <c r="T164" s="140"/>
      <c r="U164" s="139">
        <v>0</v>
      </c>
      <c r="V164" s="141"/>
      <c r="W164" s="141">
        <v>1</v>
      </c>
      <c r="X164" s="24"/>
      <c r="Y164" s="24"/>
      <c r="Z164" s="24"/>
      <c r="AA164" s="24"/>
      <c r="AB164" s="24"/>
      <c r="AC164" s="24"/>
      <c r="AD164" s="24"/>
      <c r="AE164" s="24"/>
      <c r="AF164" s="24"/>
      <c r="AG164" s="24">
        <v>43040</v>
      </c>
      <c r="AH164" s="31"/>
      <c r="AI164" s="46" t="str">
        <f t="shared" si="16"/>
        <v/>
      </c>
      <c r="AJ164" s="27"/>
      <c r="AK164" s="27"/>
      <c r="AL164" s="27"/>
      <c r="AM164" s="27"/>
      <c r="AN164" s="27"/>
      <c r="AO164" s="27"/>
      <c r="AP164" s="27"/>
      <c r="AQ164" s="29" t="str">
        <f>IF(AND(AD164&lt;&gt;"",AF164="",AG164=""),DATE(YEAR(AD164)+Menu!$E$10,MONTH(AD164)+Menu!$E$11,1),"")</f>
        <v/>
      </c>
      <c r="AR164" s="29" t="str">
        <f t="shared" si="17"/>
        <v/>
      </c>
      <c r="AS164" s="27" t="str">
        <f>IF(AND(AR164&lt;&gt;"",AH164="",AG164=""),DATE(YEAR(AR164)+Menu!$E$13,MONTH(AR164)+Menu!$E$14,1),"")</f>
        <v/>
      </c>
      <c r="AT164" s="27"/>
      <c r="AU164" s="15" t="s">
        <v>138</v>
      </c>
      <c r="AV164" s="15" t="s">
        <v>138</v>
      </c>
      <c r="AW164" s="15" t="s">
        <v>138</v>
      </c>
      <c r="AX164" s="15" t="s">
        <v>138</v>
      </c>
      <c r="AY164" s="15" t="s">
        <v>138</v>
      </c>
      <c r="AZ164" s="15" t="s">
        <v>138</v>
      </c>
      <c r="BA164" s="15" t="s">
        <v>138</v>
      </c>
      <c r="BB164" s="15" t="s">
        <v>138</v>
      </c>
      <c r="BC164" s="15" t="s">
        <v>138</v>
      </c>
      <c r="BD164" s="15" t="s">
        <v>138</v>
      </c>
      <c r="BE164" s="15" t="s">
        <v>138</v>
      </c>
      <c r="BF164" s="15" t="s">
        <v>138</v>
      </c>
      <c r="BG164" s="15" t="s">
        <v>138</v>
      </c>
      <c r="BH164" s="15" t="s">
        <v>138</v>
      </c>
      <c r="BI164" s="15" t="s">
        <v>138</v>
      </c>
      <c r="BJ164" s="15" t="s">
        <v>135</v>
      </c>
      <c r="BK164" s="15" t="s">
        <v>135</v>
      </c>
      <c r="BL164" s="131" t="s">
        <v>135</v>
      </c>
      <c r="BM164" t="s">
        <v>135</v>
      </c>
      <c r="BN164" t="s">
        <v>135</v>
      </c>
      <c r="BO164" t="s">
        <v>135</v>
      </c>
      <c r="BP164" t="s">
        <v>135</v>
      </c>
      <c r="BQ164" t="s">
        <v>135</v>
      </c>
      <c r="BR164" t="s">
        <v>135</v>
      </c>
      <c r="BS164" t="s">
        <v>135</v>
      </c>
      <c r="BT164" t="s">
        <v>135</v>
      </c>
      <c r="BU164" t="s">
        <v>135</v>
      </c>
      <c r="BV164" t="s">
        <v>135</v>
      </c>
      <c r="BW164" t="s">
        <v>135</v>
      </c>
      <c r="BX164" t="s">
        <v>135</v>
      </c>
      <c r="BY164" s="56">
        <v>1110492</v>
      </c>
      <c r="BZ164" s="56">
        <v>1000375</v>
      </c>
      <c r="CA164" s="56">
        <v>1000375</v>
      </c>
      <c r="CB164" s="56">
        <v>1000375</v>
      </c>
      <c r="CC164" s="56">
        <v>1000375</v>
      </c>
      <c r="CD164" s="56">
        <v>1000375</v>
      </c>
      <c r="CE164" s="56">
        <v>1000375</v>
      </c>
      <c r="CF164" s="56">
        <v>1000375</v>
      </c>
      <c r="CG164" s="56">
        <v>1000375</v>
      </c>
      <c r="CH164" s="56">
        <v>1000375</v>
      </c>
      <c r="CI164" s="56">
        <v>1000375</v>
      </c>
      <c r="CJ164" s="56">
        <v>1000375</v>
      </c>
      <c r="CK164" s="56">
        <v>1000375</v>
      </c>
    </row>
    <row r="165" spans="1:89" ht="13" x14ac:dyDescent="0.3">
      <c r="A165" s="135" t="s">
        <v>101</v>
      </c>
      <c r="B165" s="134">
        <v>107144</v>
      </c>
      <c r="C165" s="135" t="s">
        <v>198</v>
      </c>
      <c r="D165" s="136">
        <v>21198</v>
      </c>
      <c r="E165" s="136">
        <v>44957</v>
      </c>
      <c r="F165" s="135" t="s">
        <v>173</v>
      </c>
      <c r="G165" s="135"/>
      <c r="H165" s="135"/>
      <c r="I165" s="137">
        <v>1032</v>
      </c>
      <c r="J165" s="137">
        <v>0</v>
      </c>
      <c r="K165" s="137">
        <v>0</v>
      </c>
      <c r="L165" s="137">
        <v>1</v>
      </c>
      <c r="M165" s="137">
        <v>0</v>
      </c>
      <c r="N165" s="137">
        <v>1</v>
      </c>
      <c r="O165" s="138">
        <v>0</v>
      </c>
      <c r="P165" s="147">
        <v>1044480</v>
      </c>
      <c r="Q165" s="139">
        <v>1</v>
      </c>
      <c r="R165" s="139">
        <v>1</v>
      </c>
      <c r="S165" s="139">
        <v>0</v>
      </c>
      <c r="T165" s="140"/>
      <c r="U165" s="139">
        <f>-U239*MONTH(E165)/12</f>
        <v>-14128.945833333333</v>
      </c>
      <c r="V165" s="141">
        <v>2023</v>
      </c>
      <c r="W165" s="141">
        <v>1</v>
      </c>
      <c r="X165" s="24"/>
      <c r="Y165" s="24"/>
      <c r="Z165" s="24"/>
      <c r="AA165" s="24"/>
      <c r="AB165" s="24"/>
      <c r="AC165" s="24"/>
      <c r="AD165" s="24"/>
      <c r="AE165" s="24">
        <v>34121</v>
      </c>
      <c r="AF165" s="24">
        <v>35612</v>
      </c>
      <c r="AG165" s="24">
        <v>36831</v>
      </c>
      <c r="AH165" s="31"/>
      <c r="AI165" s="46" t="str">
        <f t="shared" si="16"/>
        <v/>
      </c>
      <c r="AJ165" s="27"/>
      <c r="AK165" s="27"/>
      <c r="AL165" s="27"/>
      <c r="AM165" s="27"/>
      <c r="AN165" s="27"/>
      <c r="AO165" s="27"/>
      <c r="AP165" s="27"/>
      <c r="AQ165" s="29" t="str">
        <f>IF(AND(AD165&lt;&gt;"",AF165="",AG165=""),DATE(YEAR(AD165)+Menu!$E$10,MONTH(AD165)+Menu!$E$11,1),"")</f>
        <v/>
      </c>
      <c r="AR165" s="29">
        <f t="shared" si="17"/>
        <v>35612</v>
      </c>
      <c r="AS165" s="27" t="str">
        <f>IF(AND(AR165&lt;&gt;"",AH165="",AG165=""),DATE(YEAR(AR165)+Menu!$E$13,MONTH(AR165)+Menu!$E$14,1),"")</f>
        <v/>
      </c>
      <c r="AT165" s="27"/>
      <c r="AU165" s="16" t="s">
        <v>135</v>
      </c>
      <c r="AV165" s="16" t="s">
        <v>135</v>
      </c>
      <c r="AW165" s="16" t="s">
        <v>135</v>
      </c>
      <c r="AX165" s="16" t="s">
        <v>135</v>
      </c>
      <c r="AY165" s="16" t="s">
        <v>135</v>
      </c>
      <c r="AZ165" s="16" t="s">
        <v>135</v>
      </c>
      <c r="BA165" s="16" t="s">
        <v>135</v>
      </c>
      <c r="BB165" s="16" t="s">
        <v>135</v>
      </c>
      <c r="BC165" s="16" t="s">
        <v>135</v>
      </c>
      <c r="BD165" s="16" t="s">
        <v>135</v>
      </c>
      <c r="BE165" s="16" t="s">
        <v>135</v>
      </c>
      <c r="BF165" s="16" t="s">
        <v>135</v>
      </c>
      <c r="BG165" s="16" t="s">
        <v>135</v>
      </c>
      <c r="BH165" s="16" t="s">
        <v>135</v>
      </c>
      <c r="BI165" s="16" t="s">
        <v>135</v>
      </c>
      <c r="BJ165" s="15" t="s">
        <v>135</v>
      </c>
      <c r="BK165" s="15" t="s">
        <v>135</v>
      </c>
      <c r="BL165" s="131" t="s">
        <v>135</v>
      </c>
      <c r="BM165" t="s">
        <v>135</v>
      </c>
      <c r="BN165" t="s">
        <v>135</v>
      </c>
      <c r="BO165" t="s">
        <v>135</v>
      </c>
      <c r="BP165" t="s">
        <v>138</v>
      </c>
      <c r="BQ165" t="s">
        <v>138</v>
      </c>
      <c r="BR165" t="s">
        <v>138</v>
      </c>
      <c r="BS165" t="s">
        <v>138</v>
      </c>
      <c r="BT165" t="s">
        <v>138</v>
      </c>
      <c r="BU165" t="s">
        <v>138</v>
      </c>
      <c r="BV165" t="s">
        <v>138</v>
      </c>
      <c r="BW165" t="s">
        <v>138</v>
      </c>
      <c r="BX165" t="s">
        <v>138</v>
      </c>
      <c r="BY165" s="56">
        <v>1044480</v>
      </c>
      <c r="BZ165" s="56">
        <v>1000375</v>
      </c>
      <c r="CA165" s="56">
        <v>1000375</v>
      </c>
      <c r="CB165" s="56">
        <v>1000375</v>
      </c>
      <c r="CC165" s="56">
        <v>69235.637499999997</v>
      </c>
      <c r="CD165" s="56">
        <v>0</v>
      </c>
      <c r="CE165" s="56">
        <v>0</v>
      </c>
      <c r="CF165" s="56">
        <v>0</v>
      </c>
      <c r="CG165" s="56">
        <v>0</v>
      </c>
      <c r="CH165" s="56">
        <v>0</v>
      </c>
      <c r="CI165" s="56">
        <v>0</v>
      </c>
      <c r="CJ165" s="56">
        <v>0</v>
      </c>
      <c r="CK165" s="56">
        <v>0</v>
      </c>
    </row>
    <row r="166" spans="1:89" ht="13" x14ac:dyDescent="0.3">
      <c r="A166" s="135" t="s">
        <v>309</v>
      </c>
      <c r="B166" s="134">
        <v>107144</v>
      </c>
      <c r="C166" s="135" t="s">
        <v>198</v>
      </c>
      <c r="D166" s="136">
        <v>43101</v>
      </c>
      <c r="E166" s="136">
        <v>73050</v>
      </c>
      <c r="F166" s="135" t="s">
        <v>173</v>
      </c>
      <c r="G166" s="135"/>
      <c r="H166" s="135"/>
      <c r="I166" s="137">
        <v>1036</v>
      </c>
      <c r="J166" s="137">
        <v>0</v>
      </c>
      <c r="K166" s="137">
        <v>0</v>
      </c>
      <c r="L166" s="137">
        <v>1</v>
      </c>
      <c r="M166" s="137">
        <v>0</v>
      </c>
      <c r="N166" s="137">
        <v>1</v>
      </c>
      <c r="O166" s="138">
        <v>0</v>
      </c>
      <c r="P166" s="147">
        <v>5000</v>
      </c>
      <c r="Q166" s="139">
        <v>1</v>
      </c>
      <c r="R166" s="139">
        <v>0</v>
      </c>
      <c r="S166" s="139">
        <v>0</v>
      </c>
      <c r="T166" s="140"/>
      <c r="U166" s="139">
        <v>0</v>
      </c>
      <c r="V166" s="141"/>
      <c r="W166" s="141">
        <v>1</v>
      </c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31"/>
      <c r="AI166" s="46" t="str">
        <f t="shared" si="16"/>
        <v/>
      </c>
      <c r="AJ166" s="27"/>
      <c r="AK166" s="27"/>
      <c r="AL166" s="27"/>
      <c r="AM166" s="27"/>
      <c r="AN166" s="27"/>
      <c r="AO166" s="27"/>
      <c r="AP166" s="27"/>
      <c r="AQ166" s="29" t="str">
        <f>IF(AND(AD166&lt;&gt;"",AF166="",AG166=""),DATE(YEAR(AD166)+Menu!$E$10,MONTH(AD166)+Menu!$E$11,1),"")</f>
        <v/>
      </c>
      <c r="AR166" s="29" t="str">
        <f t="shared" si="17"/>
        <v/>
      </c>
      <c r="AS166" s="27" t="str">
        <f>IF(AND(AR166&lt;&gt;"",AH166="",AG166=""),DATE(YEAR(AR166)+Menu!$E$13,MONTH(AR166)+Menu!$E$14,1),"")</f>
        <v/>
      </c>
      <c r="AT166" s="27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5"/>
      <c r="BK166" s="15" t="s">
        <v>386</v>
      </c>
      <c r="BL166" s="131" t="s">
        <v>386</v>
      </c>
      <c r="BM166" t="s">
        <v>386</v>
      </c>
      <c r="BN166" t="s">
        <v>386</v>
      </c>
      <c r="BO166" t="s">
        <v>386</v>
      </c>
      <c r="BP166" t="s">
        <v>386</v>
      </c>
      <c r="BQ166" t="s">
        <v>386</v>
      </c>
      <c r="BR166" t="s">
        <v>386</v>
      </c>
      <c r="BS166" t="s">
        <v>386</v>
      </c>
      <c r="BT166" t="s">
        <v>386</v>
      </c>
      <c r="BU166" t="s">
        <v>386</v>
      </c>
      <c r="BV166" t="s">
        <v>386</v>
      </c>
      <c r="BW166" t="s">
        <v>386</v>
      </c>
      <c r="BX166" t="s">
        <v>386</v>
      </c>
      <c r="BY166" s="56">
        <v>5000</v>
      </c>
      <c r="BZ166" s="56">
        <v>5000</v>
      </c>
      <c r="CA166" s="56">
        <v>5000</v>
      </c>
      <c r="CB166" s="56">
        <v>5000</v>
      </c>
      <c r="CC166" s="56">
        <v>5000</v>
      </c>
      <c r="CD166" s="56">
        <v>5000</v>
      </c>
      <c r="CE166" s="56">
        <v>5000</v>
      </c>
      <c r="CF166" s="56">
        <v>5000</v>
      </c>
      <c r="CG166" s="56">
        <v>5000</v>
      </c>
      <c r="CH166" s="56">
        <v>5000</v>
      </c>
      <c r="CI166" s="56">
        <v>5000</v>
      </c>
      <c r="CJ166" s="56">
        <v>5000</v>
      </c>
      <c r="CK166" s="56">
        <v>5000</v>
      </c>
    </row>
    <row r="167" spans="1:89" ht="13" x14ac:dyDescent="0.3">
      <c r="A167" s="135" t="s">
        <v>194</v>
      </c>
      <c r="B167" s="134">
        <v>0</v>
      </c>
      <c r="C167" s="135" t="s">
        <v>200</v>
      </c>
      <c r="D167" s="136">
        <v>13941</v>
      </c>
      <c r="E167" s="136">
        <v>37711</v>
      </c>
      <c r="F167" s="135" t="s">
        <v>173</v>
      </c>
      <c r="G167" s="135"/>
      <c r="H167" s="135"/>
      <c r="I167" s="137">
        <v>0</v>
      </c>
      <c r="J167" s="137">
        <v>0</v>
      </c>
      <c r="K167" s="137">
        <v>0</v>
      </c>
      <c r="L167" s="137">
        <v>0</v>
      </c>
      <c r="M167" s="137">
        <v>1</v>
      </c>
      <c r="N167" s="137">
        <v>0</v>
      </c>
      <c r="O167" s="138">
        <v>0</v>
      </c>
      <c r="P167" s="147">
        <v>0</v>
      </c>
      <c r="Q167" s="139">
        <v>0</v>
      </c>
      <c r="R167" s="139">
        <v>0</v>
      </c>
      <c r="S167" s="139">
        <v>0</v>
      </c>
      <c r="T167" s="140"/>
      <c r="U167" s="139">
        <v>0</v>
      </c>
      <c r="V167" s="141"/>
      <c r="W167" s="141">
        <v>0</v>
      </c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31"/>
      <c r="AI167" s="46">
        <f t="shared" si="16"/>
        <v>2003</v>
      </c>
      <c r="AJ167" s="27"/>
      <c r="AK167" s="27"/>
      <c r="AL167" s="27"/>
      <c r="AM167" s="27"/>
      <c r="AN167" s="27"/>
      <c r="AO167" s="27"/>
      <c r="AP167" s="27"/>
      <c r="AQ167" s="29" t="str">
        <f>IF(AND(AD167&lt;&gt;"",AF167="",AG167=""),DATE(YEAR(AD167)+Menu!$E$10,MONTH(AD167)+Menu!$E$11,1),"")</f>
        <v/>
      </c>
      <c r="AR167" s="29" t="str">
        <f t="shared" si="17"/>
        <v/>
      </c>
      <c r="AS167" s="27" t="str">
        <f>IF(AND(AR167&lt;&gt;"",AH167="",AG167=""),DATE(YEAR(AR167)+Menu!$E$13,MONTH(AR167)+Menu!$E$14,1),"")</f>
        <v/>
      </c>
      <c r="AT167" s="27"/>
      <c r="AU167" s="15" t="s">
        <v>135</v>
      </c>
      <c r="AV167" s="15" t="s">
        <v>136</v>
      </c>
      <c r="AW167" s="16" t="s">
        <v>136</v>
      </c>
      <c r="AX167" s="15" t="s">
        <v>136</v>
      </c>
      <c r="AY167" s="15" t="s">
        <v>136</v>
      </c>
      <c r="AZ167" s="15" t="s">
        <v>136</v>
      </c>
      <c r="BA167" s="15" t="s">
        <v>136</v>
      </c>
      <c r="BB167" s="15" t="s">
        <v>136</v>
      </c>
      <c r="BC167" s="15" t="s">
        <v>136</v>
      </c>
      <c r="BD167" s="15" t="s">
        <v>136</v>
      </c>
      <c r="BE167" s="15" t="s">
        <v>136</v>
      </c>
      <c r="BF167" s="15" t="s">
        <v>136</v>
      </c>
      <c r="BG167" s="15" t="s">
        <v>136</v>
      </c>
      <c r="BH167" s="15" t="s">
        <v>136</v>
      </c>
      <c r="BI167" s="15" t="s">
        <v>136</v>
      </c>
      <c r="BJ167" s="15" t="s">
        <v>136</v>
      </c>
      <c r="BK167" s="15" t="s">
        <v>136</v>
      </c>
      <c r="BL167" s="131"/>
      <c r="BY167" s="56">
        <v>0</v>
      </c>
      <c r="BZ167" s="56"/>
      <c r="CA167" s="56"/>
      <c r="CB167" s="56"/>
      <c r="CC167" s="56"/>
      <c r="CD167" s="56"/>
      <c r="CE167" s="56"/>
      <c r="CF167" s="56"/>
      <c r="CG167" s="56"/>
      <c r="CH167" s="56"/>
      <c r="CI167" s="56"/>
      <c r="CJ167" s="56"/>
      <c r="CK167" s="56"/>
    </row>
    <row r="168" spans="1:89" ht="13" x14ac:dyDescent="0.3">
      <c r="A168" s="135" t="s">
        <v>102</v>
      </c>
      <c r="B168" s="134">
        <v>209207</v>
      </c>
      <c r="C168" s="135" t="s">
        <v>201</v>
      </c>
      <c r="D168" s="136">
        <v>28244</v>
      </c>
      <c r="E168" s="136">
        <v>51621</v>
      </c>
      <c r="F168" s="135" t="s">
        <v>172</v>
      </c>
      <c r="G168" s="135">
        <v>2011</v>
      </c>
      <c r="H168" s="135" t="s">
        <v>133</v>
      </c>
      <c r="I168" s="137">
        <v>890</v>
      </c>
      <c r="J168" s="137">
        <v>0</v>
      </c>
      <c r="K168" s="137">
        <v>0</v>
      </c>
      <c r="L168" s="137">
        <v>0</v>
      </c>
      <c r="M168" s="137">
        <v>1</v>
      </c>
      <c r="N168" s="137">
        <v>1</v>
      </c>
      <c r="O168" s="138">
        <v>0</v>
      </c>
      <c r="P168" s="147">
        <v>339190.25</v>
      </c>
      <c r="Q168" s="139">
        <v>1</v>
      </c>
      <c r="R168" s="139">
        <v>0</v>
      </c>
      <c r="S168" s="139">
        <v>408000</v>
      </c>
      <c r="T168" s="140">
        <v>45017</v>
      </c>
      <c r="U168" s="139">
        <v>0</v>
      </c>
      <c r="V168" s="141"/>
      <c r="W168" s="141">
        <v>1</v>
      </c>
      <c r="X168" s="24"/>
      <c r="Y168" s="24"/>
      <c r="Z168" s="24"/>
      <c r="AA168" s="24"/>
      <c r="AB168" s="24"/>
      <c r="AC168" s="24"/>
      <c r="AD168" s="24">
        <v>40634</v>
      </c>
      <c r="AE168" s="24"/>
      <c r="AF168" s="24">
        <v>42095</v>
      </c>
      <c r="AG168" s="24"/>
      <c r="AH168" s="31">
        <v>43831</v>
      </c>
      <c r="AI168" s="46" t="str">
        <f t="shared" si="16"/>
        <v/>
      </c>
      <c r="AJ168" s="27"/>
      <c r="AK168" s="27"/>
      <c r="AL168" s="27"/>
      <c r="AM168" s="27"/>
      <c r="AN168" s="27"/>
      <c r="AO168" s="27"/>
      <c r="AP168" s="27"/>
      <c r="AQ168" s="29" t="str">
        <f>IF(AND(AD168&lt;&gt;"",AF168="",AG168=""),DATE(YEAR(AD168)+Menu!$E$10,MONTH(AD168)+Menu!$E$11,1),"")</f>
        <v/>
      </c>
      <c r="AR168" s="29">
        <f t="shared" si="17"/>
        <v>42095</v>
      </c>
      <c r="AS168" s="27" t="str">
        <f>IF(AND(AR168&lt;&gt;"",AH168="",AG168=""),DATE(YEAR(AR168)+Menu!$E$13,MONTH(AR168)+Menu!$E$14,1),"")</f>
        <v/>
      </c>
      <c r="AT168" s="27"/>
      <c r="AU168" s="15" t="s">
        <v>138</v>
      </c>
      <c r="AV168" s="15" t="s">
        <v>138</v>
      </c>
      <c r="AW168" s="16" t="s">
        <v>138</v>
      </c>
      <c r="AX168" s="15" t="s">
        <v>138</v>
      </c>
      <c r="AY168" s="15" t="s">
        <v>138</v>
      </c>
      <c r="AZ168" s="15" t="s">
        <v>138</v>
      </c>
      <c r="BA168" s="15" t="s">
        <v>138</v>
      </c>
      <c r="BB168" s="15" t="s">
        <v>138</v>
      </c>
      <c r="BC168" s="15" t="s">
        <v>138</v>
      </c>
      <c r="BD168" s="16" t="s">
        <v>133</v>
      </c>
      <c r="BE168" s="16" t="s">
        <v>133</v>
      </c>
      <c r="BF168" s="16" t="s">
        <v>133</v>
      </c>
      <c r="BG168" s="16" t="s">
        <v>133</v>
      </c>
      <c r="BH168" s="16" t="s">
        <v>134</v>
      </c>
      <c r="BI168" s="16" t="s">
        <v>134</v>
      </c>
      <c r="BJ168" s="15" t="s">
        <v>134</v>
      </c>
      <c r="BK168" s="15" t="s">
        <v>134</v>
      </c>
      <c r="BL168" s="131" t="s">
        <v>135</v>
      </c>
      <c r="BM168" t="s">
        <v>135</v>
      </c>
      <c r="BN168" t="s">
        <v>135</v>
      </c>
      <c r="BO168" t="s">
        <v>135</v>
      </c>
      <c r="BP168" t="s">
        <v>135</v>
      </c>
      <c r="BQ168" t="s">
        <v>135</v>
      </c>
      <c r="BR168" t="s">
        <v>135</v>
      </c>
      <c r="BS168" t="s">
        <v>135</v>
      </c>
      <c r="BT168" t="s">
        <v>135</v>
      </c>
      <c r="BU168" t="s">
        <v>135</v>
      </c>
      <c r="BV168" t="s">
        <v>135</v>
      </c>
      <c r="BW168" t="s">
        <v>135</v>
      </c>
      <c r="BX168" t="s">
        <v>135</v>
      </c>
      <c r="BY168" s="56">
        <v>339190.25</v>
      </c>
      <c r="BZ168" s="56">
        <v>395027.75</v>
      </c>
      <c r="CA168" s="56">
        <v>450865.25</v>
      </c>
      <c r="CB168" s="56">
        <v>506702.75</v>
      </c>
      <c r="CC168" s="56">
        <v>868540.25</v>
      </c>
      <c r="CD168" s="56">
        <v>1000375</v>
      </c>
      <c r="CE168" s="56">
        <v>1000375</v>
      </c>
      <c r="CF168" s="56">
        <v>1000375</v>
      </c>
      <c r="CG168" s="56">
        <v>1000375</v>
      </c>
      <c r="CH168" s="56">
        <v>1000375</v>
      </c>
      <c r="CI168" s="56">
        <v>1000375</v>
      </c>
      <c r="CJ168" s="56">
        <v>1000375</v>
      </c>
      <c r="CK168" s="56">
        <v>1000375</v>
      </c>
    </row>
    <row r="169" spans="1:89" ht="13" x14ac:dyDescent="0.3">
      <c r="A169" s="135" t="s">
        <v>178</v>
      </c>
      <c r="B169" s="142"/>
      <c r="C169" s="135"/>
      <c r="D169" s="136">
        <v>14970</v>
      </c>
      <c r="E169" s="136">
        <v>38717</v>
      </c>
      <c r="F169" s="135" t="s">
        <v>173</v>
      </c>
      <c r="G169" s="135"/>
      <c r="H169" s="135"/>
      <c r="I169" s="137">
        <v>0</v>
      </c>
      <c r="J169" s="137">
        <v>0</v>
      </c>
      <c r="K169" s="137">
        <v>0</v>
      </c>
      <c r="L169" s="137">
        <v>0</v>
      </c>
      <c r="M169" s="137">
        <v>0</v>
      </c>
      <c r="N169" s="137">
        <v>0</v>
      </c>
      <c r="O169" s="138">
        <v>0</v>
      </c>
      <c r="P169" s="147">
        <v>0</v>
      </c>
      <c r="Q169" s="139">
        <v>0</v>
      </c>
      <c r="R169" s="139">
        <v>0</v>
      </c>
      <c r="S169" s="139">
        <v>0</v>
      </c>
      <c r="T169" s="140"/>
      <c r="U169" s="139">
        <v>0</v>
      </c>
      <c r="V169" s="141"/>
      <c r="W169" s="141">
        <v>0</v>
      </c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31"/>
      <c r="AI169" s="46">
        <f t="shared" si="16"/>
        <v>2005</v>
      </c>
      <c r="AJ169" s="27"/>
      <c r="AK169" s="27"/>
      <c r="AL169" s="27"/>
      <c r="AM169" s="27"/>
      <c r="AN169" s="27"/>
      <c r="AO169" s="27"/>
      <c r="AP169" s="27"/>
      <c r="AQ169" s="29" t="str">
        <f>IF(AND(AD169&lt;&gt;"",AF169="",AG169=""),DATE(YEAR(AD169)+Menu!$E$10,MONTH(AD169)+Menu!$E$11,1),"")</f>
        <v/>
      </c>
      <c r="AR169" s="29" t="str">
        <f t="shared" si="17"/>
        <v/>
      </c>
      <c r="AS169" s="27" t="str">
        <f>IF(AND(AR169&lt;&gt;"",AH169="",AG169=""),DATE(YEAR(AR169)+Menu!$E$13,MONTH(AR169)+Menu!$E$14,1),"")</f>
        <v/>
      </c>
      <c r="AT169" s="27"/>
      <c r="AU169" s="16" t="s">
        <v>131</v>
      </c>
      <c r="AV169" s="16" t="s">
        <v>131</v>
      </c>
      <c r="AW169" s="16" t="s">
        <v>131</v>
      </c>
      <c r="AX169" s="16" t="s">
        <v>138</v>
      </c>
      <c r="AY169" s="16" t="s">
        <v>138</v>
      </c>
      <c r="AZ169" s="16" t="s">
        <v>138</v>
      </c>
      <c r="BA169" s="16" t="s">
        <v>138</v>
      </c>
      <c r="BB169" s="16" t="s">
        <v>138</v>
      </c>
      <c r="BC169" s="16" t="s">
        <v>138</v>
      </c>
      <c r="BD169" s="16" t="s">
        <v>138</v>
      </c>
      <c r="BE169" s="16" t="s">
        <v>138</v>
      </c>
      <c r="BF169" s="16" t="s">
        <v>138</v>
      </c>
      <c r="BG169" s="16" t="s">
        <v>138</v>
      </c>
      <c r="BH169" s="16" t="s">
        <v>138</v>
      </c>
      <c r="BI169" s="16" t="s">
        <v>138</v>
      </c>
      <c r="BJ169" s="16" t="s">
        <v>138</v>
      </c>
      <c r="BK169" s="16" t="s">
        <v>138</v>
      </c>
      <c r="BL169" s="132"/>
      <c r="BY169" s="56">
        <v>0</v>
      </c>
      <c r="BZ169" s="56"/>
      <c r="CA169" s="56"/>
      <c r="CB169" s="56"/>
      <c r="CC169" s="56"/>
      <c r="CD169" s="56"/>
      <c r="CE169" s="56"/>
      <c r="CF169" s="56"/>
      <c r="CG169" s="56"/>
      <c r="CH169" s="56"/>
      <c r="CI169" s="56"/>
      <c r="CJ169" s="56"/>
      <c r="CK169" s="56"/>
    </row>
    <row r="170" spans="1:89" ht="13" x14ac:dyDescent="0.3">
      <c r="A170" s="135" t="s">
        <v>103</v>
      </c>
      <c r="B170" s="134">
        <v>106311</v>
      </c>
      <c r="C170" s="135" t="s">
        <v>196</v>
      </c>
      <c r="D170" s="136">
        <v>18642</v>
      </c>
      <c r="E170" s="136">
        <v>42400</v>
      </c>
      <c r="F170" s="135" t="s">
        <v>173</v>
      </c>
      <c r="G170" s="135"/>
      <c r="H170" s="135"/>
      <c r="I170" s="137">
        <v>420</v>
      </c>
      <c r="J170" s="137">
        <v>1</v>
      </c>
      <c r="K170" s="137">
        <v>0</v>
      </c>
      <c r="L170" s="137">
        <v>0</v>
      </c>
      <c r="M170" s="137">
        <v>0</v>
      </c>
      <c r="N170" s="137">
        <v>0</v>
      </c>
      <c r="O170" s="138">
        <v>0</v>
      </c>
      <c r="P170" s="147">
        <v>0</v>
      </c>
      <c r="Q170" s="139">
        <v>0</v>
      </c>
      <c r="R170" s="139">
        <v>0</v>
      </c>
      <c r="S170" s="139">
        <v>0</v>
      </c>
      <c r="T170" s="140"/>
      <c r="U170" s="139">
        <v>0</v>
      </c>
      <c r="V170" s="141"/>
      <c r="W170" s="141">
        <v>0</v>
      </c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31"/>
      <c r="AI170" s="46">
        <f t="shared" si="16"/>
        <v>2016</v>
      </c>
      <c r="AJ170" s="27"/>
      <c r="AK170" s="27"/>
      <c r="AL170" s="27"/>
      <c r="AM170" s="27"/>
      <c r="AN170" s="27"/>
      <c r="AO170" s="27"/>
      <c r="AP170" s="27"/>
      <c r="AQ170" s="29" t="str">
        <f>IF(AND(AD170&lt;&gt;"",AF170="",AG170=""),DATE(YEAR(AD170)+Menu!$E$10,MONTH(AD170)+Menu!$E$11,1),"")</f>
        <v/>
      </c>
      <c r="AR170" s="29" t="str">
        <f t="shared" si="17"/>
        <v/>
      </c>
      <c r="AS170" s="27" t="str">
        <f>IF(AND(AR170&lt;&gt;"",AH170="",AG170=""),DATE(YEAR(AR170)+Menu!$E$13,MONTH(AR170)+Menu!$E$14,1),"")</f>
        <v/>
      </c>
      <c r="AT170" s="27"/>
      <c r="AU170" s="16" t="s">
        <v>135</v>
      </c>
      <c r="AV170" s="16" t="s">
        <v>135</v>
      </c>
      <c r="AW170" s="16" t="s">
        <v>135</v>
      </c>
      <c r="AX170" s="16" t="s">
        <v>135</v>
      </c>
      <c r="AY170" s="16" t="s">
        <v>135</v>
      </c>
      <c r="AZ170" s="16" t="s">
        <v>135</v>
      </c>
      <c r="BA170" s="16" t="s">
        <v>135</v>
      </c>
      <c r="BB170" s="16" t="s">
        <v>135</v>
      </c>
      <c r="BC170" s="16" t="s">
        <v>135</v>
      </c>
      <c r="BD170" s="16" t="s">
        <v>135</v>
      </c>
      <c r="BE170" s="16" t="s">
        <v>135</v>
      </c>
      <c r="BF170" s="16" t="s">
        <v>135</v>
      </c>
      <c r="BG170" s="16" t="s">
        <v>135</v>
      </c>
      <c r="BH170" s="16" t="s">
        <v>135</v>
      </c>
      <c r="BI170" s="16" t="s">
        <v>136</v>
      </c>
      <c r="BJ170" s="15" t="s">
        <v>136</v>
      </c>
      <c r="BK170" s="15" t="s">
        <v>136</v>
      </c>
      <c r="BL170" s="131"/>
      <c r="BY170" s="56">
        <v>0</v>
      </c>
      <c r="BZ170" s="56"/>
      <c r="CA170" s="56"/>
      <c r="CB170" s="56"/>
      <c r="CC170" s="56"/>
      <c r="CD170" s="56"/>
      <c r="CE170" s="56"/>
      <c r="CF170" s="56"/>
      <c r="CG170" s="56"/>
      <c r="CH170" s="56"/>
      <c r="CI170" s="56"/>
      <c r="CJ170" s="56"/>
      <c r="CK170" s="56"/>
    </row>
    <row r="171" spans="1:89" ht="13" x14ac:dyDescent="0.3">
      <c r="A171" s="135" t="s">
        <v>104</v>
      </c>
      <c r="B171" s="134">
        <v>115532</v>
      </c>
      <c r="C171" s="135" t="s">
        <v>198</v>
      </c>
      <c r="D171" s="136">
        <v>18839</v>
      </c>
      <c r="E171" s="136">
        <v>42582</v>
      </c>
      <c r="F171" s="135" t="s">
        <v>173</v>
      </c>
      <c r="G171" s="135"/>
      <c r="H171" s="135"/>
      <c r="I171" s="137">
        <v>1040</v>
      </c>
      <c r="J171" s="137">
        <v>0</v>
      </c>
      <c r="K171" s="137">
        <v>0</v>
      </c>
      <c r="L171" s="137">
        <v>1</v>
      </c>
      <c r="M171" s="137">
        <v>0</v>
      </c>
      <c r="N171" s="137">
        <v>0</v>
      </c>
      <c r="O171" s="138">
        <v>0</v>
      </c>
      <c r="P171" s="147">
        <v>0</v>
      </c>
      <c r="Q171" s="139">
        <v>0</v>
      </c>
      <c r="R171" s="139">
        <v>0</v>
      </c>
      <c r="S171" s="139">
        <v>0</v>
      </c>
      <c r="T171" s="140"/>
      <c r="U171" s="139">
        <v>0</v>
      </c>
      <c r="V171" s="141"/>
      <c r="W171" s="141">
        <v>0</v>
      </c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31"/>
      <c r="AI171" s="46">
        <f t="shared" si="16"/>
        <v>2016</v>
      </c>
      <c r="AJ171" s="27"/>
      <c r="AK171" s="27"/>
      <c r="AL171" s="27"/>
      <c r="AM171" s="27"/>
      <c r="AN171" s="27"/>
      <c r="AO171" s="27"/>
      <c r="AP171" s="27"/>
      <c r="AQ171" s="29" t="str">
        <f>IF(AND(AD171&lt;&gt;"",AF171="",AG171=""),DATE(YEAR(AD171)+Menu!$E$10,MONTH(AD171)+Menu!$E$11,1),"")</f>
        <v/>
      </c>
      <c r="AR171" s="29" t="str">
        <f t="shared" si="17"/>
        <v/>
      </c>
      <c r="AS171" s="27" t="str">
        <f>IF(AND(AR171&lt;&gt;"",AH171="",AG171=""),DATE(YEAR(AR171)+Menu!$E$13,MONTH(AR171)+Menu!$E$14,1),"")</f>
        <v/>
      </c>
      <c r="AT171" s="27"/>
      <c r="AU171" s="16" t="s">
        <v>134</v>
      </c>
      <c r="AV171" s="16" t="s">
        <v>134</v>
      </c>
      <c r="AW171" s="16" t="s">
        <v>134</v>
      </c>
      <c r="AX171" s="16" t="s">
        <v>134</v>
      </c>
      <c r="AY171" s="16" t="s">
        <v>134</v>
      </c>
      <c r="AZ171" s="16" t="s">
        <v>134</v>
      </c>
      <c r="BA171" s="16" t="s">
        <v>134</v>
      </c>
      <c r="BB171" s="16" t="s">
        <v>134</v>
      </c>
      <c r="BC171" s="16" t="s">
        <v>134</v>
      </c>
      <c r="BD171" s="16" t="s">
        <v>134</v>
      </c>
      <c r="BE171" s="16" t="s">
        <v>134</v>
      </c>
      <c r="BF171" s="16" t="s">
        <v>134</v>
      </c>
      <c r="BG171" s="16" t="s">
        <v>134</v>
      </c>
      <c r="BH171" s="16" t="s">
        <v>134</v>
      </c>
      <c r="BI171" s="16" t="s">
        <v>136</v>
      </c>
      <c r="BJ171" s="15" t="s">
        <v>136</v>
      </c>
      <c r="BK171" s="15" t="s">
        <v>136</v>
      </c>
      <c r="BL171" s="131"/>
      <c r="BY171" s="56">
        <v>0</v>
      </c>
      <c r="BZ171" s="56"/>
      <c r="CA171" s="56"/>
      <c r="CB171" s="56"/>
      <c r="CC171" s="56"/>
      <c r="CD171" s="56"/>
      <c r="CE171" s="56"/>
      <c r="CF171" s="56"/>
      <c r="CG171" s="56"/>
      <c r="CH171" s="56"/>
      <c r="CI171" s="56"/>
      <c r="CJ171" s="56"/>
      <c r="CK171" s="56"/>
    </row>
    <row r="172" spans="1:89" ht="13" x14ac:dyDescent="0.3">
      <c r="A172" s="135" t="s">
        <v>221</v>
      </c>
      <c r="B172" s="142">
        <v>265227</v>
      </c>
      <c r="C172" s="135" t="s">
        <v>197</v>
      </c>
      <c r="D172" s="136">
        <v>30594</v>
      </c>
      <c r="E172" s="136">
        <v>54362</v>
      </c>
      <c r="F172" s="135" t="s">
        <v>173</v>
      </c>
      <c r="G172" s="135">
        <v>2016</v>
      </c>
      <c r="H172" s="135" t="s">
        <v>133</v>
      </c>
      <c r="I172" s="137">
        <v>365</v>
      </c>
      <c r="J172" s="137">
        <v>0</v>
      </c>
      <c r="K172" s="137">
        <v>1</v>
      </c>
      <c r="L172" s="137">
        <v>0</v>
      </c>
      <c r="M172" s="137">
        <v>0</v>
      </c>
      <c r="N172" s="137">
        <v>0</v>
      </c>
      <c r="O172" s="138">
        <v>0</v>
      </c>
      <c r="P172" s="147">
        <v>512511.00000000006</v>
      </c>
      <c r="Q172" s="139">
        <v>1</v>
      </c>
      <c r="R172" s="139">
        <v>0</v>
      </c>
      <c r="S172" s="139">
        <v>0</v>
      </c>
      <c r="T172" s="140"/>
      <c r="U172" s="139">
        <v>0</v>
      </c>
      <c r="V172" s="141"/>
      <c r="W172" s="141">
        <v>1</v>
      </c>
      <c r="X172" s="24"/>
      <c r="Y172" s="24"/>
      <c r="Z172" s="24"/>
      <c r="AA172" s="24"/>
      <c r="AB172" s="24"/>
      <c r="AC172" s="24"/>
      <c r="AD172" s="24">
        <v>42370</v>
      </c>
      <c r="AE172" s="24"/>
      <c r="AF172" s="24"/>
      <c r="AG172" s="24"/>
      <c r="AH172" s="31"/>
      <c r="AI172" s="46" t="str">
        <f t="shared" si="16"/>
        <v/>
      </c>
      <c r="AJ172" s="27"/>
      <c r="AK172" s="27"/>
      <c r="AL172" s="27"/>
      <c r="AM172" s="27"/>
      <c r="AN172" s="27"/>
      <c r="AO172" s="27"/>
      <c r="AP172" s="27"/>
      <c r="AQ172" s="29">
        <f>IF(AND(AD172&lt;&gt;"",AF172="",AG172=""),DATE(YEAR(AD172)+Menu!$E$10,MONTH(AD172)+Menu!$E$11,1),"")</f>
        <v>44835</v>
      </c>
      <c r="AR172" s="29">
        <f t="shared" si="17"/>
        <v>44835</v>
      </c>
      <c r="AS172" s="27">
        <f>IF(AND(AR172&lt;&gt;"",AH172="",AG172=""),DATE(YEAR(AR172)+Menu!$E$13,MONTH(AR172)+Menu!$E$14,1),"")</f>
        <v>47300</v>
      </c>
      <c r="AT172" s="27"/>
      <c r="AU172" s="15" t="s">
        <v>138</v>
      </c>
      <c r="AV172" s="15" t="s">
        <v>138</v>
      </c>
      <c r="AW172" s="15" t="s">
        <v>138</v>
      </c>
      <c r="AX172" s="15" t="s">
        <v>138</v>
      </c>
      <c r="AY172" s="15" t="s">
        <v>138</v>
      </c>
      <c r="AZ172" s="15" t="s">
        <v>138</v>
      </c>
      <c r="BA172" s="15" t="s">
        <v>138</v>
      </c>
      <c r="BB172" s="15" t="s">
        <v>138</v>
      </c>
      <c r="BC172" s="15" t="s">
        <v>138</v>
      </c>
      <c r="BD172" s="15" t="s">
        <v>138</v>
      </c>
      <c r="BE172" s="15" t="s">
        <v>138</v>
      </c>
      <c r="BF172" s="15" t="s">
        <v>138</v>
      </c>
      <c r="BG172" s="15" t="s">
        <v>138</v>
      </c>
      <c r="BH172" s="15" t="s">
        <v>138</v>
      </c>
      <c r="BI172" s="15" t="s">
        <v>133</v>
      </c>
      <c r="BJ172" s="15" t="s">
        <v>133</v>
      </c>
      <c r="BK172" s="15" t="s">
        <v>133</v>
      </c>
      <c r="BL172" s="131" t="s">
        <v>133</v>
      </c>
      <c r="BM172" t="s">
        <v>133</v>
      </c>
      <c r="BN172" t="s">
        <v>133</v>
      </c>
      <c r="BO172" t="s">
        <v>134</v>
      </c>
      <c r="BP172" t="s">
        <v>134</v>
      </c>
      <c r="BQ172" t="s">
        <v>134</v>
      </c>
      <c r="BR172" t="s">
        <v>134</v>
      </c>
      <c r="BS172" t="s">
        <v>134</v>
      </c>
      <c r="BT172" t="s">
        <v>134</v>
      </c>
      <c r="BU172" t="s">
        <v>134</v>
      </c>
      <c r="BV172" t="s">
        <v>135</v>
      </c>
      <c r="BW172" t="s">
        <v>135</v>
      </c>
      <c r="BX172" t="s">
        <v>135</v>
      </c>
      <c r="BY172" s="56">
        <v>512511.00000000006</v>
      </c>
      <c r="BZ172" s="56">
        <v>512511.00000000006</v>
      </c>
      <c r="CA172" s="56">
        <v>512511.00000000006</v>
      </c>
      <c r="CB172" s="56">
        <v>564680.25</v>
      </c>
      <c r="CC172" s="56">
        <v>564680.25</v>
      </c>
      <c r="CD172" s="56">
        <v>564680.25</v>
      </c>
      <c r="CE172" s="56">
        <v>564680.25</v>
      </c>
      <c r="CF172" s="56">
        <v>721188</v>
      </c>
      <c r="CG172" s="56">
        <v>721188</v>
      </c>
      <c r="CH172" s="56">
        <v>721188</v>
      </c>
      <c r="CI172" s="56">
        <v>749106.75</v>
      </c>
      <c r="CJ172" s="56">
        <v>804944.25</v>
      </c>
      <c r="CK172" s="56">
        <v>860781.75</v>
      </c>
    </row>
    <row r="173" spans="1:89" ht="13" x14ac:dyDescent="0.3">
      <c r="A173" s="135" t="s">
        <v>156</v>
      </c>
      <c r="B173" s="142">
        <v>106331</v>
      </c>
      <c r="C173" s="135" t="s">
        <v>198</v>
      </c>
      <c r="D173" s="136">
        <v>16263</v>
      </c>
      <c r="E173" s="136">
        <v>40025</v>
      </c>
      <c r="F173" s="135" t="s">
        <v>173</v>
      </c>
      <c r="G173" s="135"/>
      <c r="H173" s="135"/>
      <c r="I173" s="137">
        <v>380</v>
      </c>
      <c r="J173" s="137">
        <v>0</v>
      </c>
      <c r="K173" s="137">
        <v>0</v>
      </c>
      <c r="L173" s="137">
        <v>1</v>
      </c>
      <c r="M173" s="137">
        <v>0</v>
      </c>
      <c r="N173" s="137">
        <v>0</v>
      </c>
      <c r="O173" s="138">
        <v>0</v>
      </c>
      <c r="P173" s="147">
        <v>0</v>
      </c>
      <c r="Q173" s="139">
        <v>0</v>
      </c>
      <c r="R173" s="139">
        <v>0</v>
      </c>
      <c r="S173" s="139">
        <v>0</v>
      </c>
      <c r="T173" s="140"/>
      <c r="U173" s="139">
        <v>0</v>
      </c>
      <c r="V173" s="141"/>
      <c r="W173" s="141">
        <v>0</v>
      </c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31"/>
      <c r="AI173" s="46">
        <f t="shared" si="16"/>
        <v>2009</v>
      </c>
      <c r="AJ173" s="27"/>
      <c r="AK173" s="27"/>
      <c r="AL173" s="27"/>
      <c r="AM173" s="27"/>
      <c r="AN173" s="27"/>
      <c r="AO173" s="27"/>
      <c r="AP173" s="27"/>
      <c r="AQ173" s="29" t="str">
        <f>IF(AND(AD173&lt;&gt;"",AF173="",AG173=""),DATE(YEAR(AD173)+Menu!$E$10,MONTH(AD173)+Menu!$E$11,1),"")</f>
        <v/>
      </c>
      <c r="AR173" s="29" t="str">
        <f t="shared" si="17"/>
        <v/>
      </c>
      <c r="AS173" s="27" t="str">
        <f>IF(AND(AR173&lt;&gt;"",AH173="",AG173=""),DATE(YEAR(AR173)+Menu!$E$13,MONTH(AR173)+Menu!$E$14,1),"")</f>
        <v/>
      </c>
      <c r="AT173" s="27"/>
      <c r="AU173" s="16" t="s">
        <v>135</v>
      </c>
      <c r="AV173" s="16" t="s">
        <v>135</v>
      </c>
      <c r="AW173" s="16" t="s">
        <v>135</v>
      </c>
      <c r="AX173" s="16" t="s">
        <v>135</v>
      </c>
      <c r="AY173" s="16" t="s">
        <v>135</v>
      </c>
      <c r="AZ173" s="16" t="s">
        <v>135</v>
      </c>
      <c r="BA173" s="16" t="s">
        <v>135</v>
      </c>
      <c r="BB173" s="16" t="s">
        <v>136</v>
      </c>
      <c r="BC173" s="16" t="s">
        <v>136</v>
      </c>
      <c r="BD173" s="16" t="s">
        <v>136</v>
      </c>
      <c r="BE173" s="16" t="s">
        <v>136</v>
      </c>
      <c r="BF173" s="16" t="s">
        <v>136</v>
      </c>
      <c r="BG173" s="16" t="s">
        <v>136</v>
      </c>
      <c r="BH173" s="16" t="s">
        <v>136</v>
      </c>
      <c r="BI173" s="16" t="s">
        <v>136</v>
      </c>
      <c r="BJ173" s="15" t="s">
        <v>136</v>
      </c>
      <c r="BK173" s="15" t="s">
        <v>136</v>
      </c>
      <c r="BL173" s="131"/>
      <c r="BY173" s="56">
        <v>0</v>
      </c>
      <c r="BZ173" s="56"/>
      <c r="CA173" s="56"/>
      <c r="CB173" s="56"/>
      <c r="CC173" s="56"/>
      <c r="CD173" s="56"/>
      <c r="CE173" s="56"/>
      <c r="CF173" s="56"/>
      <c r="CG173" s="56"/>
      <c r="CH173" s="56"/>
      <c r="CI173" s="56"/>
      <c r="CJ173" s="56"/>
      <c r="CK173" s="56"/>
    </row>
    <row r="174" spans="1:89" ht="13" x14ac:dyDescent="0.3">
      <c r="A174" s="135" t="s">
        <v>105</v>
      </c>
      <c r="B174" s="134">
        <v>106334</v>
      </c>
      <c r="C174" s="135" t="s">
        <v>196</v>
      </c>
      <c r="D174" s="136">
        <v>23390</v>
      </c>
      <c r="E174" s="136">
        <v>47149</v>
      </c>
      <c r="F174" s="135" t="s">
        <v>173</v>
      </c>
      <c r="G174" s="135"/>
      <c r="H174" s="135"/>
      <c r="I174" s="137">
        <v>443</v>
      </c>
      <c r="J174" s="137">
        <v>1</v>
      </c>
      <c r="K174" s="137">
        <v>0</v>
      </c>
      <c r="L174" s="137">
        <v>0</v>
      </c>
      <c r="M174" s="137">
        <v>0</v>
      </c>
      <c r="N174" s="137">
        <v>0</v>
      </c>
      <c r="O174" s="138">
        <v>0</v>
      </c>
      <c r="P174" s="147">
        <f>(166042+177)*1.225+10000</f>
        <v>213618.27500000002</v>
      </c>
      <c r="Q174" s="139">
        <v>1</v>
      </c>
      <c r="R174" s="139">
        <v>0</v>
      </c>
      <c r="S174" s="139">
        <v>0</v>
      </c>
      <c r="T174" s="140"/>
      <c r="U174" s="139">
        <v>0</v>
      </c>
      <c r="V174" s="141"/>
      <c r="W174" s="141">
        <v>1</v>
      </c>
      <c r="X174" s="24"/>
      <c r="Y174" s="24">
        <v>38775</v>
      </c>
      <c r="Z174" s="24"/>
      <c r="AA174" s="24"/>
      <c r="AB174" s="24"/>
      <c r="AC174" s="24"/>
      <c r="AD174" s="24"/>
      <c r="AE174" s="24"/>
      <c r="AF174" s="24"/>
      <c r="AG174" s="24"/>
      <c r="AH174" s="31"/>
      <c r="AI174" s="46" t="str">
        <f t="shared" si="16"/>
        <v/>
      </c>
      <c r="AJ174" s="27"/>
      <c r="AK174" s="27"/>
      <c r="AL174" s="27"/>
      <c r="AM174" s="27"/>
      <c r="AN174" s="27"/>
      <c r="AO174" s="27"/>
      <c r="AP174" s="27"/>
      <c r="AQ174" s="29" t="str">
        <f>IF(AND(AD174&lt;&gt;"",AF174="",AG174=""),DATE(YEAR(AD174)+Menu!$E$10,MONTH(AD174)+Menu!$E$11,1),"")</f>
        <v/>
      </c>
      <c r="AR174" s="29" t="str">
        <f t="shared" si="17"/>
        <v/>
      </c>
      <c r="AS174" s="27" t="str">
        <f>IF(AND(AR174&lt;&gt;"",AH174="",AG174=""),DATE(YEAR(AR174)+Menu!$E$13,MONTH(AR174)+Menu!$E$14,1),"")</f>
        <v/>
      </c>
      <c r="AT174" s="27"/>
      <c r="AU174" s="15" t="s">
        <v>138</v>
      </c>
      <c r="AV174" s="15" t="s">
        <v>138</v>
      </c>
      <c r="AW174" s="16" t="s">
        <v>138</v>
      </c>
      <c r="AX174" s="15" t="s">
        <v>138</v>
      </c>
      <c r="AY174" s="16" t="s">
        <v>129</v>
      </c>
      <c r="AZ174" s="16" t="s">
        <v>129</v>
      </c>
      <c r="BA174" s="16" t="s">
        <v>129</v>
      </c>
      <c r="BB174" s="16" t="s">
        <v>129</v>
      </c>
      <c r="BC174" s="16" t="s">
        <v>129</v>
      </c>
      <c r="BD174" s="16" t="s">
        <v>129</v>
      </c>
      <c r="BE174" s="16" t="s">
        <v>129</v>
      </c>
      <c r="BF174" s="16" t="s">
        <v>129</v>
      </c>
      <c r="BG174" s="16" t="s">
        <v>129</v>
      </c>
      <c r="BH174" s="16" t="s">
        <v>129</v>
      </c>
      <c r="BI174" s="16" t="s">
        <v>129</v>
      </c>
      <c r="BJ174" s="15" t="s">
        <v>129</v>
      </c>
      <c r="BK174" s="15" t="s">
        <v>129</v>
      </c>
      <c r="BL174" s="131" t="s">
        <v>129</v>
      </c>
      <c r="BM174" t="s">
        <v>129</v>
      </c>
      <c r="BN174" t="s">
        <v>129</v>
      </c>
      <c r="BO174" t="s">
        <v>129</v>
      </c>
      <c r="BP174" t="s">
        <v>129</v>
      </c>
      <c r="BQ174" t="s">
        <v>129</v>
      </c>
      <c r="BR174" t="s">
        <v>129</v>
      </c>
      <c r="BS174" t="s">
        <v>129</v>
      </c>
      <c r="BT174" t="s">
        <v>129</v>
      </c>
      <c r="BU174" t="s">
        <v>129</v>
      </c>
      <c r="BV174" t="s">
        <v>129</v>
      </c>
      <c r="BW174" t="s">
        <v>138</v>
      </c>
      <c r="BX174" t="s">
        <v>138</v>
      </c>
      <c r="BY174" s="56">
        <v>213618.27500000002</v>
      </c>
      <c r="BZ174" s="56">
        <v>213618.27500000002</v>
      </c>
      <c r="CA174" s="56">
        <v>213618.27500000002</v>
      </c>
      <c r="CB174" s="56">
        <v>213618.27500000002</v>
      </c>
      <c r="CC174" s="56">
        <v>213618.27500000002</v>
      </c>
      <c r="CD174" s="56">
        <v>213618.27500000002</v>
      </c>
      <c r="CE174" s="56">
        <v>213618.27500000002</v>
      </c>
      <c r="CF174" s="56">
        <v>213618.27500000002</v>
      </c>
      <c r="CG174" s="56">
        <v>213618.27500000002</v>
      </c>
      <c r="CH174" s="56">
        <v>213618.27500000002</v>
      </c>
      <c r="CI174" s="56">
        <v>17801.522916666669</v>
      </c>
      <c r="CJ174" s="56">
        <v>0</v>
      </c>
      <c r="CK174" s="56">
        <v>0</v>
      </c>
    </row>
    <row r="175" spans="1:89" ht="13" x14ac:dyDescent="0.3">
      <c r="A175" s="135" t="s">
        <v>308</v>
      </c>
      <c r="B175" s="134">
        <v>122433</v>
      </c>
      <c r="C175" s="135" t="s">
        <v>196</v>
      </c>
      <c r="D175" s="136">
        <v>25721</v>
      </c>
      <c r="E175" s="136">
        <v>49490</v>
      </c>
      <c r="F175" s="135" t="s">
        <v>173</v>
      </c>
      <c r="G175" s="135"/>
      <c r="H175" s="135"/>
      <c r="I175" s="137">
        <v>443</v>
      </c>
      <c r="J175" s="137">
        <v>1</v>
      </c>
      <c r="K175" s="137">
        <v>0</v>
      </c>
      <c r="L175" s="137">
        <v>0</v>
      </c>
      <c r="M175" s="137">
        <v>0</v>
      </c>
      <c r="N175" s="137">
        <v>0</v>
      </c>
      <c r="O175" s="138">
        <v>0</v>
      </c>
      <c r="P175" s="147">
        <f>134352*1.225+10000</f>
        <v>174581.2</v>
      </c>
      <c r="Q175" s="139">
        <v>1</v>
      </c>
      <c r="R175" s="139">
        <v>0</v>
      </c>
      <c r="S175" s="139">
        <v>0</v>
      </c>
      <c r="T175" s="140"/>
      <c r="U175" s="139">
        <v>0</v>
      </c>
      <c r="V175" s="141"/>
      <c r="W175" s="141">
        <v>1</v>
      </c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31"/>
      <c r="AI175" s="46" t="str">
        <f t="shared" si="16"/>
        <v/>
      </c>
      <c r="AJ175" s="27"/>
      <c r="AK175" s="27"/>
      <c r="AL175" s="27"/>
      <c r="AM175" s="27"/>
      <c r="AN175" s="27"/>
      <c r="AO175" s="27"/>
      <c r="AP175" s="27"/>
      <c r="AQ175" s="29"/>
      <c r="AR175" s="29"/>
      <c r="AS175" s="27"/>
      <c r="AT175" s="27">
        <v>49490</v>
      </c>
      <c r="AU175" s="15"/>
      <c r="AV175" s="15" t="s">
        <v>293</v>
      </c>
      <c r="AW175" s="15" t="s">
        <v>293</v>
      </c>
      <c r="AX175" s="15" t="s">
        <v>293</v>
      </c>
      <c r="AY175" s="15" t="s">
        <v>293</v>
      </c>
      <c r="AZ175" s="15" t="s">
        <v>293</v>
      </c>
      <c r="BA175" s="15" t="s">
        <v>293</v>
      </c>
      <c r="BB175" s="15" t="s">
        <v>293</v>
      </c>
      <c r="BC175" s="15" t="s">
        <v>293</v>
      </c>
      <c r="BD175" s="15" t="s">
        <v>293</v>
      </c>
      <c r="BE175" s="15" t="s">
        <v>293</v>
      </c>
      <c r="BF175" s="15" t="s">
        <v>293</v>
      </c>
      <c r="BG175" s="15" t="s">
        <v>293</v>
      </c>
      <c r="BH175" s="15" t="s">
        <v>293</v>
      </c>
      <c r="BI175" s="15" t="s">
        <v>293</v>
      </c>
      <c r="BJ175" s="15" t="s">
        <v>293</v>
      </c>
      <c r="BK175" s="15" t="s">
        <v>388</v>
      </c>
      <c r="BL175" s="131" t="s">
        <v>388</v>
      </c>
      <c r="BM175" t="s">
        <v>388</v>
      </c>
      <c r="BN175" t="s">
        <v>388</v>
      </c>
      <c r="BO175" t="s">
        <v>388</v>
      </c>
      <c r="BP175" t="s">
        <v>388</v>
      </c>
      <c r="BQ175" t="s">
        <v>388</v>
      </c>
      <c r="BR175" t="s">
        <v>388</v>
      </c>
      <c r="BS175" t="s">
        <v>388</v>
      </c>
      <c r="BT175" t="s">
        <v>388</v>
      </c>
      <c r="BU175" t="s">
        <v>388</v>
      </c>
      <c r="BV175" t="s">
        <v>388</v>
      </c>
      <c r="BW175" t="s">
        <v>388</v>
      </c>
      <c r="BX175" t="s">
        <v>388</v>
      </c>
      <c r="BY175" s="56">
        <v>174581.2</v>
      </c>
      <c r="BZ175" s="56">
        <v>174581.2</v>
      </c>
      <c r="CA175" s="56">
        <v>174581.2</v>
      </c>
      <c r="CB175" s="56">
        <v>174581.2</v>
      </c>
      <c r="CC175" s="56">
        <v>174581.2</v>
      </c>
      <c r="CD175" s="56">
        <v>174581.2</v>
      </c>
      <c r="CE175" s="56">
        <v>174581.2</v>
      </c>
      <c r="CF175" s="56">
        <v>174581.2</v>
      </c>
      <c r="CG175" s="56">
        <v>174581.2</v>
      </c>
      <c r="CH175" s="56">
        <v>174581.2</v>
      </c>
      <c r="CI175" s="56">
        <v>174581.2</v>
      </c>
      <c r="CJ175" s="56">
        <v>174581.2</v>
      </c>
      <c r="CK175" s="56">
        <v>174581.2</v>
      </c>
    </row>
    <row r="176" spans="1:89" ht="13" x14ac:dyDescent="0.3">
      <c r="A176" s="135" t="s">
        <v>106</v>
      </c>
      <c r="B176" s="134">
        <v>106362</v>
      </c>
      <c r="C176" s="135" t="s">
        <v>197</v>
      </c>
      <c r="D176" s="136">
        <v>20424</v>
      </c>
      <c r="E176" s="136">
        <v>44196</v>
      </c>
      <c r="F176" s="135" t="s">
        <v>173</v>
      </c>
      <c r="G176" s="135"/>
      <c r="H176" s="135"/>
      <c r="I176" s="137">
        <v>396</v>
      </c>
      <c r="J176" s="137">
        <v>0</v>
      </c>
      <c r="K176" s="137">
        <v>1</v>
      </c>
      <c r="L176" s="137">
        <v>0</v>
      </c>
      <c r="M176" s="137">
        <v>0</v>
      </c>
      <c r="N176" s="137">
        <v>0</v>
      </c>
      <c r="O176" s="138">
        <v>0</v>
      </c>
      <c r="P176" s="147">
        <v>0</v>
      </c>
      <c r="Q176" s="139">
        <v>1</v>
      </c>
      <c r="R176" s="139">
        <v>0</v>
      </c>
      <c r="S176" s="139">
        <v>0</v>
      </c>
      <c r="T176" s="140"/>
      <c r="U176" s="139">
        <v>0</v>
      </c>
      <c r="V176" s="141"/>
      <c r="W176" s="141">
        <v>1</v>
      </c>
      <c r="X176" s="24"/>
      <c r="Y176" s="24">
        <v>41015</v>
      </c>
      <c r="Z176" s="24"/>
      <c r="AA176" s="24"/>
      <c r="AB176" s="24"/>
      <c r="AC176" s="24"/>
      <c r="AD176" s="24"/>
      <c r="AE176" s="24"/>
      <c r="AF176" s="24"/>
      <c r="AG176" s="24"/>
      <c r="AH176" s="31"/>
      <c r="AI176" s="46" t="str">
        <f t="shared" si="16"/>
        <v/>
      </c>
      <c r="AJ176" s="27"/>
      <c r="AK176" s="27"/>
      <c r="AL176" s="27"/>
      <c r="AM176" s="27"/>
      <c r="AN176" s="27"/>
      <c r="AO176" s="27"/>
      <c r="AP176" s="27"/>
      <c r="AQ176" s="29" t="str">
        <f>IF(AND(AD176&lt;&gt;"",AF176="",AG176=""),DATE(YEAR(AD176)+Menu!$E$10,MONTH(AD176)+Menu!$E$11,1),"")</f>
        <v/>
      </c>
      <c r="AR176" s="29" t="str">
        <f t="shared" ref="AR176:AR183" si="18">IF(AF176&lt;&gt;0,AF176,AQ176)</f>
        <v/>
      </c>
      <c r="AS176" s="27" t="str">
        <f>IF(AND(AR176&lt;&gt;"",AH176="",AG176=""),DATE(YEAR(AR176)+Menu!$E$13,MONTH(AR176)+Menu!$E$14,1),"")</f>
        <v/>
      </c>
      <c r="AT176" s="27"/>
      <c r="AU176" s="15" t="s">
        <v>138</v>
      </c>
      <c r="AV176" s="15" t="s">
        <v>138</v>
      </c>
      <c r="AW176" s="16" t="s">
        <v>138</v>
      </c>
      <c r="AX176" s="15" t="s">
        <v>138</v>
      </c>
      <c r="AY176" s="15" t="s">
        <v>138</v>
      </c>
      <c r="AZ176" s="15" t="s">
        <v>138</v>
      </c>
      <c r="BA176" s="15" t="s">
        <v>138</v>
      </c>
      <c r="BB176" s="15" t="s">
        <v>138</v>
      </c>
      <c r="BC176" s="15" t="s">
        <v>138</v>
      </c>
      <c r="BD176" s="15" t="s">
        <v>138</v>
      </c>
      <c r="BE176" s="16" t="s">
        <v>129</v>
      </c>
      <c r="BF176" s="16" t="s">
        <v>129</v>
      </c>
      <c r="BG176" s="16" t="s">
        <v>129</v>
      </c>
      <c r="BH176" s="16" t="s">
        <v>129</v>
      </c>
      <c r="BI176" s="16" t="s">
        <v>129</v>
      </c>
      <c r="BJ176" s="15" t="s">
        <v>129</v>
      </c>
      <c r="BK176" s="15" t="s">
        <v>129</v>
      </c>
      <c r="BL176" s="131" t="s">
        <v>129</v>
      </c>
      <c r="BM176" t="s">
        <v>129</v>
      </c>
      <c r="BN176" t="s">
        <v>138</v>
      </c>
      <c r="BO176" t="s">
        <v>138</v>
      </c>
      <c r="BP176" t="s">
        <v>138</v>
      </c>
      <c r="BQ176" t="s">
        <v>138</v>
      </c>
      <c r="BR176" t="s">
        <v>138</v>
      </c>
      <c r="BS176" t="s">
        <v>138</v>
      </c>
      <c r="BT176" t="s">
        <v>138</v>
      </c>
      <c r="BU176" t="s">
        <v>138</v>
      </c>
      <c r="BV176" t="s">
        <v>138</v>
      </c>
      <c r="BW176" t="s">
        <v>138</v>
      </c>
      <c r="BX176" t="s">
        <v>138</v>
      </c>
      <c r="BY176" s="56">
        <v>0</v>
      </c>
      <c r="BZ176" s="56">
        <v>0</v>
      </c>
      <c r="CA176" s="56">
        <v>0</v>
      </c>
      <c r="CB176" s="56">
        <v>0</v>
      </c>
      <c r="CC176" s="56">
        <v>0</v>
      </c>
      <c r="CD176" s="56">
        <v>0</v>
      </c>
      <c r="CE176" s="56">
        <v>0</v>
      </c>
      <c r="CF176" s="56">
        <v>0</v>
      </c>
      <c r="CG176" s="56">
        <v>0</v>
      </c>
      <c r="CH176" s="56">
        <v>0</v>
      </c>
      <c r="CI176" s="56">
        <v>0</v>
      </c>
      <c r="CJ176" s="56">
        <v>0</v>
      </c>
      <c r="CK176" s="56">
        <v>0</v>
      </c>
    </row>
    <row r="177" spans="1:89" ht="13" x14ac:dyDescent="0.3">
      <c r="A177" s="135" t="s">
        <v>237</v>
      </c>
      <c r="B177" s="134">
        <v>283344</v>
      </c>
      <c r="C177" s="135" t="s">
        <v>196</v>
      </c>
      <c r="D177" s="136">
        <v>23191</v>
      </c>
      <c r="E177" s="136">
        <v>46934</v>
      </c>
      <c r="F177" s="135" t="s">
        <v>173</v>
      </c>
      <c r="G177" s="135">
        <v>2017</v>
      </c>
      <c r="H177" s="135" t="s">
        <v>135</v>
      </c>
      <c r="I177" s="137">
        <v>304</v>
      </c>
      <c r="J177" s="137">
        <v>1</v>
      </c>
      <c r="K177" s="137">
        <v>0</v>
      </c>
      <c r="L177" s="137">
        <v>0</v>
      </c>
      <c r="M177" s="137">
        <v>0</v>
      </c>
      <c r="N177" s="137">
        <v>0</v>
      </c>
      <c r="O177" s="138">
        <v>0</v>
      </c>
      <c r="P177" s="147">
        <v>1036712.5</v>
      </c>
      <c r="Q177" s="139">
        <v>1</v>
      </c>
      <c r="R177" s="139">
        <v>1</v>
      </c>
      <c r="S177" s="139">
        <v>0</v>
      </c>
      <c r="T177" s="140"/>
      <c r="U177" s="139">
        <v>0</v>
      </c>
      <c r="V177" s="141"/>
      <c r="W177" s="141">
        <v>1</v>
      </c>
      <c r="X177" s="24"/>
      <c r="Y177" s="24"/>
      <c r="Z177" s="24"/>
      <c r="AA177" s="24"/>
      <c r="AB177" s="24"/>
      <c r="AC177" s="24"/>
      <c r="AD177" s="24"/>
      <c r="AE177" s="24"/>
      <c r="AF177" s="24"/>
      <c r="AG177" s="24">
        <v>42917</v>
      </c>
      <c r="AH177" s="31"/>
      <c r="AI177" s="46" t="str">
        <f t="shared" si="16"/>
        <v/>
      </c>
      <c r="AJ177" s="27"/>
      <c r="AK177" s="27"/>
      <c r="AL177" s="27"/>
      <c r="AM177" s="27"/>
      <c r="AN177" s="27"/>
      <c r="AO177" s="27"/>
      <c r="AP177" s="27"/>
      <c r="AQ177" s="29" t="str">
        <f>IF(AND(AD177&lt;&gt;"",AF177="",AG177=""),DATE(YEAR(AD177)+Menu!$E$10,MONTH(AD177)+Menu!$E$11,1),"")</f>
        <v/>
      </c>
      <c r="AR177" s="29" t="str">
        <f t="shared" si="18"/>
        <v/>
      </c>
      <c r="AS177" s="27" t="str">
        <f>IF(AND(AR177&lt;&gt;"",AH177="",AG177=""),DATE(YEAR(AR177)+Menu!$E$13,MONTH(AR177)+Menu!$E$14,1),"")</f>
        <v/>
      </c>
      <c r="AT177" s="27"/>
      <c r="AU177" s="15" t="s">
        <v>138</v>
      </c>
      <c r="AV177" s="15" t="s">
        <v>138</v>
      </c>
      <c r="AW177" s="15" t="s">
        <v>138</v>
      </c>
      <c r="AX177" s="15" t="s">
        <v>138</v>
      </c>
      <c r="AY177" s="15" t="s">
        <v>138</v>
      </c>
      <c r="AZ177" s="15" t="s">
        <v>138</v>
      </c>
      <c r="BA177" s="15" t="s">
        <v>138</v>
      </c>
      <c r="BB177" s="15" t="s">
        <v>138</v>
      </c>
      <c r="BC177" s="15" t="s">
        <v>138</v>
      </c>
      <c r="BD177" s="15" t="s">
        <v>138</v>
      </c>
      <c r="BE177" s="15" t="s">
        <v>138</v>
      </c>
      <c r="BF177" s="15" t="s">
        <v>138</v>
      </c>
      <c r="BG177" s="15" t="s">
        <v>138</v>
      </c>
      <c r="BH177" s="15" t="s">
        <v>138</v>
      </c>
      <c r="BI177" s="15" t="s">
        <v>138</v>
      </c>
      <c r="BJ177" s="15" t="s">
        <v>135</v>
      </c>
      <c r="BK177" s="15" t="s">
        <v>135</v>
      </c>
      <c r="BL177" s="131" t="s">
        <v>135</v>
      </c>
      <c r="BM177" t="s">
        <v>135</v>
      </c>
      <c r="BN177" t="s">
        <v>135</v>
      </c>
      <c r="BO177" t="s">
        <v>135</v>
      </c>
      <c r="BP177" t="s">
        <v>135</v>
      </c>
      <c r="BQ177" t="s">
        <v>135</v>
      </c>
      <c r="BR177" t="s">
        <v>135</v>
      </c>
      <c r="BS177" t="s">
        <v>135</v>
      </c>
      <c r="BT177" t="s">
        <v>135</v>
      </c>
      <c r="BU177" t="s">
        <v>138</v>
      </c>
      <c r="BV177" t="s">
        <v>138</v>
      </c>
      <c r="BW177" t="s">
        <v>138</v>
      </c>
      <c r="BX177" t="s">
        <v>138</v>
      </c>
      <c r="BY177" s="56">
        <v>1036712.5</v>
      </c>
      <c r="BZ177" s="56">
        <v>1000375</v>
      </c>
      <c r="CA177" s="56">
        <v>1000375</v>
      </c>
      <c r="CB177" s="56">
        <v>1000375</v>
      </c>
      <c r="CC177" s="56">
        <v>1000375</v>
      </c>
      <c r="CD177" s="56">
        <v>1000375</v>
      </c>
      <c r="CE177" s="56">
        <v>1000375</v>
      </c>
      <c r="CF177" s="56">
        <v>1000375</v>
      </c>
      <c r="CG177" s="56">
        <v>1000375</v>
      </c>
      <c r="CH177" s="56">
        <v>500187.5</v>
      </c>
      <c r="CI177" s="56">
        <v>0</v>
      </c>
      <c r="CJ177" s="56">
        <v>0</v>
      </c>
      <c r="CK177" s="56">
        <v>0</v>
      </c>
    </row>
    <row r="178" spans="1:89" ht="13" x14ac:dyDescent="0.3">
      <c r="A178" s="135" t="s">
        <v>206</v>
      </c>
      <c r="B178" s="142">
        <v>190091</v>
      </c>
      <c r="C178" s="135" t="s">
        <v>198</v>
      </c>
      <c r="D178" s="136">
        <v>24824</v>
      </c>
      <c r="E178" s="136">
        <v>48579</v>
      </c>
      <c r="F178" s="135" t="s">
        <v>173</v>
      </c>
      <c r="G178" s="135"/>
      <c r="H178" s="135"/>
      <c r="I178" s="137">
        <v>425</v>
      </c>
      <c r="J178" s="137">
        <v>0</v>
      </c>
      <c r="K178" s="137">
        <v>0</v>
      </c>
      <c r="L178" s="137">
        <v>1</v>
      </c>
      <c r="M178" s="137">
        <v>0</v>
      </c>
      <c r="N178" s="137">
        <v>0</v>
      </c>
      <c r="O178" s="138">
        <v>2</v>
      </c>
      <c r="P178" s="147">
        <f>146964*1.225*0.5</f>
        <v>90015.450000000012</v>
      </c>
      <c r="Q178" s="139">
        <v>1</v>
      </c>
      <c r="R178" s="139">
        <v>0</v>
      </c>
      <c r="S178" s="139">
        <v>0</v>
      </c>
      <c r="T178" s="140"/>
      <c r="U178" s="139">
        <v>0</v>
      </c>
      <c r="V178" s="141"/>
      <c r="W178" s="141">
        <v>0.5</v>
      </c>
      <c r="X178" s="24"/>
      <c r="Y178" s="24">
        <v>41421</v>
      </c>
      <c r="Z178" s="24"/>
      <c r="AA178" s="24"/>
      <c r="AB178" s="24"/>
      <c r="AC178" s="24"/>
      <c r="AD178" s="24"/>
      <c r="AE178" s="24"/>
      <c r="AF178" s="24"/>
      <c r="AG178" s="24"/>
      <c r="AH178" s="31"/>
      <c r="AI178" s="46" t="str">
        <f t="shared" si="16"/>
        <v/>
      </c>
      <c r="AJ178" s="27"/>
      <c r="AK178" s="27"/>
      <c r="AL178" s="27"/>
      <c r="AM178" s="27"/>
      <c r="AN178" s="27"/>
      <c r="AO178" s="27"/>
      <c r="AP178" s="27"/>
      <c r="AQ178" s="29" t="str">
        <f>IF(AND(AD178&lt;&gt;"",AF178="",AG178=""),DATE(YEAR(AD178)+Menu!$E$10,MONTH(AD178)+Menu!$E$11,1),"")</f>
        <v/>
      </c>
      <c r="AR178" s="29" t="str">
        <f t="shared" si="18"/>
        <v/>
      </c>
      <c r="AS178" s="27" t="str">
        <f>IF(AND(AR178&lt;&gt;"",AH178="",AG178=""),DATE(YEAR(AR178)+Menu!$E$13,MONTH(AR178)+Menu!$E$14,1),"")</f>
        <v/>
      </c>
      <c r="AT178" s="27"/>
      <c r="AU178" s="15" t="s">
        <v>138</v>
      </c>
      <c r="AV178" s="15" t="s">
        <v>138</v>
      </c>
      <c r="AW178" s="15" t="s">
        <v>138</v>
      </c>
      <c r="AX178" s="15" t="s">
        <v>138</v>
      </c>
      <c r="AY178" s="15" t="s">
        <v>138</v>
      </c>
      <c r="AZ178" s="15" t="s">
        <v>138</v>
      </c>
      <c r="BA178" s="15" t="s">
        <v>138</v>
      </c>
      <c r="BB178" s="15" t="s">
        <v>138</v>
      </c>
      <c r="BC178" s="15" t="s">
        <v>138</v>
      </c>
      <c r="BD178" s="15" t="s">
        <v>138</v>
      </c>
      <c r="BE178" s="15" t="s">
        <v>138</v>
      </c>
      <c r="BF178" s="15" t="s">
        <v>129</v>
      </c>
      <c r="BG178" s="16" t="s">
        <v>129</v>
      </c>
      <c r="BH178" s="16" t="s">
        <v>129</v>
      </c>
      <c r="BI178" s="16" t="s">
        <v>129</v>
      </c>
      <c r="BJ178" s="15" t="s">
        <v>129</v>
      </c>
      <c r="BK178" s="15" t="s">
        <v>129</v>
      </c>
      <c r="BL178" s="131" t="s">
        <v>129</v>
      </c>
      <c r="BM178" t="s">
        <v>129</v>
      </c>
      <c r="BN178" t="s">
        <v>129</v>
      </c>
      <c r="BO178" t="s">
        <v>129</v>
      </c>
      <c r="BP178" t="s">
        <v>129</v>
      </c>
      <c r="BQ178" t="s">
        <v>129</v>
      </c>
      <c r="BR178" t="s">
        <v>129</v>
      </c>
      <c r="BS178" t="s">
        <v>129</v>
      </c>
      <c r="BT178" t="s">
        <v>129</v>
      </c>
      <c r="BU178" t="s">
        <v>129</v>
      </c>
      <c r="BV178" t="s">
        <v>129</v>
      </c>
      <c r="BW178" t="s">
        <v>129</v>
      </c>
      <c r="BX178" t="s">
        <v>129</v>
      </c>
      <c r="BY178" s="56">
        <v>90015.450000000012</v>
      </c>
      <c r="BZ178" s="56">
        <v>90015.450000000012</v>
      </c>
      <c r="CA178" s="56">
        <v>90015.450000000012</v>
      </c>
      <c r="CB178" s="56">
        <v>90015.450000000012</v>
      </c>
      <c r="CC178" s="56">
        <v>90015.450000000012</v>
      </c>
      <c r="CD178" s="56">
        <v>90015.450000000012</v>
      </c>
      <c r="CE178" s="56">
        <v>90015.450000000012</v>
      </c>
      <c r="CF178" s="56">
        <v>90015.450000000012</v>
      </c>
      <c r="CG178" s="56">
        <v>90015.450000000012</v>
      </c>
      <c r="CH178" s="56">
        <v>90015.450000000012</v>
      </c>
      <c r="CI178" s="56">
        <v>90015.450000000012</v>
      </c>
      <c r="CJ178" s="56">
        <v>90015.450000000012</v>
      </c>
      <c r="CK178" s="56">
        <v>90015.450000000012</v>
      </c>
    </row>
    <row r="179" spans="1:89" ht="13" x14ac:dyDescent="0.3">
      <c r="A179" s="135" t="s">
        <v>167</v>
      </c>
      <c r="B179" s="134">
        <v>103606</v>
      </c>
      <c r="C179" s="135" t="s">
        <v>197</v>
      </c>
      <c r="D179" s="136">
        <v>27033</v>
      </c>
      <c r="E179" s="136">
        <v>50801</v>
      </c>
      <c r="F179" s="135" t="s">
        <v>173</v>
      </c>
      <c r="G179" s="135">
        <v>2013</v>
      </c>
      <c r="H179" s="135" t="s">
        <v>133</v>
      </c>
      <c r="I179" s="137">
        <v>320</v>
      </c>
      <c r="J179" s="137">
        <v>0</v>
      </c>
      <c r="K179" s="137">
        <v>1</v>
      </c>
      <c r="L179" s="137">
        <v>1</v>
      </c>
      <c r="M179" s="137">
        <v>0</v>
      </c>
      <c r="N179" s="137">
        <v>0</v>
      </c>
      <c r="O179" s="138">
        <v>0</v>
      </c>
      <c r="P179" s="147">
        <v>534732.5</v>
      </c>
      <c r="Q179" s="139">
        <v>1</v>
      </c>
      <c r="R179" s="139">
        <v>0</v>
      </c>
      <c r="S179" s="139">
        <v>0</v>
      </c>
      <c r="T179" s="140"/>
      <c r="U179" s="139">
        <v>0</v>
      </c>
      <c r="V179" s="141"/>
      <c r="W179" s="141">
        <v>1</v>
      </c>
      <c r="X179" s="24"/>
      <c r="Y179" s="24"/>
      <c r="Z179" s="24"/>
      <c r="AA179" s="24"/>
      <c r="AB179" s="24"/>
      <c r="AC179" s="24"/>
      <c r="AD179" s="24">
        <v>41275</v>
      </c>
      <c r="AE179" s="24"/>
      <c r="AF179" s="24"/>
      <c r="AG179" s="24"/>
      <c r="AH179" s="31"/>
      <c r="AI179" s="46" t="str">
        <f t="shared" si="16"/>
        <v/>
      </c>
      <c r="AJ179" s="27"/>
      <c r="AK179" s="27"/>
      <c r="AL179" s="27"/>
      <c r="AM179" s="27"/>
      <c r="AN179" s="27"/>
      <c r="AO179" s="27"/>
      <c r="AP179" s="27"/>
      <c r="AQ179" s="29">
        <v>43831</v>
      </c>
      <c r="AR179" s="29">
        <f t="shared" si="18"/>
        <v>43831</v>
      </c>
      <c r="AS179" s="27">
        <f>IF(AND(AR179&lt;&gt;"",AH179="",AG179=""),DATE(YEAR(AR179)+Menu!$E$13,MONTH(AR179)+Menu!$E$14,1),"")</f>
        <v>46296</v>
      </c>
      <c r="AT179" s="27"/>
      <c r="AU179" s="15" t="s">
        <v>138</v>
      </c>
      <c r="AV179" s="15" t="s">
        <v>138</v>
      </c>
      <c r="AW179" s="16" t="s">
        <v>138</v>
      </c>
      <c r="AX179" s="16" t="s">
        <v>138</v>
      </c>
      <c r="AY179" s="16" t="s">
        <v>138</v>
      </c>
      <c r="AZ179" s="16" t="s">
        <v>138</v>
      </c>
      <c r="BA179" s="16" t="s">
        <v>138</v>
      </c>
      <c r="BB179" s="16" t="s">
        <v>138</v>
      </c>
      <c r="BC179" s="16" t="s">
        <v>138</v>
      </c>
      <c r="BD179" s="16" t="s">
        <v>138</v>
      </c>
      <c r="BE179" s="16" t="s">
        <v>138</v>
      </c>
      <c r="BF179" s="16" t="s">
        <v>133</v>
      </c>
      <c r="BG179" s="16" t="s">
        <v>133</v>
      </c>
      <c r="BH179" s="16" t="s">
        <v>133</v>
      </c>
      <c r="BI179" s="16" t="s">
        <v>133</v>
      </c>
      <c r="BJ179" s="15" t="s">
        <v>133</v>
      </c>
      <c r="BK179" s="15" t="s">
        <v>133</v>
      </c>
      <c r="BL179" s="131" t="s">
        <v>134</v>
      </c>
      <c r="BM179" t="s">
        <v>134</v>
      </c>
      <c r="BN179" t="s">
        <v>134</v>
      </c>
      <c r="BO179" t="s">
        <v>134</v>
      </c>
      <c r="BP179" t="s">
        <v>134</v>
      </c>
      <c r="BQ179" t="s">
        <v>134</v>
      </c>
      <c r="BR179" t="s">
        <v>134</v>
      </c>
      <c r="BS179" t="s">
        <v>135</v>
      </c>
      <c r="BT179" t="s">
        <v>135</v>
      </c>
      <c r="BU179" t="s">
        <v>135</v>
      </c>
      <c r="BV179" t="s">
        <v>135</v>
      </c>
      <c r="BW179" t="s">
        <v>135</v>
      </c>
      <c r="BX179" t="s">
        <v>135</v>
      </c>
      <c r="BY179" s="56">
        <v>534732.5</v>
      </c>
      <c r="BZ179" s="56">
        <v>721188</v>
      </c>
      <c r="CA179" s="56">
        <v>721188</v>
      </c>
      <c r="CB179" s="56">
        <v>721188</v>
      </c>
      <c r="CC179" s="56">
        <v>721188</v>
      </c>
      <c r="CD179" s="56">
        <v>721188</v>
      </c>
      <c r="CE179" s="56">
        <v>721188</v>
      </c>
      <c r="CF179" s="56">
        <v>735147.375</v>
      </c>
      <c r="CG179" s="56">
        <v>790984.875</v>
      </c>
      <c r="CH179" s="56">
        <v>846822.375</v>
      </c>
      <c r="CI179" s="56">
        <v>902659.875</v>
      </c>
      <c r="CJ179" s="56">
        <v>958497.375</v>
      </c>
      <c r="CK179" s="56">
        <v>1000375</v>
      </c>
    </row>
    <row r="180" spans="1:89" ht="13" x14ac:dyDescent="0.3">
      <c r="A180" s="135" t="s">
        <v>441</v>
      </c>
      <c r="B180" s="134">
        <v>104364</v>
      </c>
      <c r="C180" s="135" t="s">
        <v>197</v>
      </c>
      <c r="D180" s="136">
        <v>21512</v>
      </c>
      <c r="E180" s="136">
        <v>45260</v>
      </c>
      <c r="F180" s="135" t="s">
        <v>173</v>
      </c>
      <c r="G180" s="135">
        <v>2013</v>
      </c>
      <c r="H180" s="135" t="s">
        <v>133</v>
      </c>
      <c r="I180" s="137">
        <v>320</v>
      </c>
      <c r="J180" s="137">
        <v>0</v>
      </c>
      <c r="K180" s="137">
        <v>1</v>
      </c>
      <c r="L180" s="137">
        <v>1</v>
      </c>
      <c r="M180" s="137">
        <v>0</v>
      </c>
      <c r="N180" s="137">
        <v>0</v>
      </c>
      <c r="O180" s="138">
        <v>0</v>
      </c>
      <c r="P180" s="147">
        <f>138518*1.225*W180</f>
        <v>127263.41250000001</v>
      </c>
      <c r="Q180" s="139">
        <v>1</v>
      </c>
      <c r="R180" s="139">
        <v>0</v>
      </c>
      <c r="S180" s="139">
        <v>0</v>
      </c>
      <c r="T180" s="140"/>
      <c r="U180" s="139">
        <f>-138518*1.225*0.25</f>
        <v>-42421.137500000004</v>
      </c>
      <c r="V180" s="141">
        <v>2020</v>
      </c>
      <c r="W180" s="141">
        <v>0.75</v>
      </c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31"/>
      <c r="AI180" s="46"/>
      <c r="AJ180" s="27"/>
      <c r="AK180" s="27"/>
      <c r="AL180" s="27"/>
      <c r="AM180" s="27"/>
      <c r="AN180" s="27"/>
      <c r="AO180" s="27"/>
      <c r="AP180" s="27"/>
      <c r="AQ180" s="29"/>
      <c r="AR180" s="29"/>
      <c r="AS180" s="27" t="str">
        <f>IF(AND(AR180&lt;&gt;"",AH180="",AG180=""),DATE(YEAR(AR180)+Menu!$E$13,MONTH(AR180)+Menu!$E$14,1),"")</f>
        <v/>
      </c>
      <c r="AT180" s="27"/>
      <c r="AU180" s="15" t="s">
        <v>138</v>
      </c>
      <c r="AV180" s="15" t="s">
        <v>138</v>
      </c>
      <c r="AW180" s="16" t="s">
        <v>138</v>
      </c>
      <c r="AX180" s="16" t="s">
        <v>138</v>
      </c>
      <c r="AY180" s="16" t="s">
        <v>138</v>
      </c>
      <c r="AZ180" s="16" t="s">
        <v>138</v>
      </c>
      <c r="BA180" s="16" t="s">
        <v>138</v>
      </c>
      <c r="BB180" s="16" t="s">
        <v>138</v>
      </c>
      <c r="BC180" s="16" t="s">
        <v>138</v>
      </c>
      <c r="BD180" s="16" t="s">
        <v>138</v>
      </c>
      <c r="BE180" s="16" t="s">
        <v>138</v>
      </c>
      <c r="BF180" s="16"/>
      <c r="BG180" s="16"/>
      <c r="BH180" s="16"/>
      <c r="BI180" s="16"/>
      <c r="BJ180" s="15"/>
      <c r="BK180" s="131" t="s">
        <v>389</v>
      </c>
      <c r="BL180" s="131" t="s">
        <v>389</v>
      </c>
      <c r="BM180" t="s">
        <v>389</v>
      </c>
      <c r="BN180" t="s">
        <v>389</v>
      </c>
      <c r="BO180" t="s">
        <v>389</v>
      </c>
      <c r="BP180" t="s">
        <v>389</v>
      </c>
      <c r="BQ180" t="s">
        <v>138</v>
      </c>
      <c r="BR180" t="s">
        <v>138</v>
      </c>
      <c r="BS180" t="s">
        <v>138</v>
      </c>
      <c r="BT180" t="s">
        <v>138</v>
      </c>
      <c r="BU180" t="s">
        <v>138</v>
      </c>
      <c r="BV180" t="s">
        <v>138</v>
      </c>
      <c r="BW180" t="s">
        <v>138</v>
      </c>
      <c r="BX180" t="s">
        <v>138</v>
      </c>
      <c r="BY180" s="56">
        <v>127263.41250000001</v>
      </c>
      <c r="BZ180" s="56">
        <v>84842.274999999994</v>
      </c>
      <c r="CA180" s="56">
        <v>84842.274999999994</v>
      </c>
      <c r="CB180" s="56">
        <v>84842.274999999994</v>
      </c>
      <c r="CC180" s="56">
        <v>77772.085416666654</v>
      </c>
      <c r="CD180" s="56">
        <v>0</v>
      </c>
      <c r="CE180" s="56">
        <v>0</v>
      </c>
      <c r="CF180" s="56">
        <v>0</v>
      </c>
      <c r="CG180" s="56">
        <v>0</v>
      </c>
      <c r="CH180" s="56">
        <v>0</v>
      </c>
      <c r="CI180" s="56">
        <v>0</v>
      </c>
      <c r="CJ180" s="56">
        <v>0</v>
      </c>
      <c r="CK180" s="56">
        <v>0</v>
      </c>
    </row>
    <row r="181" spans="1:89" ht="13" x14ac:dyDescent="0.3">
      <c r="A181" s="176" t="s">
        <v>107</v>
      </c>
      <c r="B181" s="134">
        <v>108571</v>
      </c>
      <c r="C181" s="135" t="s">
        <v>196</v>
      </c>
      <c r="D181" s="136">
        <v>24663</v>
      </c>
      <c r="E181" s="136">
        <v>48426</v>
      </c>
      <c r="F181" s="135" t="s">
        <v>173</v>
      </c>
      <c r="G181" s="135"/>
      <c r="H181" s="135"/>
      <c r="I181" s="137">
        <v>414</v>
      </c>
      <c r="J181" s="137">
        <v>1</v>
      </c>
      <c r="K181" s="137">
        <v>0</v>
      </c>
      <c r="L181" s="137">
        <v>0</v>
      </c>
      <c r="M181" s="137">
        <v>0</v>
      </c>
      <c r="N181" s="137">
        <v>0</v>
      </c>
      <c r="O181" s="138">
        <v>2</v>
      </c>
      <c r="P181" s="147">
        <f>146533*1.225</f>
        <v>179502.92500000002</v>
      </c>
      <c r="Q181" s="139">
        <v>1</v>
      </c>
      <c r="R181" s="139">
        <v>0</v>
      </c>
      <c r="S181" s="139">
        <v>0</v>
      </c>
      <c r="T181" s="140"/>
      <c r="U181" s="139">
        <v>0</v>
      </c>
      <c r="V181" s="141"/>
      <c r="W181" s="141">
        <v>1</v>
      </c>
      <c r="X181" s="24"/>
      <c r="Y181" s="24">
        <v>40553</v>
      </c>
      <c r="Z181" s="24"/>
      <c r="AA181" s="24"/>
      <c r="AB181" s="24"/>
      <c r="AC181" s="24"/>
      <c r="AD181" s="24"/>
      <c r="AE181" s="24"/>
      <c r="AF181" s="24"/>
      <c r="AG181" s="24"/>
      <c r="AH181" s="31"/>
      <c r="AI181" s="46" t="str">
        <f t="shared" si="16"/>
        <v/>
      </c>
      <c r="AJ181" s="27"/>
      <c r="AK181" s="27"/>
      <c r="AL181" s="27"/>
      <c r="AM181" s="27"/>
      <c r="AN181" s="27"/>
      <c r="AO181" s="27"/>
      <c r="AP181" s="27"/>
      <c r="AQ181" s="29" t="str">
        <f>IF(AND(AD181&lt;&gt;"",AF181="",AG181=""),DATE(YEAR(AD181)+Menu!$E$10,MONTH(AD181)+Menu!$E$11,1),"")</f>
        <v/>
      </c>
      <c r="AR181" s="29" t="str">
        <f t="shared" si="18"/>
        <v/>
      </c>
      <c r="AS181" s="27" t="str">
        <f>IF(AND(AR181&lt;&gt;"",AH181="",AG181=""),DATE(YEAR(AR181)+Menu!$E$13,MONTH(AR181)+Menu!$E$14,1),"")</f>
        <v/>
      </c>
      <c r="AT181" s="27"/>
      <c r="AU181" s="15" t="s">
        <v>138</v>
      </c>
      <c r="AV181" s="15" t="s">
        <v>138</v>
      </c>
      <c r="AW181" s="16" t="s">
        <v>138</v>
      </c>
      <c r="AX181" s="15" t="s">
        <v>138</v>
      </c>
      <c r="AY181" s="15" t="s">
        <v>138</v>
      </c>
      <c r="AZ181" s="15" t="s">
        <v>138</v>
      </c>
      <c r="BA181" s="15" t="s">
        <v>138</v>
      </c>
      <c r="BB181" s="15" t="s">
        <v>138</v>
      </c>
      <c r="BC181" s="15" t="s">
        <v>138</v>
      </c>
      <c r="BD181" s="16" t="s">
        <v>129</v>
      </c>
      <c r="BE181" s="16" t="s">
        <v>129</v>
      </c>
      <c r="BF181" s="16" t="s">
        <v>129</v>
      </c>
      <c r="BG181" s="16" t="s">
        <v>129</v>
      </c>
      <c r="BH181" s="16" t="s">
        <v>129</v>
      </c>
      <c r="BI181" s="16" t="s">
        <v>129</v>
      </c>
      <c r="BJ181" s="15" t="s">
        <v>129</v>
      </c>
      <c r="BK181" s="15" t="s">
        <v>129</v>
      </c>
      <c r="BL181" s="131" t="s">
        <v>129</v>
      </c>
      <c r="BM181" t="s">
        <v>129</v>
      </c>
      <c r="BN181" t="s">
        <v>129</v>
      </c>
      <c r="BO181" t="s">
        <v>129</v>
      </c>
      <c r="BP181" t="s">
        <v>129</v>
      </c>
      <c r="BQ181" t="s">
        <v>129</v>
      </c>
      <c r="BR181" t="s">
        <v>129</v>
      </c>
      <c r="BS181" t="s">
        <v>129</v>
      </c>
      <c r="BT181" t="s">
        <v>129</v>
      </c>
      <c r="BU181" t="s">
        <v>129</v>
      </c>
      <c r="BV181" t="s">
        <v>129</v>
      </c>
      <c r="BW181" t="s">
        <v>129</v>
      </c>
      <c r="BX181" t="s">
        <v>129</v>
      </c>
      <c r="BY181" s="56">
        <v>179502.92500000002</v>
      </c>
      <c r="BZ181" s="56">
        <v>179502.92500000002</v>
      </c>
      <c r="CA181" s="56">
        <v>179502.92500000002</v>
      </c>
      <c r="CB181" s="56">
        <v>179502.92500000002</v>
      </c>
      <c r="CC181" s="56">
        <v>179502.92500000002</v>
      </c>
      <c r="CD181" s="56">
        <v>179502.92500000002</v>
      </c>
      <c r="CE181" s="56">
        <v>179502.92500000002</v>
      </c>
      <c r="CF181" s="56">
        <v>179502.92500000002</v>
      </c>
      <c r="CG181" s="56">
        <v>179502.92500000002</v>
      </c>
      <c r="CH181" s="56">
        <v>179502.92500000002</v>
      </c>
      <c r="CI181" s="56">
        <v>179502.92500000002</v>
      </c>
      <c r="CJ181" s="56">
        <v>179502.92500000002</v>
      </c>
      <c r="CK181" s="56">
        <v>179502.92500000002</v>
      </c>
    </row>
    <row r="182" spans="1:89" ht="13" x14ac:dyDescent="0.3">
      <c r="A182" s="135" t="s">
        <v>168</v>
      </c>
      <c r="B182" s="142">
        <v>231182</v>
      </c>
      <c r="C182" s="135" t="s">
        <v>197</v>
      </c>
      <c r="D182" s="136">
        <v>29115</v>
      </c>
      <c r="E182" s="136">
        <v>52870</v>
      </c>
      <c r="F182" s="135" t="s">
        <v>173</v>
      </c>
      <c r="G182" s="135">
        <v>2014</v>
      </c>
      <c r="H182" s="135" t="s">
        <v>133</v>
      </c>
      <c r="I182" s="137">
        <v>321</v>
      </c>
      <c r="J182" s="137">
        <v>0</v>
      </c>
      <c r="K182" s="137">
        <v>1</v>
      </c>
      <c r="L182" s="137">
        <v>0</v>
      </c>
      <c r="M182" s="137">
        <v>0</v>
      </c>
      <c r="N182" s="137">
        <v>0</v>
      </c>
      <c r="O182" s="138">
        <v>0</v>
      </c>
      <c r="P182" s="147">
        <v>527652</v>
      </c>
      <c r="Q182" s="139">
        <v>1</v>
      </c>
      <c r="R182" s="139">
        <v>0</v>
      </c>
      <c r="S182" s="139">
        <v>0</v>
      </c>
      <c r="T182" s="140"/>
      <c r="U182" s="139">
        <v>0</v>
      </c>
      <c r="V182" s="141"/>
      <c r="W182" s="141">
        <v>1</v>
      </c>
      <c r="X182" s="24"/>
      <c r="Y182" s="24"/>
      <c r="Z182" s="24"/>
      <c r="AA182" s="24"/>
      <c r="AB182" s="24"/>
      <c r="AC182" s="24"/>
      <c r="AD182" s="24">
        <v>41640</v>
      </c>
      <c r="AE182" s="24"/>
      <c r="AF182" s="24"/>
      <c r="AG182" s="24"/>
      <c r="AH182" s="31"/>
      <c r="AI182" s="46" t="str">
        <f t="shared" si="16"/>
        <v/>
      </c>
      <c r="AJ182" s="27"/>
      <c r="AK182" s="27"/>
      <c r="AL182" s="27"/>
      <c r="AM182" s="27"/>
      <c r="AN182" s="27"/>
      <c r="AO182" s="27"/>
      <c r="AP182" s="27"/>
      <c r="AQ182" s="29">
        <v>44105</v>
      </c>
      <c r="AR182" s="29">
        <f t="shared" si="18"/>
        <v>44105</v>
      </c>
      <c r="AS182" s="27">
        <f>IF(AND(AR182&lt;&gt;"",AH182="",AG182=""),DATE(YEAR(AR182)+Menu!$E$13,MONTH(AR182)+Menu!$E$14,1),"")</f>
        <v>46569</v>
      </c>
      <c r="AT182" s="27"/>
      <c r="AU182" s="15" t="s">
        <v>138</v>
      </c>
      <c r="AV182" s="15" t="s">
        <v>138</v>
      </c>
      <c r="AW182" s="16" t="s">
        <v>138</v>
      </c>
      <c r="AX182" s="16" t="s">
        <v>138</v>
      </c>
      <c r="AY182" s="16" t="s">
        <v>138</v>
      </c>
      <c r="AZ182" s="16" t="s">
        <v>138</v>
      </c>
      <c r="BA182" s="16" t="s">
        <v>138</v>
      </c>
      <c r="BB182" s="16" t="s">
        <v>138</v>
      </c>
      <c r="BC182" s="16" t="s">
        <v>138</v>
      </c>
      <c r="BD182" s="16" t="s">
        <v>138</v>
      </c>
      <c r="BE182" s="16" t="s">
        <v>138</v>
      </c>
      <c r="BF182" s="16" t="s">
        <v>138</v>
      </c>
      <c r="BG182" s="16" t="s">
        <v>133</v>
      </c>
      <c r="BH182" s="16" t="s">
        <v>133</v>
      </c>
      <c r="BI182" s="16" t="s">
        <v>133</v>
      </c>
      <c r="BJ182" s="15" t="s">
        <v>133</v>
      </c>
      <c r="BK182" s="15" t="s">
        <v>133</v>
      </c>
      <c r="BL182" s="131" t="s">
        <v>133</v>
      </c>
      <c r="BM182" t="s">
        <v>134</v>
      </c>
      <c r="BN182" t="s">
        <v>134</v>
      </c>
      <c r="BO182" t="s">
        <v>134</v>
      </c>
      <c r="BP182" t="s">
        <v>134</v>
      </c>
      <c r="BQ182" t="s">
        <v>134</v>
      </c>
      <c r="BR182" t="s">
        <v>134</v>
      </c>
      <c r="BS182" t="s">
        <v>134</v>
      </c>
      <c r="BT182" t="s">
        <v>135</v>
      </c>
      <c r="BU182" t="s">
        <v>135</v>
      </c>
      <c r="BV182" t="s">
        <v>135</v>
      </c>
      <c r="BW182" t="s">
        <v>135</v>
      </c>
      <c r="BX182" t="s">
        <v>135</v>
      </c>
      <c r="BY182" s="56">
        <v>527652</v>
      </c>
      <c r="BZ182" s="56">
        <v>576036</v>
      </c>
      <c r="CA182" s="56">
        <v>576036</v>
      </c>
      <c r="CB182" s="56">
        <v>576036</v>
      </c>
      <c r="CC182" s="56">
        <v>576036</v>
      </c>
      <c r="CD182" s="56">
        <v>721188</v>
      </c>
      <c r="CE182" s="56">
        <v>721188</v>
      </c>
      <c r="CF182" s="56">
        <v>721188</v>
      </c>
      <c r="CG182" s="56">
        <v>749106.75</v>
      </c>
      <c r="CH182" s="56">
        <v>804944.25</v>
      </c>
      <c r="CI182" s="56">
        <v>860781.75</v>
      </c>
      <c r="CJ182" s="56">
        <v>916619.25</v>
      </c>
      <c r="CK182" s="56">
        <v>972456.75</v>
      </c>
    </row>
    <row r="183" spans="1:89" ht="13" x14ac:dyDescent="0.3">
      <c r="A183" s="177" t="s">
        <v>108</v>
      </c>
      <c r="B183" s="134">
        <v>138857</v>
      </c>
      <c r="C183" s="135" t="s">
        <v>200</v>
      </c>
      <c r="D183" s="136">
        <v>21418</v>
      </c>
      <c r="E183" s="136">
        <v>45169</v>
      </c>
      <c r="F183" s="135" t="s">
        <v>172</v>
      </c>
      <c r="G183" s="135"/>
      <c r="H183" s="135"/>
      <c r="I183" s="137">
        <v>851</v>
      </c>
      <c r="J183" s="137">
        <v>0</v>
      </c>
      <c r="K183" s="137">
        <v>0</v>
      </c>
      <c r="L183" s="137">
        <v>0</v>
      </c>
      <c r="M183" s="137">
        <v>1</v>
      </c>
      <c r="N183" s="137">
        <v>0</v>
      </c>
      <c r="O183" s="138">
        <v>0</v>
      </c>
      <c r="P183" s="147">
        <v>1172603</v>
      </c>
      <c r="Q183" s="139">
        <v>1</v>
      </c>
      <c r="R183" s="139">
        <v>0</v>
      </c>
      <c r="S183" s="139">
        <v>0</v>
      </c>
      <c r="T183" s="140"/>
      <c r="U183" s="139">
        <f>-SUM(U184:U188)*8/12</f>
        <v>-332338.09000000003</v>
      </c>
      <c r="V183" s="141">
        <v>2023</v>
      </c>
      <c r="W183" s="141">
        <v>1</v>
      </c>
      <c r="X183" s="24"/>
      <c r="Y183" s="24"/>
      <c r="Z183" s="24"/>
      <c r="AA183" s="24"/>
      <c r="AB183" s="24"/>
      <c r="AC183" s="24"/>
      <c r="AD183" s="24"/>
      <c r="AE183" s="24"/>
      <c r="AF183" s="24"/>
      <c r="AG183" s="24">
        <v>36951</v>
      </c>
      <c r="AH183" s="31"/>
      <c r="AI183" s="46" t="str">
        <f t="shared" si="16"/>
        <v/>
      </c>
      <c r="AJ183" s="27"/>
      <c r="AK183" s="27"/>
      <c r="AL183" s="27"/>
      <c r="AM183" s="27"/>
      <c r="AN183" s="27"/>
      <c r="AO183" s="27"/>
      <c r="AP183" s="27"/>
      <c r="AQ183" s="29" t="str">
        <f>IF(AND(AD183&lt;&gt;"",AF183="",AG183=""),DATE(YEAR(AD183)+Menu!$E$10,MONTH(AD183)+Menu!$E$11,1),"")</f>
        <v/>
      </c>
      <c r="AR183" s="29" t="str">
        <f t="shared" si="18"/>
        <v/>
      </c>
      <c r="AS183" s="27" t="str">
        <f>IF(AND(AR183&lt;&gt;"",AH183="",AG183=""),DATE(YEAR(AR183)+Menu!$E$13,MONTH(AR183)+Menu!$E$14,1),"")</f>
        <v/>
      </c>
      <c r="AT183" s="27"/>
      <c r="AU183" s="16" t="s">
        <v>135</v>
      </c>
      <c r="AV183" s="16" t="s">
        <v>135</v>
      </c>
      <c r="AW183" s="16" t="s">
        <v>135</v>
      </c>
      <c r="AX183" s="16" t="s">
        <v>135</v>
      </c>
      <c r="AY183" s="16" t="s">
        <v>135</v>
      </c>
      <c r="AZ183" s="16" t="s">
        <v>135</v>
      </c>
      <c r="BA183" s="16" t="s">
        <v>135</v>
      </c>
      <c r="BB183" s="16" t="s">
        <v>135</v>
      </c>
      <c r="BC183" s="16" t="s">
        <v>135</v>
      </c>
      <c r="BD183" s="16" t="s">
        <v>135</v>
      </c>
      <c r="BE183" s="16" t="s">
        <v>135</v>
      </c>
      <c r="BF183" s="16" t="s">
        <v>135</v>
      </c>
      <c r="BG183" s="16" t="s">
        <v>135</v>
      </c>
      <c r="BH183" s="16" t="s">
        <v>135</v>
      </c>
      <c r="BI183" s="16" t="s">
        <v>135</v>
      </c>
      <c r="BJ183" s="15" t="s">
        <v>135</v>
      </c>
      <c r="BK183" s="15" t="s">
        <v>135</v>
      </c>
      <c r="BL183" s="131" t="s">
        <v>135</v>
      </c>
      <c r="BM183" t="s">
        <v>135</v>
      </c>
      <c r="BN183" t="s">
        <v>135</v>
      </c>
      <c r="BO183" t="s">
        <v>135</v>
      </c>
      <c r="BP183" t="s">
        <v>138</v>
      </c>
      <c r="BQ183" t="s">
        <v>138</v>
      </c>
      <c r="BR183" t="s">
        <v>138</v>
      </c>
      <c r="BS183" t="s">
        <v>138</v>
      </c>
      <c r="BT183" t="s">
        <v>138</v>
      </c>
      <c r="BU183" t="s">
        <v>138</v>
      </c>
      <c r="BV183" t="s">
        <v>138</v>
      </c>
      <c r="BW183" t="s">
        <v>138</v>
      </c>
      <c r="BX183" t="s">
        <v>138</v>
      </c>
      <c r="BY183" s="56">
        <v>1172603</v>
      </c>
      <c r="BZ183" s="56">
        <v>1000375</v>
      </c>
      <c r="CA183" s="56">
        <v>1000375</v>
      </c>
      <c r="CB183" s="56">
        <v>1000375</v>
      </c>
      <c r="CC183" s="56">
        <v>334578.5766666666</v>
      </c>
      <c r="CD183" s="56">
        <v>0</v>
      </c>
      <c r="CE183" s="56">
        <v>0</v>
      </c>
      <c r="CF183" s="56">
        <v>0</v>
      </c>
      <c r="CG183" s="56">
        <v>0</v>
      </c>
      <c r="CH183" s="56">
        <v>0</v>
      </c>
      <c r="CI183" s="56">
        <v>0</v>
      </c>
      <c r="CJ183" s="56">
        <v>0</v>
      </c>
      <c r="CK183" s="56">
        <v>0</v>
      </c>
    </row>
    <row r="184" spans="1:89" ht="13" x14ac:dyDescent="0.3">
      <c r="A184" s="177" t="s">
        <v>300</v>
      </c>
      <c r="B184" s="134">
        <v>156608</v>
      </c>
      <c r="C184" s="135" t="s">
        <v>200</v>
      </c>
      <c r="D184" s="136">
        <v>28056</v>
      </c>
      <c r="E184" s="136">
        <v>51440</v>
      </c>
      <c r="F184" s="135" t="s">
        <v>172</v>
      </c>
      <c r="G184" s="135">
        <v>2002</v>
      </c>
      <c r="H184" s="135"/>
      <c r="I184" s="137">
        <v>851</v>
      </c>
      <c r="J184" s="137">
        <v>0</v>
      </c>
      <c r="K184" s="137">
        <v>0</v>
      </c>
      <c r="L184" s="137">
        <v>0</v>
      </c>
      <c r="M184" s="137">
        <v>1</v>
      </c>
      <c r="N184" s="137">
        <v>0</v>
      </c>
      <c r="O184" s="138">
        <v>2</v>
      </c>
      <c r="P184" s="147">
        <v>0</v>
      </c>
      <c r="Q184" s="139">
        <v>1</v>
      </c>
      <c r="R184" s="139">
        <v>0</v>
      </c>
      <c r="S184" s="139">
        <v>0</v>
      </c>
      <c r="T184" s="140"/>
      <c r="U184" s="139">
        <f>121327*1.225*W184</f>
        <v>118900.46000000002</v>
      </c>
      <c r="V184" s="141">
        <v>2023</v>
      </c>
      <c r="W184" s="141">
        <v>0.8</v>
      </c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31"/>
      <c r="AI184" s="46" t="str">
        <f t="shared" si="16"/>
        <v/>
      </c>
      <c r="AJ184" s="27"/>
      <c r="AK184" s="27"/>
      <c r="AL184" s="27"/>
      <c r="AM184" s="27"/>
      <c r="AN184" s="27"/>
      <c r="AO184" s="27"/>
      <c r="AP184" s="27"/>
      <c r="AQ184" s="29"/>
      <c r="AR184" s="29"/>
      <c r="AS184" s="27"/>
      <c r="AT184" s="27">
        <v>45169</v>
      </c>
      <c r="AU184" s="16" t="s">
        <v>293</v>
      </c>
      <c r="AV184" s="16" t="s">
        <v>293</v>
      </c>
      <c r="AW184" s="16" t="s">
        <v>293</v>
      </c>
      <c r="AX184" s="16" t="s">
        <v>293</v>
      </c>
      <c r="AY184" s="16" t="s">
        <v>293</v>
      </c>
      <c r="AZ184" s="16" t="s">
        <v>293</v>
      </c>
      <c r="BA184" s="16" t="s">
        <v>293</v>
      </c>
      <c r="BB184" s="16" t="s">
        <v>293</v>
      </c>
      <c r="BC184" s="16" t="s">
        <v>293</v>
      </c>
      <c r="BD184" s="16" t="s">
        <v>293</v>
      </c>
      <c r="BE184" s="16" t="s">
        <v>293</v>
      </c>
      <c r="BF184" s="16" t="s">
        <v>293</v>
      </c>
      <c r="BG184" s="16" t="s">
        <v>293</v>
      </c>
      <c r="BH184" s="16" t="s">
        <v>293</v>
      </c>
      <c r="BI184" s="16" t="s">
        <v>293</v>
      </c>
      <c r="BJ184" s="16" t="s">
        <v>293</v>
      </c>
      <c r="BK184" s="15" t="s">
        <v>388</v>
      </c>
      <c r="BL184" s="131" t="s">
        <v>388</v>
      </c>
      <c r="BM184" t="s">
        <v>388</v>
      </c>
      <c r="BN184" t="s">
        <v>388</v>
      </c>
      <c r="BO184" t="s">
        <v>388</v>
      </c>
      <c r="BP184" t="s">
        <v>389</v>
      </c>
      <c r="BQ184" t="s">
        <v>389</v>
      </c>
      <c r="BR184" t="s">
        <v>389</v>
      </c>
      <c r="BS184" t="s">
        <v>389</v>
      </c>
      <c r="BT184" t="s">
        <v>389</v>
      </c>
      <c r="BU184" t="s">
        <v>389</v>
      </c>
      <c r="BV184" t="s">
        <v>389</v>
      </c>
      <c r="BW184" t="s">
        <v>389</v>
      </c>
      <c r="BX184" t="s">
        <v>389</v>
      </c>
      <c r="BY184" s="56">
        <v>0</v>
      </c>
      <c r="BZ184" s="56">
        <v>0</v>
      </c>
      <c r="CA184" s="56">
        <v>0</v>
      </c>
      <c r="CB184" s="56">
        <v>0</v>
      </c>
      <c r="CC184" s="56">
        <v>118900.46000000002</v>
      </c>
      <c r="CD184" s="56">
        <v>118900.46000000002</v>
      </c>
      <c r="CE184" s="56">
        <v>118900.46000000002</v>
      </c>
      <c r="CF184" s="56">
        <v>118900.46000000002</v>
      </c>
      <c r="CG184" s="56">
        <v>118900.46000000002</v>
      </c>
      <c r="CH184" s="56">
        <v>118900.46000000002</v>
      </c>
      <c r="CI184" s="56">
        <v>118900.46000000002</v>
      </c>
      <c r="CJ184" s="56">
        <v>118900.46000000002</v>
      </c>
      <c r="CK184" s="56">
        <v>118900.46000000002</v>
      </c>
    </row>
    <row r="185" spans="1:89" ht="13" x14ac:dyDescent="0.3">
      <c r="A185" s="177" t="s">
        <v>301</v>
      </c>
      <c r="B185" s="134">
        <v>156618</v>
      </c>
      <c r="C185" s="135" t="s">
        <v>200</v>
      </c>
      <c r="D185" s="136">
        <v>21477</v>
      </c>
      <c r="E185" s="136">
        <v>45230</v>
      </c>
      <c r="F185" s="135" t="s">
        <v>173</v>
      </c>
      <c r="G185" s="135">
        <v>2003</v>
      </c>
      <c r="H185" s="135"/>
      <c r="I185" s="137">
        <v>851</v>
      </c>
      <c r="J185" s="137">
        <v>0</v>
      </c>
      <c r="K185" s="137">
        <v>0</v>
      </c>
      <c r="L185" s="137">
        <v>0</v>
      </c>
      <c r="M185" s="137">
        <v>1</v>
      </c>
      <c r="N185" s="137">
        <v>0</v>
      </c>
      <c r="O185" s="138">
        <v>2</v>
      </c>
      <c r="P185" s="147">
        <v>0</v>
      </c>
      <c r="Q185" s="139">
        <v>1</v>
      </c>
      <c r="R185" s="139">
        <v>0</v>
      </c>
      <c r="S185" s="139">
        <v>0</v>
      </c>
      <c r="T185" s="140"/>
      <c r="U185" s="139">
        <v>0</v>
      </c>
      <c r="V185" s="141"/>
      <c r="W185" s="141">
        <v>1</v>
      </c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31"/>
      <c r="AI185" s="46" t="str">
        <f t="shared" si="16"/>
        <v/>
      </c>
      <c r="AJ185" s="27"/>
      <c r="AK185" s="27"/>
      <c r="AL185" s="27"/>
      <c r="AM185" s="27"/>
      <c r="AN185" s="27"/>
      <c r="AO185" s="27"/>
      <c r="AP185" s="27"/>
      <c r="AQ185" s="29"/>
      <c r="AR185" s="29"/>
      <c r="AS185" s="27"/>
      <c r="AT185" s="27">
        <v>45169</v>
      </c>
      <c r="AU185" s="16"/>
      <c r="AV185" s="16" t="s">
        <v>293</v>
      </c>
      <c r="AW185" s="16" t="s">
        <v>293</v>
      </c>
      <c r="AX185" s="16" t="s">
        <v>293</v>
      </c>
      <c r="AY185" s="16" t="s">
        <v>293</v>
      </c>
      <c r="AZ185" s="16" t="s">
        <v>293</v>
      </c>
      <c r="BA185" s="16" t="s">
        <v>293</v>
      </c>
      <c r="BB185" s="16" t="s">
        <v>293</v>
      </c>
      <c r="BC185" s="16" t="s">
        <v>293</v>
      </c>
      <c r="BD185" s="16" t="s">
        <v>293</v>
      </c>
      <c r="BE185" s="16" t="s">
        <v>293</v>
      </c>
      <c r="BF185" s="16" t="s">
        <v>293</v>
      </c>
      <c r="BG185" s="16" t="s">
        <v>293</v>
      </c>
      <c r="BH185" s="16" t="s">
        <v>293</v>
      </c>
      <c r="BI185" s="16" t="s">
        <v>293</v>
      </c>
      <c r="BJ185" s="16" t="s">
        <v>293</v>
      </c>
      <c r="BK185" s="15" t="s">
        <v>388</v>
      </c>
      <c r="BL185" s="131" t="s">
        <v>388</v>
      </c>
      <c r="BM185" t="s">
        <v>388</v>
      </c>
      <c r="BN185" t="s">
        <v>388</v>
      </c>
      <c r="BO185" t="s">
        <v>388</v>
      </c>
      <c r="BP185" t="s">
        <v>388</v>
      </c>
      <c r="BQ185" t="s">
        <v>138</v>
      </c>
      <c r="BR185" t="s">
        <v>138</v>
      </c>
      <c r="BS185" t="s">
        <v>138</v>
      </c>
      <c r="BT185" t="s">
        <v>138</v>
      </c>
      <c r="BU185" t="s">
        <v>138</v>
      </c>
      <c r="BV185" t="s">
        <v>138</v>
      </c>
      <c r="BW185" t="s">
        <v>138</v>
      </c>
      <c r="BX185" t="s">
        <v>138</v>
      </c>
      <c r="BY185" s="56">
        <v>0</v>
      </c>
      <c r="BZ185" s="56">
        <v>0</v>
      </c>
      <c r="CA185" s="56">
        <v>0</v>
      </c>
      <c r="CB185" s="56">
        <v>0</v>
      </c>
      <c r="CC185" s="56">
        <v>0</v>
      </c>
      <c r="CD185" s="56">
        <v>0</v>
      </c>
      <c r="CE185" s="56">
        <v>0</v>
      </c>
      <c r="CF185" s="56">
        <v>0</v>
      </c>
      <c r="CG185" s="56">
        <v>0</v>
      </c>
      <c r="CH185" s="56">
        <v>0</v>
      </c>
      <c r="CI185" s="56">
        <v>0</v>
      </c>
      <c r="CJ185" s="56">
        <v>0</v>
      </c>
      <c r="CK185" s="56">
        <v>0</v>
      </c>
    </row>
    <row r="186" spans="1:89" ht="13" x14ac:dyDescent="0.3">
      <c r="A186" s="177" t="s">
        <v>334</v>
      </c>
      <c r="B186" s="134" t="s">
        <v>335</v>
      </c>
      <c r="C186" s="135" t="s">
        <v>200</v>
      </c>
      <c r="D186" s="136">
        <v>22234</v>
      </c>
      <c r="E186" s="136">
        <v>45626</v>
      </c>
      <c r="F186" s="135" t="s">
        <v>172</v>
      </c>
      <c r="G186" s="135">
        <v>1997</v>
      </c>
      <c r="H186" s="135"/>
      <c r="I186" s="137">
        <v>851</v>
      </c>
      <c r="J186" s="137">
        <v>0</v>
      </c>
      <c r="K186" s="137">
        <v>0</v>
      </c>
      <c r="L186" s="137">
        <v>0</v>
      </c>
      <c r="M186" s="137">
        <v>1</v>
      </c>
      <c r="N186" s="137">
        <v>0</v>
      </c>
      <c r="O186" s="138">
        <v>2</v>
      </c>
      <c r="P186" s="147">
        <v>0</v>
      </c>
      <c r="Q186" s="139">
        <v>1</v>
      </c>
      <c r="R186" s="139">
        <v>0</v>
      </c>
      <c r="S186" s="139">
        <v>0</v>
      </c>
      <c r="T186" s="140"/>
      <c r="U186" s="139">
        <f>132908*1.225*W186</f>
        <v>122109.22500000001</v>
      </c>
      <c r="V186" s="141">
        <v>2023</v>
      </c>
      <c r="W186" s="141">
        <v>0.75</v>
      </c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31"/>
      <c r="AI186" s="46"/>
      <c r="AJ186" s="27"/>
      <c r="AK186" s="27"/>
      <c r="AL186" s="27"/>
      <c r="AM186" s="27"/>
      <c r="AN186" s="27"/>
      <c r="AO186" s="27"/>
      <c r="AP186" s="27"/>
      <c r="AQ186" s="29"/>
      <c r="AR186" s="29"/>
      <c r="AS186" s="27"/>
      <c r="AT186" s="27">
        <v>45169</v>
      </c>
      <c r="AU186" s="16" t="s">
        <v>293</v>
      </c>
      <c r="AV186" s="16" t="s">
        <v>293</v>
      </c>
      <c r="AW186" s="16" t="s">
        <v>293</v>
      </c>
      <c r="AX186" s="16" t="s">
        <v>293</v>
      </c>
      <c r="AY186" s="16" t="s">
        <v>293</v>
      </c>
      <c r="AZ186" s="16" t="s">
        <v>293</v>
      </c>
      <c r="BA186" s="16" t="s">
        <v>293</v>
      </c>
      <c r="BB186" s="16" t="s">
        <v>293</v>
      </c>
      <c r="BC186" s="16" t="s">
        <v>293</v>
      </c>
      <c r="BD186" s="16" t="s">
        <v>293</v>
      </c>
      <c r="BE186" s="16" t="s">
        <v>293</v>
      </c>
      <c r="BF186" s="16" t="s">
        <v>293</v>
      </c>
      <c r="BG186" s="16" t="s">
        <v>293</v>
      </c>
      <c r="BH186" s="16" t="s">
        <v>293</v>
      </c>
      <c r="BI186" s="16" t="s">
        <v>293</v>
      </c>
      <c r="BJ186" s="16" t="s">
        <v>293</v>
      </c>
      <c r="BK186" s="15" t="s">
        <v>388</v>
      </c>
      <c r="BL186" s="131" t="s">
        <v>388</v>
      </c>
      <c r="BM186" t="s">
        <v>388</v>
      </c>
      <c r="BN186" t="s">
        <v>388</v>
      </c>
      <c r="BO186" t="s">
        <v>388</v>
      </c>
      <c r="BP186" t="s">
        <v>389</v>
      </c>
      <c r="BQ186" t="s">
        <v>389</v>
      </c>
      <c r="BR186" t="s">
        <v>138</v>
      </c>
      <c r="BS186" t="s">
        <v>138</v>
      </c>
      <c r="BT186" t="s">
        <v>138</v>
      </c>
      <c r="BU186" t="s">
        <v>138</v>
      </c>
      <c r="BV186" t="s">
        <v>138</v>
      </c>
      <c r="BW186" t="s">
        <v>138</v>
      </c>
      <c r="BX186" t="s">
        <v>138</v>
      </c>
      <c r="BY186" s="56">
        <v>0</v>
      </c>
      <c r="BZ186" s="56">
        <v>0</v>
      </c>
      <c r="CA186" s="56">
        <v>0</v>
      </c>
      <c r="CB186" s="56">
        <v>0</v>
      </c>
      <c r="CC186" s="56">
        <v>122109.22500000001</v>
      </c>
      <c r="CD186" s="56">
        <v>111933.45625</v>
      </c>
      <c r="CE186" s="56">
        <v>0</v>
      </c>
      <c r="CF186" s="56">
        <v>0</v>
      </c>
      <c r="CG186" s="56">
        <v>0</v>
      </c>
      <c r="CH186" s="56">
        <v>0</v>
      </c>
      <c r="CI186" s="56">
        <v>0</v>
      </c>
      <c r="CJ186" s="56">
        <v>0</v>
      </c>
      <c r="CK186" s="56">
        <v>0</v>
      </c>
    </row>
    <row r="187" spans="1:89" ht="13" x14ac:dyDescent="0.3">
      <c r="A187" s="177" t="s">
        <v>302</v>
      </c>
      <c r="B187" s="134">
        <v>217635</v>
      </c>
      <c r="C187" s="135" t="s">
        <v>200</v>
      </c>
      <c r="D187" s="136">
        <v>31788</v>
      </c>
      <c r="E187" s="136">
        <v>55549</v>
      </c>
      <c r="F187" s="135" t="s">
        <v>173</v>
      </c>
      <c r="G187" s="135">
        <v>2011</v>
      </c>
      <c r="H187" s="135"/>
      <c r="I187" s="137">
        <v>851</v>
      </c>
      <c r="J187" s="137">
        <v>0</v>
      </c>
      <c r="K187" s="137">
        <v>0</v>
      </c>
      <c r="L187" s="137">
        <v>0</v>
      </c>
      <c r="M187" s="137">
        <v>1</v>
      </c>
      <c r="N187" s="137">
        <v>0</v>
      </c>
      <c r="O187" s="138">
        <v>2</v>
      </c>
      <c r="P187" s="147">
        <v>0</v>
      </c>
      <c r="Q187" s="139">
        <v>1</v>
      </c>
      <c r="R187" s="139">
        <v>0</v>
      </c>
      <c r="S187" s="139">
        <v>0</v>
      </c>
      <c r="T187" s="140"/>
      <c r="U187" s="139">
        <f>92000*1.225</f>
        <v>112700.00000000001</v>
      </c>
      <c r="V187" s="141">
        <v>2023</v>
      </c>
      <c r="W187" s="141">
        <v>1</v>
      </c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31"/>
      <c r="AI187" s="46" t="str">
        <f t="shared" ref="AI187:AI197" si="19">IF(YEAR(E187)&lt;2018,YEAR(E187),"")</f>
        <v/>
      </c>
      <c r="AJ187" s="27"/>
      <c r="AK187" s="27"/>
      <c r="AL187" s="27"/>
      <c r="AM187" s="27"/>
      <c r="AN187" s="27"/>
      <c r="AO187" s="27"/>
      <c r="AP187" s="27"/>
      <c r="AQ187" s="29"/>
      <c r="AR187" s="29"/>
      <c r="AS187" s="27"/>
      <c r="AT187" s="27">
        <v>45169</v>
      </c>
      <c r="AU187" s="16"/>
      <c r="AV187" s="16"/>
      <c r="AW187" s="16"/>
      <c r="AX187" s="16"/>
      <c r="AY187" s="16"/>
      <c r="AZ187" s="16"/>
      <c r="BA187" s="16"/>
      <c r="BB187" s="16"/>
      <c r="BC187" s="16"/>
      <c r="BD187" s="16" t="s">
        <v>293</v>
      </c>
      <c r="BE187" s="16" t="s">
        <v>293</v>
      </c>
      <c r="BF187" s="16" t="s">
        <v>293</v>
      </c>
      <c r="BG187" s="16" t="s">
        <v>293</v>
      </c>
      <c r="BH187" s="16" t="s">
        <v>293</v>
      </c>
      <c r="BI187" s="16" t="s">
        <v>293</v>
      </c>
      <c r="BJ187" s="16" t="s">
        <v>293</v>
      </c>
      <c r="BK187" s="15" t="s">
        <v>388</v>
      </c>
      <c r="BL187" s="131" t="s">
        <v>388</v>
      </c>
      <c r="BM187" t="s">
        <v>388</v>
      </c>
      <c r="BN187" t="s">
        <v>388</v>
      </c>
      <c r="BO187" t="s">
        <v>388</v>
      </c>
      <c r="BP187" t="s">
        <v>389</v>
      </c>
      <c r="BQ187" t="s">
        <v>389</v>
      </c>
      <c r="BR187" t="s">
        <v>389</v>
      </c>
      <c r="BS187" t="s">
        <v>389</v>
      </c>
      <c r="BT187" t="s">
        <v>389</v>
      </c>
      <c r="BU187" t="s">
        <v>389</v>
      </c>
      <c r="BV187" t="s">
        <v>389</v>
      </c>
      <c r="BW187" t="s">
        <v>389</v>
      </c>
      <c r="BX187" t="s">
        <v>389</v>
      </c>
      <c r="BY187" s="56">
        <v>0</v>
      </c>
      <c r="BZ187" s="56">
        <v>0</v>
      </c>
      <c r="CA187" s="56">
        <v>0</v>
      </c>
      <c r="CB187" s="56">
        <v>0</v>
      </c>
      <c r="CC187" s="56">
        <v>112700.00000000001</v>
      </c>
      <c r="CD187" s="56">
        <v>112700.00000000001</v>
      </c>
      <c r="CE187" s="56">
        <v>112700.00000000001</v>
      </c>
      <c r="CF187" s="56">
        <v>112700.00000000001</v>
      </c>
      <c r="CG187" s="56">
        <v>112700.00000000001</v>
      </c>
      <c r="CH187" s="56">
        <v>112700.00000000001</v>
      </c>
      <c r="CI187" s="56">
        <v>112700.00000000001</v>
      </c>
      <c r="CJ187" s="56">
        <v>112700.00000000001</v>
      </c>
      <c r="CK187" s="56">
        <v>112700.00000000001</v>
      </c>
    </row>
    <row r="188" spans="1:89" ht="13" x14ac:dyDescent="0.3">
      <c r="A188" s="177" t="s">
        <v>303</v>
      </c>
      <c r="B188" s="134">
        <v>154702</v>
      </c>
      <c r="C188" s="135" t="s">
        <v>200</v>
      </c>
      <c r="D188" s="136">
        <v>25656</v>
      </c>
      <c r="E188" s="136">
        <v>49399</v>
      </c>
      <c r="F188" s="135" t="s">
        <v>173</v>
      </c>
      <c r="G188" s="135">
        <v>2002</v>
      </c>
      <c r="H188" s="135"/>
      <c r="I188" s="137">
        <v>851</v>
      </c>
      <c r="J188" s="137">
        <v>0</v>
      </c>
      <c r="K188" s="137">
        <v>0</v>
      </c>
      <c r="L188" s="137">
        <v>0</v>
      </c>
      <c r="M188" s="137">
        <v>1</v>
      </c>
      <c r="N188" s="137">
        <v>0</v>
      </c>
      <c r="O188" s="138">
        <v>2</v>
      </c>
      <c r="P188" s="147">
        <v>0</v>
      </c>
      <c r="Q188" s="139">
        <v>1</v>
      </c>
      <c r="R188" s="139">
        <v>0</v>
      </c>
      <c r="S188" s="139">
        <v>0</v>
      </c>
      <c r="T188" s="140"/>
      <c r="U188" s="139">
        <f>118202*1.225</f>
        <v>144797.45000000001</v>
      </c>
      <c r="V188" s="141">
        <v>2023</v>
      </c>
      <c r="W188" s="141">
        <v>1</v>
      </c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31"/>
      <c r="AI188" s="46" t="str">
        <f t="shared" si="19"/>
        <v/>
      </c>
      <c r="AJ188" s="27"/>
      <c r="AK188" s="27"/>
      <c r="AL188" s="27"/>
      <c r="AM188" s="27"/>
      <c r="AN188" s="27"/>
      <c r="AO188" s="27"/>
      <c r="AP188" s="27"/>
      <c r="AQ188" s="29"/>
      <c r="AR188" s="29"/>
      <c r="AS188" s="27"/>
      <c r="AT188" s="27">
        <v>45169</v>
      </c>
      <c r="AU188" s="16" t="s">
        <v>293</v>
      </c>
      <c r="AV188" s="16" t="s">
        <v>293</v>
      </c>
      <c r="AW188" s="16" t="s">
        <v>293</v>
      </c>
      <c r="AX188" s="16" t="s">
        <v>293</v>
      </c>
      <c r="AY188" s="16" t="s">
        <v>293</v>
      </c>
      <c r="AZ188" s="16" t="s">
        <v>293</v>
      </c>
      <c r="BA188" s="16" t="s">
        <v>293</v>
      </c>
      <c r="BB188" s="16" t="s">
        <v>293</v>
      </c>
      <c r="BC188" s="16" t="s">
        <v>293</v>
      </c>
      <c r="BD188" s="16" t="s">
        <v>293</v>
      </c>
      <c r="BE188" s="16" t="s">
        <v>293</v>
      </c>
      <c r="BF188" s="16" t="s">
        <v>293</v>
      </c>
      <c r="BG188" s="16" t="s">
        <v>293</v>
      </c>
      <c r="BH188" s="16" t="s">
        <v>293</v>
      </c>
      <c r="BI188" s="16" t="s">
        <v>293</v>
      </c>
      <c r="BJ188" s="16" t="s">
        <v>293</v>
      </c>
      <c r="BK188" s="15" t="s">
        <v>388</v>
      </c>
      <c r="BL188" s="131" t="s">
        <v>388</v>
      </c>
      <c r="BM188" t="s">
        <v>388</v>
      </c>
      <c r="BN188" t="s">
        <v>388</v>
      </c>
      <c r="BO188" t="s">
        <v>388</v>
      </c>
      <c r="BP188" t="s">
        <v>389</v>
      </c>
      <c r="BQ188" t="s">
        <v>389</v>
      </c>
      <c r="BR188" t="s">
        <v>389</v>
      </c>
      <c r="BS188" t="s">
        <v>389</v>
      </c>
      <c r="BT188" t="s">
        <v>389</v>
      </c>
      <c r="BU188" t="s">
        <v>389</v>
      </c>
      <c r="BV188" t="s">
        <v>389</v>
      </c>
      <c r="BW188" t="s">
        <v>389</v>
      </c>
      <c r="BX188" t="s">
        <v>389</v>
      </c>
      <c r="BY188" s="56">
        <v>0</v>
      </c>
      <c r="BZ188" s="56">
        <v>0</v>
      </c>
      <c r="CA188" s="56">
        <v>0</v>
      </c>
      <c r="CB188" s="56">
        <v>0</v>
      </c>
      <c r="CC188" s="56">
        <v>144797.45000000001</v>
      </c>
      <c r="CD188" s="56">
        <v>144797.45000000001</v>
      </c>
      <c r="CE188" s="56">
        <v>144797.45000000001</v>
      </c>
      <c r="CF188" s="56">
        <v>144797.45000000001</v>
      </c>
      <c r="CG188" s="56">
        <v>144797.45000000001</v>
      </c>
      <c r="CH188" s="56">
        <v>144797.45000000001</v>
      </c>
      <c r="CI188" s="56">
        <v>144797.45000000001</v>
      </c>
      <c r="CJ188" s="56">
        <v>144797.45000000001</v>
      </c>
      <c r="CK188" s="56">
        <v>144797.45000000001</v>
      </c>
    </row>
    <row r="189" spans="1:89" ht="13" x14ac:dyDescent="0.3">
      <c r="A189" s="135" t="s">
        <v>109</v>
      </c>
      <c r="B189" s="134">
        <v>123556</v>
      </c>
      <c r="C189" s="135" t="s">
        <v>198</v>
      </c>
      <c r="D189" s="136">
        <v>20739</v>
      </c>
      <c r="E189" s="136">
        <v>43190</v>
      </c>
      <c r="F189" s="135" t="s">
        <v>173</v>
      </c>
      <c r="G189" s="135"/>
      <c r="H189" s="135"/>
      <c r="I189" s="137">
        <v>1048</v>
      </c>
      <c r="J189" s="137">
        <v>0</v>
      </c>
      <c r="K189" s="137">
        <v>0</v>
      </c>
      <c r="L189" s="137">
        <v>1</v>
      </c>
      <c r="M189" s="137">
        <v>0</v>
      </c>
      <c r="N189" s="137">
        <v>0</v>
      </c>
      <c r="O189" s="138">
        <v>2</v>
      </c>
      <c r="P189" s="147">
        <v>0</v>
      </c>
      <c r="Q189" s="139">
        <v>1</v>
      </c>
      <c r="R189" s="139">
        <v>0</v>
      </c>
      <c r="S189" s="139">
        <v>0</v>
      </c>
      <c r="T189" s="140"/>
      <c r="U189" s="139">
        <v>0</v>
      </c>
      <c r="V189" s="141"/>
      <c r="W189" s="141">
        <v>0</v>
      </c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31"/>
      <c r="AI189" s="46" t="str">
        <f t="shared" si="19"/>
        <v/>
      </c>
      <c r="AJ189" s="27"/>
      <c r="AK189" s="27"/>
      <c r="AL189" s="27"/>
      <c r="AM189" s="27"/>
      <c r="AN189" s="27"/>
      <c r="AO189" s="27"/>
      <c r="AP189" s="27"/>
      <c r="AQ189" s="29" t="str">
        <f>IF(AND(AD189&lt;&gt;"",AF189="",AG189=""),DATE(YEAR(AD189)+Menu!$E$10,MONTH(AD189)+Menu!$E$11,1),"")</f>
        <v/>
      </c>
      <c r="AR189" s="29" t="str">
        <f t="shared" ref="AR189:AR220" si="20">IF(AF189&lt;&gt;0,AF189,AQ189)</f>
        <v/>
      </c>
      <c r="AS189" s="27" t="str">
        <f>IF(AND(AR189&lt;&gt;"",AH189="",AG189=""),DATE(YEAR(AR189)+Menu!$E$13,MONTH(AR189)+Menu!$E$14,1),"")</f>
        <v/>
      </c>
      <c r="AT189" s="27"/>
      <c r="AU189" s="15" t="s">
        <v>138</v>
      </c>
      <c r="AV189" s="15" t="s">
        <v>138</v>
      </c>
      <c r="AW189" s="16" t="s">
        <v>138</v>
      </c>
      <c r="AX189" s="15" t="s">
        <v>138</v>
      </c>
      <c r="AY189" s="15" t="s">
        <v>138</v>
      </c>
      <c r="AZ189" s="15" t="s">
        <v>138</v>
      </c>
      <c r="BA189" s="16" t="s">
        <v>131</v>
      </c>
      <c r="BB189" s="16" t="s">
        <v>131</v>
      </c>
      <c r="BC189" s="16" t="s">
        <v>131</v>
      </c>
      <c r="BD189" s="16" t="s">
        <v>131</v>
      </c>
      <c r="BE189" s="16" t="s">
        <v>131</v>
      </c>
      <c r="BF189" s="16" t="s">
        <v>131</v>
      </c>
      <c r="BG189" s="16" t="s">
        <v>131</v>
      </c>
      <c r="BH189" s="16" t="s">
        <v>131</v>
      </c>
      <c r="BI189" s="16" t="s">
        <v>131</v>
      </c>
      <c r="BJ189" s="15" t="s">
        <v>131</v>
      </c>
      <c r="BK189" s="15" t="s">
        <v>138</v>
      </c>
      <c r="BL189" s="131" t="s">
        <v>138</v>
      </c>
      <c r="BM189" t="s">
        <v>138</v>
      </c>
      <c r="BN189" t="s">
        <v>138</v>
      </c>
      <c r="BO189" t="s">
        <v>138</v>
      </c>
      <c r="BP189" t="s">
        <v>138</v>
      </c>
      <c r="BQ189" t="s">
        <v>138</v>
      </c>
      <c r="BR189" t="s">
        <v>138</v>
      </c>
      <c r="BS189" t="s">
        <v>138</v>
      </c>
      <c r="BT189" t="s">
        <v>138</v>
      </c>
      <c r="BU189" t="s">
        <v>138</v>
      </c>
      <c r="BV189" t="s">
        <v>138</v>
      </c>
      <c r="BW189" t="s">
        <v>138</v>
      </c>
      <c r="BX189" t="s">
        <v>138</v>
      </c>
      <c r="BY189" s="56">
        <v>0</v>
      </c>
      <c r="BZ189" s="56">
        <v>0</v>
      </c>
      <c r="CA189" s="56">
        <v>0</v>
      </c>
      <c r="CB189" s="56">
        <v>0</v>
      </c>
      <c r="CC189" s="56">
        <v>0</v>
      </c>
      <c r="CD189" s="56">
        <v>0</v>
      </c>
      <c r="CE189" s="56">
        <v>0</v>
      </c>
      <c r="CF189" s="56">
        <v>0</v>
      </c>
      <c r="CG189" s="56">
        <v>0</v>
      </c>
      <c r="CH189" s="56">
        <v>0</v>
      </c>
      <c r="CI189" s="56">
        <v>0</v>
      </c>
      <c r="CJ189" s="56">
        <v>0</v>
      </c>
      <c r="CK189" s="56">
        <v>0</v>
      </c>
    </row>
    <row r="190" spans="1:89" ht="13" x14ac:dyDescent="0.3">
      <c r="A190" s="135" t="s">
        <v>110</v>
      </c>
      <c r="B190" s="134">
        <v>106416</v>
      </c>
      <c r="C190" s="135" t="s">
        <v>200</v>
      </c>
      <c r="D190" s="136">
        <v>18154</v>
      </c>
      <c r="E190" s="136">
        <v>42643</v>
      </c>
      <c r="F190" s="135" t="s">
        <v>172</v>
      </c>
      <c r="G190" s="135"/>
      <c r="H190" s="135"/>
      <c r="I190" s="137">
        <v>840</v>
      </c>
      <c r="J190" s="137">
        <v>0</v>
      </c>
      <c r="K190" s="137">
        <v>0</v>
      </c>
      <c r="L190" s="137">
        <v>0</v>
      </c>
      <c r="M190" s="137">
        <v>1</v>
      </c>
      <c r="N190" s="137">
        <v>0</v>
      </c>
      <c r="O190" s="138">
        <v>0</v>
      </c>
      <c r="P190" s="147">
        <v>0</v>
      </c>
      <c r="Q190" s="139">
        <v>0</v>
      </c>
      <c r="R190" s="139">
        <v>0</v>
      </c>
      <c r="S190" s="139">
        <v>0</v>
      </c>
      <c r="T190" s="140"/>
      <c r="U190" s="139">
        <v>0</v>
      </c>
      <c r="V190" s="141"/>
      <c r="W190" s="141">
        <v>0</v>
      </c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31"/>
      <c r="AI190" s="46">
        <f t="shared" si="19"/>
        <v>2016</v>
      </c>
      <c r="AJ190" s="27"/>
      <c r="AK190" s="27"/>
      <c r="AL190" s="27"/>
      <c r="AM190" s="27"/>
      <c r="AN190" s="27"/>
      <c r="AO190" s="27"/>
      <c r="AP190" s="27"/>
      <c r="AQ190" s="29" t="str">
        <f>IF(AND(AD190&lt;&gt;"",AF190="",AG190=""),DATE(YEAR(AD190)+Menu!$E$10,MONTH(AD190)+Menu!$E$11,1),"")</f>
        <v/>
      </c>
      <c r="AR190" s="29" t="str">
        <f t="shared" si="20"/>
        <v/>
      </c>
      <c r="AS190" s="27" t="str">
        <f>IF(AND(AR190&lt;&gt;"",AH190="",AG190=""),DATE(YEAR(AR190)+Menu!$E$13,MONTH(AR190)+Menu!$E$14,1),"")</f>
        <v/>
      </c>
      <c r="AT190" s="27"/>
      <c r="AU190" s="16" t="s">
        <v>135</v>
      </c>
      <c r="AV190" s="16" t="s">
        <v>135</v>
      </c>
      <c r="AW190" s="16" t="s">
        <v>135</v>
      </c>
      <c r="AX190" s="16" t="s">
        <v>135</v>
      </c>
      <c r="AY190" s="16" t="s">
        <v>135</v>
      </c>
      <c r="AZ190" s="16" t="s">
        <v>135</v>
      </c>
      <c r="BA190" s="16" t="s">
        <v>135</v>
      </c>
      <c r="BB190" s="16" t="s">
        <v>135</v>
      </c>
      <c r="BC190" s="16" t="s">
        <v>135</v>
      </c>
      <c r="BD190" s="16" t="s">
        <v>135</v>
      </c>
      <c r="BE190" s="16" t="s">
        <v>135</v>
      </c>
      <c r="BF190" s="16" t="s">
        <v>135</v>
      </c>
      <c r="BG190" s="16" t="s">
        <v>135</v>
      </c>
      <c r="BH190" s="16" t="s">
        <v>135</v>
      </c>
      <c r="BI190" s="16" t="s">
        <v>136</v>
      </c>
      <c r="BJ190" s="15" t="s">
        <v>136</v>
      </c>
      <c r="BK190" s="15" t="s">
        <v>136</v>
      </c>
      <c r="BL190" s="131"/>
      <c r="BY190" s="56">
        <v>0</v>
      </c>
      <c r="BZ190" s="56"/>
      <c r="CA190" s="56"/>
      <c r="CB190" s="56"/>
      <c r="CC190" s="56"/>
      <c r="CD190" s="56"/>
      <c r="CE190" s="56"/>
      <c r="CF190" s="56"/>
      <c r="CG190" s="56"/>
      <c r="CH190" s="56"/>
      <c r="CI190" s="56"/>
      <c r="CJ190" s="56"/>
      <c r="CK190" s="56"/>
    </row>
    <row r="191" spans="1:89" ht="13" x14ac:dyDescent="0.3">
      <c r="A191" s="135" t="s">
        <v>177</v>
      </c>
      <c r="B191" s="134">
        <v>0</v>
      </c>
      <c r="C191" s="135" t="s">
        <v>200</v>
      </c>
      <c r="D191" s="136">
        <v>14949</v>
      </c>
      <c r="E191" s="136">
        <v>38717</v>
      </c>
      <c r="F191" s="135" t="s">
        <v>173</v>
      </c>
      <c r="G191" s="135"/>
      <c r="H191" s="135"/>
      <c r="I191" s="137">
        <v>0</v>
      </c>
      <c r="J191" s="137">
        <v>0</v>
      </c>
      <c r="K191" s="137">
        <v>0</v>
      </c>
      <c r="L191" s="137">
        <v>0</v>
      </c>
      <c r="M191" s="137">
        <v>1</v>
      </c>
      <c r="N191" s="137">
        <v>0</v>
      </c>
      <c r="O191" s="138">
        <v>0</v>
      </c>
      <c r="P191" s="147">
        <v>0</v>
      </c>
      <c r="Q191" s="139">
        <v>0</v>
      </c>
      <c r="R191" s="139">
        <v>0</v>
      </c>
      <c r="S191" s="139">
        <v>0</v>
      </c>
      <c r="T191" s="140"/>
      <c r="U191" s="139">
        <v>0</v>
      </c>
      <c r="V191" s="141"/>
      <c r="W191" s="141">
        <v>0</v>
      </c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31"/>
      <c r="AI191" s="46">
        <f t="shared" si="19"/>
        <v>2005</v>
      </c>
      <c r="AJ191" s="27"/>
      <c r="AK191" s="27"/>
      <c r="AL191" s="27"/>
      <c r="AM191" s="27"/>
      <c r="AN191" s="27"/>
      <c r="AO191" s="27"/>
      <c r="AP191" s="27"/>
      <c r="AQ191" s="29" t="str">
        <f>IF(AND(AD191&lt;&gt;"",AF191="",AG191=""),DATE(YEAR(AD191)+Menu!$E$10,MONTH(AD191)+Menu!$E$11,1),"")</f>
        <v/>
      </c>
      <c r="AR191" s="29" t="str">
        <f t="shared" si="20"/>
        <v/>
      </c>
      <c r="AS191" s="27" t="str">
        <f>IF(AND(AR191&lt;&gt;"",AH191="",AG191=""),DATE(YEAR(AR191)+Menu!$E$13,MONTH(AR191)+Menu!$E$14,1),"")</f>
        <v/>
      </c>
      <c r="AT191" s="27"/>
      <c r="AU191" s="16" t="s">
        <v>135</v>
      </c>
      <c r="AV191" s="16" t="s">
        <v>135</v>
      </c>
      <c r="AW191" s="16" t="s">
        <v>135</v>
      </c>
      <c r="AX191" s="16" t="s">
        <v>136</v>
      </c>
      <c r="AY191" s="16" t="s">
        <v>136</v>
      </c>
      <c r="AZ191" s="16" t="s">
        <v>136</v>
      </c>
      <c r="BA191" s="16" t="s">
        <v>136</v>
      </c>
      <c r="BB191" s="16" t="s">
        <v>136</v>
      </c>
      <c r="BC191" s="16" t="s">
        <v>136</v>
      </c>
      <c r="BD191" s="16" t="s">
        <v>136</v>
      </c>
      <c r="BE191" s="16" t="s">
        <v>136</v>
      </c>
      <c r="BF191" s="16" t="s">
        <v>136</v>
      </c>
      <c r="BG191" s="16" t="s">
        <v>136</v>
      </c>
      <c r="BH191" s="16" t="s">
        <v>136</v>
      </c>
      <c r="BI191" s="16" t="s">
        <v>136</v>
      </c>
      <c r="BJ191" s="15" t="s">
        <v>136</v>
      </c>
      <c r="BK191" s="15" t="s">
        <v>136</v>
      </c>
      <c r="BL191" s="131"/>
      <c r="BY191" s="56">
        <v>0</v>
      </c>
      <c r="BZ191" s="56"/>
      <c r="CA191" s="56"/>
      <c r="CB191" s="56"/>
      <c r="CC191" s="56"/>
      <c r="CD191" s="56"/>
      <c r="CE191" s="56"/>
      <c r="CF191" s="56"/>
      <c r="CG191" s="56"/>
      <c r="CH191" s="56"/>
      <c r="CI191" s="56"/>
      <c r="CJ191" s="56"/>
      <c r="CK191" s="56"/>
    </row>
    <row r="192" spans="1:89" ht="13" x14ac:dyDescent="0.3">
      <c r="A192" s="135" t="s">
        <v>111</v>
      </c>
      <c r="B192" s="134">
        <v>162368</v>
      </c>
      <c r="C192" s="135" t="s">
        <v>198</v>
      </c>
      <c r="D192" s="136">
        <v>26040</v>
      </c>
      <c r="E192" s="136">
        <v>49795</v>
      </c>
      <c r="F192" s="135" t="s">
        <v>173</v>
      </c>
      <c r="G192" s="135"/>
      <c r="H192" s="135"/>
      <c r="I192" s="137">
        <v>407</v>
      </c>
      <c r="J192" s="137">
        <v>0</v>
      </c>
      <c r="K192" s="137">
        <v>0</v>
      </c>
      <c r="L192" s="137">
        <v>1</v>
      </c>
      <c r="M192" s="137">
        <v>0</v>
      </c>
      <c r="N192" s="137">
        <v>0</v>
      </c>
      <c r="O192" s="138">
        <v>0</v>
      </c>
      <c r="P192" s="147">
        <f>972932-P26</f>
        <v>855866.75</v>
      </c>
      <c r="Q192" s="139">
        <v>1</v>
      </c>
      <c r="R192" s="139">
        <v>0</v>
      </c>
      <c r="S192" s="139">
        <v>0</v>
      </c>
      <c r="T192" s="140"/>
      <c r="U192" s="139">
        <v>0</v>
      </c>
      <c r="V192" s="141"/>
      <c r="W192" s="141">
        <v>1</v>
      </c>
      <c r="X192" s="24"/>
      <c r="Y192" s="24"/>
      <c r="Z192" s="24"/>
      <c r="AA192" s="24"/>
      <c r="AB192" s="24"/>
      <c r="AC192" s="24"/>
      <c r="AD192" s="24">
        <v>38078</v>
      </c>
      <c r="AE192" s="24"/>
      <c r="AF192" s="24">
        <v>40603</v>
      </c>
      <c r="AG192" s="24">
        <v>43101</v>
      </c>
      <c r="AH192" s="31"/>
      <c r="AI192" s="46" t="str">
        <f t="shared" si="19"/>
        <v/>
      </c>
      <c r="AJ192" s="27"/>
      <c r="AK192" s="27"/>
      <c r="AL192" s="27"/>
      <c r="AM192" s="27"/>
      <c r="AN192" s="27"/>
      <c r="AO192" s="27"/>
      <c r="AP192" s="27"/>
      <c r="AQ192" s="29" t="str">
        <f>IF(AND(AD192&lt;&gt;"",AF192="",AG192=""),DATE(YEAR(AD192)+Menu!$E$10,MONTH(AD192)+Menu!$E$11,1),"")</f>
        <v/>
      </c>
      <c r="AR192" s="29">
        <f t="shared" si="20"/>
        <v>40603</v>
      </c>
      <c r="AS192" s="27" t="str">
        <f>IF(AND(AR192&lt;&gt;"",AH192="",AG192=""),DATE(YEAR(AR192)+Menu!$E$13,MONTH(AR192)+Menu!$E$14,1),"")</f>
        <v/>
      </c>
      <c r="AT192" s="27"/>
      <c r="AU192" s="15" t="s">
        <v>138</v>
      </c>
      <c r="AV192" s="15" t="s">
        <v>138</v>
      </c>
      <c r="AW192" s="16" t="s">
        <v>133</v>
      </c>
      <c r="AX192" s="16" t="s">
        <v>133</v>
      </c>
      <c r="AY192" s="16" t="s">
        <v>133</v>
      </c>
      <c r="AZ192" s="16" t="s">
        <v>133</v>
      </c>
      <c r="BA192" s="16" t="s">
        <v>133</v>
      </c>
      <c r="BB192" s="16" t="s">
        <v>133</v>
      </c>
      <c r="BC192" s="16" t="s">
        <v>133</v>
      </c>
      <c r="BD192" s="16" t="s">
        <v>134</v>
      </c>
      <c r="BE192" s="16" t="s">
        <v>134</v>
      </c>
      <c r="BF192" s="16" t="s">
        <v>134</v>
      </c>
      <c r="BG192" s="16" t="s">
        <v>134</v>
      </c>
      <c r="BH192" s="16" t="s">
        <v>134</v>
      </c>
      <c r="BI192" s="16" t="s">
        <v>134</v>
      </c>
      <c r="BJ192" s="15" t="s">
        <v>134</v>
      </c>
      <c r="BK192" s="15" t="s">
        <v>135</v>
      </c>
      <c r="BL192" s="131" t="s">
        <v>135</v>
      </c>
      <c r="BM192" t="s">
        <v>135</v>
      </c>
      <c r="BN192" t="s">
        <v>135</v>
      </c>
      <c r="BO192" t="s">
        <v>135</v>
      </c>
      <c r="BP192" t="s">
        <v>135</v>
      </c>
      <c r="BQ192" t="s">
        <v>135</v>
      </c>
      <c r="BR192" t="s">
        <v>135</v>
      </c>
      <c r="BS192" t="s">
        <v>135</v>
      </c>
      <c r="BT192" t="s">
        <v>135</v>
      </c>
      <c r="BU192" t="s">
        <v>135</v>
      </c>
      <c r="BV192" t="s">
        <v>135</v>
      </c>
      <c r="BW192" t="s">
        <v>135</v>
      </c>
      <c r="BX192" t="s">
        <v>135</v>
      </c>
      <c r="BY192" s="56">
        <v>855866.75</v>
      </c>
      <c r="BZ192" s="56">
        <v>911704.25</v>
      </c>
      <c r="CA192" s="56">
        <v>967541.75</v>
      </c>
      <c r="CB192" s="56">
        <v>1000375</v>
      </c>
      <c r="CC192" s="56">
        <v>1000375</v>
      </c>
      <c r="CD192" s="56">
        <v>1000375</v>
      </c>
      <c r="CE192" s="56">
        <v>1000375</v>
      </c>
      <c r="CF192" s="56">
        <v>1000375</v>
      </c>
      <c r="CG192" s="56">
        <v>1000375</v>
      </c>
      <c r="CH192" s="56">
        <v>1000375</v>
      </c>
      <c r="CI192" s="56">
        <v>1000375</v>
      </c>
      <c r="CJ192" s="56">
        <v>1000375</v>
      </c>
      <c r="CK192" s="56">
        <v>1000375</v>
      </c>
    </row>
    <row r="193" spans="1:89" ht="13" x14ac:dyDescent="0.3">
      <c r="A193" s="135" t="s">
        <v>145</v>
      </c>
      <c r="B193" s="134">
        <v>0</v>
      </c>
      <c r="C193" s="135" t="s">
        <v>200</v>
      </c>
      <c r="D193" s="136">
        <v>21672</v>
      </c>
      <c r="E193" s="136">
        <v>38898</v>
      </c>
      <c r="F193" s="135" t="s">
        <v>173</v>
      </c>
      <c r="G193" s="135"/>
      <c r="H193" s="135"/>
      <c r="I193" s="137">
        <v>0</v>
      </c>
      <c r="J193" s="137">
        <v>0</v>
      </c>
      <c r="K193" s="137">
        <v>0</v>
      </c>
      <c r="L193" s="137">
        <v>0</v>
      </c>
      <c r="M193" s="137">
        <v>1</v>
      </c>
      <c r="N193" s="137">
        <v>0</v>
      </c>
      <c r="O193" s="138">
        <v>0</v>
      </c>
      <c r="P193" s="147">
        <v>0</v>
      </c>
      <c r="Q193" s="139">
        <v>0</v>
      </c>
      <c r="R193" s="139">
        <v>0</v>
      </c>
      <c r="S193" s="139">
        <v>0</v>
      </c>
      <c r="T193" s="140"/>
      <c r="U193" s="139">
        <v>0</v>
      </c>
      <c r="V193" s="141"/>
      <c r="W193" s="141">
        <v>0</v>
      </c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31"/>
      <c r="AI193" s="46">
        <f t="shared" si="19"/>
        <v>2006</v>
      </c>
      <c r="AJ193" s="27"/>
      <c r="AK193" s="27"/>
      <c r="AL193" s="27"/>
      <c r="AM193" s="27"/>
      <c r="AN193" s="27"/>
      <c r="AO193" s="27"/>
      <c r="AP193" s="27"/>
      <c r="AQ193" s="29" t="str">
        <f>IF(AND(AD193&lt;&gt;"",AF193="",AG193=""),DATE(YEAR(AD193)+Menu!$E$10,MONTH(AD193)+Menu!$E$11,1),"")</f>
        <v/>
      </c>
      <c r="AR193" s="29" t="str">
        <f t="shared" si="20"/>
        <v/>
      </c>
      <c r="AS193" s="27" t="str">
        <f>IF(AND(AR193&lt;&gt;"",AH193="",AG193=""),DATE(YEAR(AR193)+Menu!$E$13,MONTH(AR193)+Menu!$E$14,1),"")</f>
        <v/>
      </c>
      <c r="AT193" s="27"/>
      <c r="AU193" s="16" t="s">
        <v>135</v>
      </c>
      <c r="AV193" s="16" t="s">
        <v>135</v>
      </c>
      <c r="AW193" s="16" t="s">
        <v>135</v>
      </c>
      <c r="AX193" s="16" t="s">
        <v>135</v>
      </c>
      <c r="AY193" s="16" t="s">
        <v>136</v>
      </c>
      <c r="AZ193" s="16" t="s">
        <v>136</v>
      </c>
      <c r="BA193" s="16" t="s">
        <v>136</v>
      </c>
      <c r="BB193" s="16" t="s">
        <v>136</v>
      </c>
      <c r="BC193" s="16" t="s">
        <v>136</v>
      </c>
      <c r="BD193" s="16" t="s">
        <v>136</v>
      </c>
      <c r="BE193" s="16" t="s">
        <v>136</v>
      </c>
      <c r="BF193" s="16" t="s">
        <v>136</v>
      </c>
      <c r="BG193" s="16" t="s">
        <v>136</v>
      </c>
      <c r="BH193" s="16" t="s">
        <v>136</v>
      </c>
      <c r="BI193" s="16" t="s">
        <v>136</v>
      </c>
      <c r="BJ193" s="15" t="s">
        <v>136</v>
      </c>
      <c r="BK193" s="15" t="s">
        <v>136</v>
      </c>
      <c r="BL193" s="131"/>
      <c r="BY193" s="56">
        <v>0</v>
      </c>
      <c r="BZ193" s="56"/>
      <c r="CA193" s="56"/>
      <c r="CB193" s="56"/>
      <c r="CC193" s="56"/>
      <c r="CD193" s="56"/>
      <c r="CE193" s="56"/>
      <c r="CF193" s="56"/>
      <c r="CG193" s="56"/>
      <c r="CH193" s="56"/>
      <c r="CI193" s="56"/>
      <c r="CJ193" s="56"/>
      <c r="CK193" s="56"/>
    </row>
    <row r="194" spans="1:89" ht="13" x14ac:dyDescent="0.3">
      <c r="A194" s="135" t="s">
        <v>153</v>
      </c>
      <c r="B194" s="134">
        <v>106434</v>
      </c>
      <c r="C194" s="135" t="s">
        <v>196</v>
      </c>
      <c r="D194" s="136">
        <v>16840</v>
      </c>
      <c r="E194" s="136">
        <v>40602</v>
      </c>
      <c r="F194" s="135" t="s">
        <v>173</v>
      </c>
      <c r="G194" s="135"/>
      <c r="H194" s="135"/>
      <c r="I194" s="137">
        <v>456</v>
      </c>
      <c r="J194" s="137">
        <v>1</v>
      </c>
      <c r="K194" s="137">
        <v>0</v>
      </c>
      <c r="L194" s="137">
        <v>0</v>
      </c>
      <c r="M194" s="137">
        <v>0</v>
      </c>
      <c r="N194" s="137">
        <v>0</v>
      </c>
      <c r="O194" s="138">
        <v>0</v>
      </c>
      <c r="P194" s="147">
        <v>0</v>
      </c>
      <c r="Q194" s="139">
        <v>0</v>
      </c>
      <c r="R194" s="139">
        <v>0</v>
      </c>
      <c r="S194" s="139">
        <v>0</v>
      </c>
      <c r="T194" s="140"/>
      <c r="U194" s="139">
        <v>0</v>
      </c>
      <c r="V194" s="141"/>
      <c r="W194" s="141">
        <v>0</v>
      </c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31"/>
      <c r="AI194" s="46">
        <f t="shared" si="19"/>
        <v>2011</v>
      </c>
      <c r="AJ194" s="27"/>
      <c r="AK194" s="27"/>
      <c r="AL194" s="27"/>
      <c r="AM194" s="27"/>
      <c r="AN194" s="27"/>
      <c r="AO194" s="27"/>
      <c r="AP194" s="27"/>
      <c r="AQ194" s="29" t="str">
        <f>IF(AND(AD194&lt;&gt;"",AF194="",AG194=""),DATE(YEAR(AD194)+Menu!$E$10,MONTH(AD194)+Menu!$E$11,1),"")</f>
        <v/>
      </c>
      <c r="AR194" s="29" t="str">
        <f t="shared" si="20"/>
        <v/>
      </c>
      <c r="AS194" s="27" t="str">
        <f>IF(AND(AR194&lt;&gt;"",AH194="",AG194=""),DATE(YEAR(AR194)+Menu!$E$13,MONTH(AR194)+Menu!$E$14,1),"")</f>
        <v/>
      </c>
      <c r="AT194" s="27"/>
      <c r="AU194" s="16" t="s">
        <v>135</v>
      </c>
      <c r="AV194" s="16" t="s">
        <v>135</v>
      </c>
      <c r="AW194" s="16" t="s">
        <v>135</v>
      </c>
      <c r="AX194" s="16" t="s">
        <v>135</v>
      </c>
      <c r="AY194" s="16" t="s">
        <v>135</v>
      </c>
      <c r="AZ194" s="16" t="s">
        <v>135</v>
      </c>
      <c r="BA194" s="16" t="s">
        <v>135</v>
      </c>
      <c r="BB194" s="16" t="s">
        <v>135</v>
      </c>
      <c r="BC194" s="16" t="s">
        <v>135</v>
      </c>
      <c r="BD194" s="16" t="s">
        <v>136</v>
      </c>
      <c r="BE194" s="16" t="s">
        <v>136</v>
      </c>
      <c r="BF194" s="16" t="s">
        <v>136</v>
      </c>
      <c r="BG194" s="16" t="s">
        <v>136</v>
      </c>
      <c r="BH194" s="16" t="s">
        <v>136</v>
      </c>
      <c r="BI194" s="16" t="s">
        <v>136</v>
      </c>
      <c r="BJ194" s="15" t="s">
        <v>136</v>
      </c>
      <c r="BK194" s="15" t="s">
        <v>136</v>
      </c>
      <c r="BL194" s="131"/>
      <c r="BY194" s="56">
        <v>0</v>
      </c>
      <c r="BZ194" s="56"/>
      <c r="CA194" s="56"/>
      <c r="CB194" s="56"/>
      <c r="CC194" s="56"/>
      <c r="CD194" s="56"/>
      <c r="CE194" s="56"/>
      <c r="CF194" s="56"/>
      <c r="CG194" s="56"/>
      <c r="CH194" s="56"/>
      <c r="CI194" s="56"/>
      <c r="CJ194" s="56"/>
      <c r="CK194" s="56"/>
    </row>
    <row r="195" spans="1:89" ht="13" x14ac:dyDescent="0.3">
      <c r="A195" s="135" t="s">
        <v>112</v>
      </c>
      <c r="B195" s="134">
        <v>106441</v>
      </c>
      <c r="C195" s="135" t="s">
        <v>196</v>
      </c>
      <c r="D195" s="136">
        <v>23350</v>
      </c>
      <c r="E195" s="136">
        <v>46752</v>
      </c>
      <c r="F195" s="135" t="s">
        <v>172</v>
      </c>
      <c r="G195" s="135"/>
      <c r="H195" s="135"/>
      <c r="I195" s="137">
        <v>450</v>
      </c>
      <c r="J195" s="137">
        <v>1</v>
      </c>
      <c r="K195" s="137">
        <v>0</v>
      </c>
      <c r="L195" s="137">
        <v>0</v>
      </c>
      <c r="M195" s="137">
        <v>0</v>
      </c>
      <c r="N195" s="137">
        <v>0</v>
      </c>
      <c r="O195" s="138">
        <v>1</v>
      </c>
      <c r="P195" s="147">
        <v>245710.25</v>
      </c>
      <c r="Q195" s="139">
        <v>1</v>
      </c>
      <c r="R195" s="139">
        <v>0</v>
      </c>
      <c r="S195" s="139">
        <v>0</v>
      </c>
      <c r="T195" s="140"/>
      <c r="U195" s="139">
        <v>0</v>
      </c>
      <c r="V195" s="141"/>
      <c r="W195" s="141">
        <v>0.8</v>
      </c>
      <c r="X195" s="24"/>
      <c r="Y195" s="24"/>
      <c r="Z195" s="24"/>
      <c r="AA195" s="24"/>
      <c r="AB195" s="24">
        <v>38434</v>
      </c>
      <c r="AC195" s="24"/>
      <c r="AD195" s="24"/>
      <c r="AE195" s="24">
        <v>35004</v>
      </c>
      <c r="AF195" s="24"/>
      <c r="AG195" s="24"/>
      <c r="AH195" s="31"/>
      <c r="AI195" s="46" t="str">
        <f t="shared" si="19"/>
        <v/>
      </c>
      <c r="AJ195" s="27"/>
      <c r="AK195" s="27"/>
      <c r="AL195" s="27"/>
      <c r="AM195" s="27"/>
      <c r="AN195" s="27"/>
      <c r="AO195" s="27"/>
      <c r="AP195" s="27"/>
      <c r="AQ195" s="29" t="str">
        <f>IF(AND(AD195&lt;&gt;"",AF195="",AG195=""),DATE(YEAR(AD195)+Menu!$E$10,MONTH(AD195)+Menu!$E$11,1),"")</f>
        <v/>
      </c>
      <c r="AR195" s="29" t="str">
        <f t="shared" si="20"/>
        <v/>
      </c>
      <c r="AS195" s="27" t="str">
        <f>IF(AND(AR195&lt;&gt;"",AH195="",AG195=""),DATE(YEAR(AR195)+Menu!$E$13,MONTH(AR195)+Menu!$E$14,1),"")</f>
        <v/>
      </c>
      <c r="AT195" s="27"/>
      <c r="AU195" s="15" t="s">
        <v>138</v>
      </c>
      <c r="AV195" s="15" t="s">
        <v>138</v>
      </c>
      <c r="AW195" s="15" t="s">
        <v>138</v>
      </c>
      <c r="AX195" s="16" t="s">
        <v>131</v>
      </c>
      <c r="AY195" s="16" t="s">
        <v>131</v>
      </c>
      <c r="AZ195" s="16" t="s">
        <v>131</v>
      </c>
      <c r="BA195" s="16" t="s">
        <v>131</v>
      </c>
      <c r="BB195" s="16" t="s">
        <v>131</v>
      </c>
      <c r="BC195" s="16" t="s">
        <v>131</v>
      </c>
      <c r="BD195" s="16" t="s">
        <v>131</v>
      </c>
      <c r="BE195" s="16" t="s">
        <v>131</v>
      </c>
      <c r="BF195" s="16" t="s">
        <v>131</v>
      </c>
      <c r="BG195" s="16" t="s">
        <v>131</v>
      </c>
      <c r="BH195" s="16" t="s">
        <v>131</v>
      </c>
      <c r="BI195" s="16" t="s">
        <v>131</v>
      </c>
      <c r="BJ195" s="15" t="s">
        <v>131</v>
      </c>
      <c r="BK195" s="15" t="s">
        <v>131</v>
      </c>
      <c r="BL195" s="131" t="s">
        <v>131</v>
      </c>
      <c r="BM195" t="s">
        <v>131</v>
      </c>
      <c r="BN195" t="s">
        <v>131</v>
      </c>
      <c r="BO195" t="s">
        <v>131</v>
      </c>
      <c r="BP195" t="s">
        <v>131</v>
      </c>
      <c r="BQ195" t="s">
        <v>131</v>
      </c>
      <c r="BR195" t="s">
        <v>131</v>
      </c>
      <c r="BS195" t="s">
        <v>131</v>
      </c>
      <c r="BT195" t="s">
        <v>131</v>
      </c>
      <c r="BU195" t="s">
        <v>138</v>
      </c>
      <c r="BV195" t="s">
        <v>138</v>
      </c>
      <c r="BW195" t="s">
        <v>138</v>
      </c>
      <c r="BX195" t="s">
        <v>138</v>
      </c>
      <c r="BY195" s="56">
        <v>245710.25</v>
      </c>
      <c r="BZ195" s="56">
        <v>245710.25</v>
      </c>
      <c r="CA195" s="56">
        <v>245710.25</v>
      </c>
      <c r="CB195" s="56">
        <v>245710.25</v>
      </c>
      <c r="CC195" s="56">
        <v>245710.25</v>
      </c>
      <c r="CD195" s="56">
        <v>245710.25</v>
      </c>
      <c r="CE195" s="56">
        <v>245710.25</v>
      </c>
      <c r="CF195" s="56">
        <v>245710.25</v>
      </c>
      <c r="CG195" s="56">
        <v>245710.25</v>
      </c>
      <c r="CH195" s="56">
        <v>0</v>
      </c>
      <c r="CI195" s="56">
        <v>0</v>
      </c>
      <c r="CJ195" s="56">
        <v>0</v>
      </c>
      <c r="CK195" s="56">
        <v>0</v>
      </c>
    </row>
    <row r="196" spans="1:89" ht="13" x14ac:dyDescent="0.3">
      <c r="A196" s="135" t="s">
        <v>238</v>
      </c>
      <c r="B196" s="134">
        <v>242254</v>
      </c>
      <c r="C196" s="135" t="s">
        <v>200</v>
      </c>
      <c r="D196" s="136">
        <v>22958</v>
      </c>
      <c r="E196" s="136">
        <v>46721</v>
      </c>
      <c r="F196" s="135" t="s">
        <v>173</v>
      </c>
      <c r="G196" s="135"/>
      <c r="H196" s="135"/>
      <c r="I196" s="137">
        <v>490</v>
      </c>
      <c r="J196" s="137">
        <v>0</v>
      </c>
      <c r="K196" s="137">
        <v>0</v>
      </c>
      <c r="L196" s="137">
        <v>0</v>
      </c>
      <c r="M196" s="137">
        <v>1</v>
      </c>
      <c r="N196" s="137">
        <v>0</v>
      </c>
      <c r="O196" s="138">
        <v>0</v>
      </c>
      <c r="P196" s="147">
        <v>0</v>
      </c>
      <c r="Q196" s="139">
        <v>0</v>
      </c>
      <c r="R196" s="139">
        <v>0</v>
      </c>
      <c r="S196" s="139">
        <v>0</v>
      </c>
      <c r="T196" s="140"/>
      <c r="U196" s="139">
        <v>0</v>
      </c>
      <c r="V196" s="141"/>
      <c r="W196" s="141">
        <v>0</v>
      </c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31"/>
      <c r="AI196" s="46" t="str">
        <f t="shared" si="19"/>
        <v/>
      </c>
      <c r="AJ196" s="27"/>
      <c r="AK196" s="27"/>
      <c r="AL196" s="27"/>
      <c r="AM196" s="27"/>
      <c r="AN196" s="27"/>
      <c r="AO196" s="27"/>
      <c r="AP196" s="27"/>
      <c r="AQ196" s="29" t="str">
        <f>IF(AND(AD196&lt;&gt;"",AF196="",AG196=""),DATE(YEAR(AD196)+Menu!$E$10,MONTH(AD196)+Menu!$E$11,1),"")</f>
        <v/>
      </c>
      <c r="AR196" s="29" t="str">
        <f t="shared" si="20"/>
        <v/>
      </c>
      <c r="AS196" s="27" t="str">
        <f>IF(AND(AR196&lt;&gt;"",AH196="",AG196=""),DATE(YEAR(AR196)+Menu!$E$13,MONTH(AR196)+Menu!$E$14,1),"")</f>
        <v/>
      </c>
      <c r="AT196" s="27"/>
      <c r="AU196" s="15" t="s">
        <v>138</v>
      </c>
      <c r="AV196" s="15" t="s">
        <v>138</v>
      </c>
      <c r="AW196" s="15" t="s">
        <v>138</v>
      </c>
      <c r="AX196" s="15" t="s">
        <v>138</v>
      </c>
      <c r="AY196" s="15" t="s">
        <v>138</v>
      </c>
      <c r="AZ196" s="15" t="s">
        <v>138</v>
      </c>
      <c r="BA196" s="15" t="s">
        <v>138</v>
      </c>
      <c r="BB196" s="15" t="s">
        <v>138</v>
      </c>
      <c r="BC196" s="15" t="s">
        <v>138</v>
      </c>
      <c r="BD196" s="15" t="s">
        <v>138</v>
      </c>
      <c r="BE196" s="15" t="s">
        <v>138</v>
      </c>
      <c r="BF196" s="15" t="s">
        <v>138</v>
      </c>
      <c r="BG196" s="15" t="s">
        <v>138</v>
      </c>
      <c r="BH196" s="15" t="s">
        <v>138</v>
      </c>
      <c r="BI196" s="15" t="s">
        <v>138</v>
      </c>
      <c r="BJ196" s="16" t="s">
        <v>135</v>
      </c>
      <c r="BK196" s="16" t="s">
        <v>135</v>
      </c>
      <c r="BL196" s="132" t="s">
        <v>135</v>
      </c>
      <c r="BM196" t="s">
        <v>135</v>
      </c>
      <c r="BN196" t="s">
        <v>135</v>
      </c>
      <c r="BO196" t="s">
        <v>135</v>
      </c>
      <c r="BP196" t="s">
        <v>135</v>
      </c>
      <c r="BQ196" t="s">
        <v>135</v>
      </c>
      <c r="BR196" t="s">
        <v>135</v>
      </c>
      <c r="BS196" t="s">
        <v>135</v>
      </c>
      <c r="BT196" t="s">
        <v>138</v>
      </c>
      <c r="BU196" t="s">
        <v>138</v>
      </c>
      <c r="BV196" t="s">
        <v>138</v>
      </c>
      <c r="BW196" t="s">
        <v>138</v>
      </c>
      <c r="BX196" t="s">
        <v>138</v>
      </c>
      <c r="BY196" s="56">
        <v>0</v>
      </c>
      <c r="BZ196" s="56">
        <v>0</v>
      </c>
      <c r="CA196" s="56">
        <v>0</v>
      </c>
      <c r="CB196" s="56">
        <v>0</v>
      </c>
      <c r="CC196" s="56">
        <v>0</v>
      </c>
      <c r="CD196" s="56">
        <v>0</v>
      </c>
      <c r="CE196" s="56">
        <v>0</v>
      </c>
      <c r="CF196" s="56">
        <v>0</v>
      </c>
      <c r="CG196" s="56">
        <v>0</v>
      </c>
      <c r="CH196" s="56">
        <v>0</v>
      </c>
      <c r="CI196" s="56">
        <v>0</v>
      </c>
      <c r="CJ196" s="56">
        <v>0</v>
      </c>
      <c r="CK196" s="56">
        <v>0</v>
      </c>
    </row>
    <row r="197" spans="1:89" ht="13" x14ac:dyDescent="0.3">
      <c r="A197" s="135" t="s">
        <v>170</v>
      </c>
      <c r="B197" s="134">
        <v>231890</v>
      </c>
      <c r="C197" s="135" t="s">
        <v>200</v>
      </c>
      <c r="D197" s="136">
        <v>28654</v>
      </c>
      <c r="E197" s="136">
        <v>52412</v>
      </c>
      <c r="F197" s="135" t="s">
        <v>173</v>
      </c>
      <c r="G197" s="135">
        <v>2013</v>
      </c>
      <c r="H197" s="135" t="s">
        <v>133</v>
      </c>
      <c r="I197" s="137">
        <v>831</v>
      </c>
      <c r="J197" s="137">
        <v>0</v>
      </c>
      <c r="K197" s="137">
        <v>0</v>
      </c>
      <c r="L197" s="137">
        <v>0</v>
      </c>
      <c r="M197" s="137">
        <v>1</v>
      </c>
      <c r="N197" s="137">
        <v>0</v>
      </c>
      <c r="O197" s="138">
        <v>0</v>
      </c>
      <c r="P197" s="147">
        <v>526598.5</v>
      </c>
      <c r="Q197" s="139">
        <v>1</v>
      </c>
      <c r="R197" s="139">
        <v>0</v>
      </c>
      <c r="S197" s="139">
        <v>0</v>
      </c>
      <c r="T197" s="140"/>
      <c r="U197" s="139">
        <v>0</v>
      </c>
      <c r="V197" s="141"/>
      <c r="W197" s="141">
        <v>1</v>
      </c>
      <c r="X197" s="24"/>
      <c r="Y197" s="24"/>
      <c r="Z197" s="24"/>
      <c r="AA197" s="24"/>
      <c r="AB197" s="24"/>
      <c r="AC197" s="24"/>
      <c r="AD197" s="24">
        <v>41334</v>
      </c>
      <c r="AE197" s="24"/>
      <c r="AF197" s="24"/>
      <c r="AG197" s="24"/>
      <c r="AH197" s="31"/>
      <c r="AI197" s="46" t="str">
        <f t="shared" si="19"/>
        <v/>
      </c>
      <c r="AJ197" s="27"/>
      <c r="AK197" s="27"/>
      <c r="AL197" s="27"/>
      <c r="AM197" s="27"/>
      <c r="AN197" s="27"/>
      <c r="AO197" s="27"/>
      <c r="AP197" s="27"/>
      <c r="AQ197" s="29">
        <v>43831</v>
      </c>
      <c r="AR197" s="29">
        <f t="shared" si="20"/>
        <v>43831</v>
      </c>
      <c r="AS197" s="27">
        <f>IF(AND(AR197&lt;&gt;"",AH197="",AG197=""),DATE(YEAR(AR197)+Menu!$E$13,MONTH(AR197)+Menu!$E$14,1),"")</f>
        <v>46296</v>
      </c>
      <c r="AT197" s="27"/>
      <c r="AU197" s="15" t="s">
        <v>138</v>
      </c>
      <c r="AV197" s="15" t="s">
        <v>138</v>
      </c>
      <c r="AW197" s="16" t="s">
        <v>138</v>
      </c>
      <c r="AX197" s="16" t="s">
        <v>138</v>
      </c>
      <c r="AY197" s="16" t="s">
        <v>138</v>
      </c>
      <c r="AZ197" s="16" t="s">
        <v>138</v>
      </c>
      <c r="BA197" s="16" t="s">
        <v>138</v>
      </c>
      <c r="BB197" s="16" t="s">
        <v>138</v>
      </c>
      <c r="BC197" s="16" t="s">
        <v>138</v>
      </c>
      <c r="BD197" s="16" t="s">
        <v>138</v>
      </c>
      <c r="BE197" s="16" t="s">
        <v>138</v>
      </c>
      <c r="BF197" s="15" t="s">
        <v>133</v>
      </c>
      <c r="BG197" s="15" t="s">
        <v>133</v>
      </c>
      <c r="BH197" s="15" t="s">
        <v>133</v>
      </c>
      <c r="BI197" s="15" t="s">
        <v>133</v>
      </c>
      <c r="BJ197" s="15" t="s">
        <v>133</v>
      </c>
      <c r="BK197" s="15" t="s">
        <v>133</v>
      </c>
      <c r="BL197" s="131" t="s">
        <v>133</v>
      </c>
      <c r="BM197" t="s">
        <v>134</v>
      </c>
      <c r="BN197" t="s">
        <v>134</v>
      </c>
      <c r="BO197" t="s">
        <v>134</v>
      </c>
      <c r="BP197" t="s">
        <v>134</v>
      </c>
      <c r="BQ197" t="s">
        <v>134</v>
      </c>
      <c r="BR197" t="s">
        <v>134</v>
      </c>
      <c r="BS197" t="s">
        <v>135</v>
      </c>
      <c r="BT197" t="s">
        <v>135</v>
      </c>
      <c r="BU197" t="s">
        <v>135</v>
      </c>
      <c r="BV197" t="s">
        <v>135</v>
      </c>
      <c r="BW197" t="s">
        <v>135</v>
      </c>
      <c r="BX197" t="s">
        <v>135</v>
      </c>
      <c r="BY197" s="56">
        <v>526598.5</v>
      </c>
      <c r="BZ197" s="56">
        <v>721188</v>
      </c>
      <c r="CA197" s="56">
        <v>721188</v>
      </c>
      <c r="CB197" s="56">
        <v>721188</v>
      </c>
      <c r="CC197" s="56">
        <v>721188</v>
      </c>
      <c r="CD197" s="56">
        <v>721188</v>
      </c>
      <c r="CE197" s="56">
        <v>721188</v>
      </c>
      <c r="CF197" s="56">
        <v>735147.375</v>
      </c>
      <c r="CG197" s="56">
        <v>790984.875</v>
      </c>
      <c r="CH197" s="56">
        <v>846822.375</v>
      </c>
      <c r="CI197" s="56">
        <v>902659.875</v>
      </c>
      <c r="CJ197" s="56">
        <v>958497.375</v>
      </c>
      <c r="CK197" s="56">
        <v>1000375</v>
      </c>
    </row>
    <row r="198" spans="1:89" ht="13" x14ac:dyDescent="0.3">
      <c r="A198" s="135" t="s">
        <v>113</v>
      </c>
      <c r="B198" s="134">
        <v>210245</v>
      </c>
      <c r="C198" s="135" t="s">
        <v>197</v>
      </c>
      <c r="D198" s="136">
        <v>28675</v>
      </c>
      <c r="E198" s="136">
        <v>52443</v>
      </c>
      <c r="F198" s="135" t="s">
        <v>173</v>
      </c>
      <c r="G198" s="135"/>
      <c r="H198" s="135"/>
      <c r="I198" s="137">
        <v>363</v>
      </c>
      <c r="J198" s="137">
        <v>0</v>
      </c>
      <c r="K198" s="137">
        <v>1</v>
      </c>
      <c r="L198" s="137">
        <v>0</v>
      </c>
      <c r="M198" s="137">
        <v>0</v>
      </c>
      <c r="N198" s="137">
        <v>0</v>
      </c>
      <c r="O198" s="138">
        <v>0</v>
      </c>
      <c r="P198" s="147">
        <v>0</v>
      </c>
      <c r="Q198" s="139">
        <v>0</v>
      </c>
      <c r="R198" s="139">
        <v>0</v>
      </c>
      <c r="S198" s="139">
        <v>0</v>
      </c>
      <c r="T198" s="140"/>
      <c r="U198" s="139">
        <v>0</v>
      </c>
      <c r="V198" s="141"/>
      <c r="W198" s="141">
        <v>0</v>
      </c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31"/>
      <c r="AI198" s="46">
        <v>2016</v>
      </c>
      <c r="AJ198" s="27"/>
      <c r="AK198" s="27"/>
      <c r="AL198" s="27"/>
      <c r="AM198" s="27"/>
      <c r="AN198" s="27"/>
      <c r="AO198" s="27"/>
      <c r="AP198" s="27"/>
      <c r="AQ198" s="29" t="str">
        <f>IF(AND(AD198&lt;&gt;"",AF198="",AG198=""),DATE(YEAR(AD198)+Menu!$E$10,MONTH(AD198)+Menu!$E$11,1),"")</f>
        <v/>
      </c>
      <c r="AR198" s="29" t="str">
        <f t="shared" si="20"/>
        <v/>
      </c>
      <c r="AS198" s="27" t="str">
        <f>IF(AND(AR198&lt;&gt;"",AH198="",AG198=""),DATE(YEAR(AR198)+Menu!$E$13,MONTH(AR198)+Menu!$E$14,1),"")</f>
        <v/>
      </c>
      <c r="AT198" s="27"/>
      <c r="AU198" s="15" t="s">
        <v>138</v>
      </c>
      <c r="AV198" s="15" t="s">
        <v>138</v>
      </c>
      <c r="AW198" s="16" t="s">
        <v>138</v>
      </c>
      <c r="AX198" s="15" t="s">
        <v>138</v>
      </c>
      <c r="AY198" s="15" t="s">
        <v>138</v>
      </c>
      <c r="AZ198" s="15" t="s">
        <v>138</v>
      </c>
      <c r="BA198" s="15" t="s">
        <v>138</v>
      </c>
      <c r="BB198" s="15" t="s">
        <v>138</v>
      </c>
      <c r="BC198" s="15" t="s">
        <v>138</v>
      </c>
      <c r="BD198" s="16" t="s">
        <v>133</v>
      </c>
      <c r="BE198" s="16" t="s">
        <v>133</v>
      </c>
      <c r="BF198" s="16" t="s">
        <v>133</v>
      </c>
      <c r="BG198" s="16" t="s">
        <v>133</v>
      </c>
      <c r="BH198" s="16" t="s">
        <v>133</v>
      </c>
      <c r="BI198" s="15" t="s">
        <v>138</v>
      </c>
      <c r="BJ198" s="15" t="s">
        <v>138</v>
      </c>
      <c r="BK198" s="15" t="s">
        <v>138</v>
      </c>
      <c r="BL198" s="131"/>
      <c r="BY198" s="56">
        <v>0</v>
      </c>
      <c r="BZ198" s="56"/>
      <c r="CA198" s="56"/>
      <c r="CB198" s="56"/>
      <c r="CC198" s="56"/>
      <c r="CD198" s="56"/>
      <c r="CE198" s="56"/>
      <c r="CF198" s="56"/>
      <c r="CG198" s="56"/>
      <c r="CH198" s="56"/>
      <c r="CI198" s="56"/>
      <c r="CJ198" s="56"/>
      <c r="CK198" s="56"/>
    </row>
    <row r="199" spans="1:89" ht="13" x14ac:dyDescent="0.3">
      <c r="A199" s="135" t="s">
        <v>114</v>
      </c>
      <c r="B199" s="134">
        <v>106465</v>
      </c>
      <c r="C199" s="135" t="s">
        <v>200</v>
      </c>
      <c r="D199" s="136">
        <v>18149</v>
      </c>
      <c r="E199" s="136">
        <v>41912</v>
      </c>
      <c r="F199" s="135" t="s">
        <v>173</v>
      </c>
      <c r="G199" s="135"/>
      <c r="H199" s="135"/>
      <c r="I199" s="137">
        <v>2040</v>
      </c>
      <c r="J199" s="137">
        <v>0</v>
      </c>
      <c r="K199" s="137">
        <v>0</v>
      </c>
      <c r="L199" s="137">
        <v>0</v>
      </c>
      <c r="M199" s="137">
        <v>1</v>
      </c>
      <c r="N199" s="137">
        <v>0</v>
      </c>
      <c r="O199" s="138">
        <v>0</v>
      </c>
      <c r="P199" s="147">
        <v>0</v>
      </c>
      <c r="Q199" s="139">
        <v>0</v>
      </c>
      <c r="R199" s="139">
        <v>0</v>
      </c>
      <c r="S199" s="139">
        <v>0</v>
      </c>
      <c r="T199" s="140"/>
      <c r="U199" s="139">
        <v>0</v>
      </c>
      <c r="V199" s="141"/>
      <c r="W199" s="141">
        <v>0</v>
      </c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31"/>
      <c r="AI199" s="46">
        <f>IF(YEAR(E199)&lt;2018,YEAR(E199),"")</f>
        <v>2014</v>
      </c>
      <c r="AJ199" s="27"/>
      <c r="AK199" s="27"/>
      <c r="AL199" s="27"/>
      <c r="AM199" s="27"/>
      <c r="AN199" s="27"/>
      <c r="AO199" s="27"/>
      <c r="AP199" s="27"/>
      <c r="AQ199" s="29" t="str">
        <f>IF(AND(AD199&lt;&gt;"",AF199="",AG199=""),DATE(YEAR(AD199)+Menu!$E$10,MONTH(AD199)+Menu!$E$11,1),"")</f>
        <v/>
      </c>
      <c r="AR199" s="29" t="str">
        <f t="shared" si="20"/>
        <v/>
      </c>
      <c r="AS199" s="27" t="str">
        <f>IF(AND(AR199&lt;&gt;"",AH199="",AG199=""),DATE(YEAR(AR199)+Menu!$E$13,MONTH(AR199)+Menu!$E$14,1),"")</f>
        <v/>
      </c>
      <c r="AT199" s="27"/>
      <c r="AU199" s="16" t="s">
        <v>131</v>
      </c>
      <c r="AV199" s="16" t="s">
        <v>131</v>
      </c>
      <c r="AW199" s="16" t="s">
        <v>131</v>
      </c>
      <c r="AX199" s="16" t="s">
        <v>131</v>
      </c>
      <c r="AY199" s="16" t="s">
        <v>131</v>
      </c>
      <c r="AZ199" s="16" t="s">
        <v>131</v>
      </c>
      <c r="BA199" s="16" t="s">
        <v>131</v>
      </c>
      <c r="BB199" s="16" t="s">
        <v>131</v>
      </c>
      <c r="BC199" s="16" t="s">
        <v>131</v>
      </c>
      <c r="BD199" s="16" t="s">
        <v>131</v>
      </c>
      <c r="BE199" s="16" t="s">
        <v>131</v>
      </c>
      <c r="BF199" s="16" t="s">
        <v>131</v>
      </c>
      <c r="BG199" s="15" t="s">
        <v>136</v>
      </c>
      <c r="BH199" s="15" t="s">
        <v>136</v>
      </c>
      <c r="BI199" s="15" t="s">
        <v>136</v>
      </c>
      <c r="BJ199" s="15" t="s">
        <v>136</v>
      </c>
      <c r="BK199" s="15" t="s">
        <v>136</v>
      </c>
      <c r="BL199" s="131"/>
      <c r="BY199" s="56">
        <v>0</v>
      </c>
      <c r="BZ199" s="56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56"/>
    </row>
    <row r="200" spans="1:89" ht="13" x14ac:dyDescent="0.3">
      <c r="A200" s="135" t="s">
        <v>115</v>
      </c>
      <c r="B200" s="134">
        <v>196998</v>
      </c>
      <c r="C200" s="135" t="s">
        <v>200</v>
      </c>
      <c r="D200" s="136">
        <v>26745</v>
      </c>
      <c r="E200" s="136">
        <v>50495</v>
      </c>
      <c r="F200" s="135" t="s">
        <v>173</v>
      </c>
      <c r="G200" s="135">
        <v>2010</v>
      </c>
      <c r="H200" s="135" t="s">
        <v>135</v>
      </c>
      <c r="I200" s="137">
        <v>808</v>
      </c>
      <c r="J200" s="137">
        <v>0</v>
      </c>
      <c r="K200" s="137">
        <v>0</v>
      </c>
      <c r="L200" s="137">
        <v>0</v>
      </c>
      <c r="M200" s="137">
        <v>1</v>
      </c>
      <c r="N200" s="137">
        <v>1</v>
      </c>
      <c r="O200" s="138">
        <v>0</v>
      </c>
      <c r="P200" s="147">
        <f>1061041-P250</f>
        <v>1061041</v>
      </c>
      <c r="Q200" s="139">
        <v>1</v>
      </c>
      <c r="R200" s="139">
        <v>1</v>
      </c>
      <c r="S200" s="139">
        <v>0</v>
      </c>
      <c r="T200" s="140"/>
      <c r="U200" s="139">
        <f>-U250*3/12</f>
        <v>-32389.612500000003</v>
      </c>
      <c r="V200" s="141">
        <v>2038</v>
      </c>
      <c r="W200" s="141">
        <v>1</v>
      </c>
      <c r="X200" s="24"/>
      <c r="Y200" s="24"/>
      <c r="Z200" s="24"/>
      <c r="AA200" s="24"/>
      <c r="AB200" s="24"/>
      <c r="AC200" s="24"/>
      <c r="AD200" s="24"/>
      <c r="AE200" s="24"/>
      <c r="AF200" s="24"/>
      <c r="AG200" s="24">
        <v>40179</v>
      </c>
      <c r="AH200" s="31"/>
      <c r="AI200" s="46" t="str">
        <f>IF(YEAR(E200)&lt;2018,YEAR(E200),"")</f>
        <v/>
      </c>
      <c r="AJ200" s="27"/>
      <c r="AK200" s="27"/>
      <c r="AL200" s="27"/>
      <c r="AM200" s="27"/>
      <c r="AN200" s="27"/>
      <c r="AO200" s="27"/>
      <c r="AP200" s="27"/>
      <c r="AQ200" s="29" t="str">
        <f>IF(AND(AD200&lt;&gt;"",AF200="",AG200=""),DATE(YEAR(AD200)+Menu!$E$10,MONTH(AD200)+Menu!$E$11,1),"")</f>
        <v/>
      </c>
      <c r="AR200" s="29" t="str">
        <f t="shared" si="20"/>
        <v/>
      </c>
      <c r="AS200" s="27" t="str">
        <f>IF(AND(AR200&lt;&gt;"",AH200="",AG200=""),DATE(YEAR(AR200)+Menu!$E$13,MONTH(AR200)+Menu!$E$14,1),"")</f>
        <v/>
      </c>
      <c r="AT200" s="27"/>
      <c r="AU200" s="15" t="s">
        <v>138</v>
      </c>
      <c r="AV200" s="15" t="s">
        <v>138</v>
      </c>
      <c r="AW200" s="16" t="s">
        <v>138</v>
      </c>
      <c r="AX200" s="15" t="s">
        <v>138</v>
      </c>
      <c r="AY200" s="15" t="s">
        <v>138</v>
      </c>
      <c r="AZ200" s="15" t="s">
        <v>138</v>
      </c>
      <c r="BA200" s="15" t="s">
        <v>138</v>
      </c>
      <c r="BB200" s="15" t="s">
        <v>138</v>
      </c>
      <c r="BC200" s="16" t="s">
        <v>135</v>
      </c>
      <c r="BD200" s="16" t="s">
        <v>135</v>
      </c>
      <c r="BE200" s="16" t="s">
        <v>135</v>
      </c>
      <c r="BF200" s="16" t="s">
        <v>135</v>
      </c>
      <c r="BG200" s="16" t="s">
        <v>135</v>
      </c>
      <c r="BH200" s="16" t="s">
        <v>135</v>
      </c>
      <c r="BI200" s="16" t="s">
        <v>135</v>
      </c>
      <c r="BJ200" s="15" t="s">
        <v>135</v>
      </c>
      <c r="BK200" s="15" t="s">
        <v>135</v>
      </c>
      <c r="BL200" s="131" t="s">
        <v>135</v>
      </c>
      <c r="BM200" t="s">
        <v>135</v>
      </c>
      <c r="BN200" t="s">
        <v>135</v>
      </c>
      <c r="BO200" t="s">
        <v>135</v>
      </c>
      <c r="BP200" t="s">
        <v>135</v>
      </c>
      <c r="BQ200" t="s">
        <v>135</v>
      </c>
      <c r="BR200" t="s">
        <v>135</v>
      </c>
      <c r="BS200" t="s">
        <v>135</v>
      </c>
      <c r="BT200" t="s">
        <v>135</v>
      </c>
      <c r="BU200" t="s">
        <v>135</v>
      </c>
      <c r="BV200" t="s">
        <v>135</v>
      </c>
      <c r="BW200" t="s">
        <v>135</v>
      </c>
      <c r="BX200" t="s">
        <v>135</v>
      </c>
      <c r="BY200" s="56">
        <v>1061041</v>
      </c>
      <c r="BZ200" s="56">
        <v>1000375</v>
      </c>
      <c r="CA200" s="56">
        <v>1000375</v>
      </c>
      <c r="CB200" s="56">
        <v>1000375</v>
      </c>
      <c r="CC200" s="56">
        <v>1000375</v>
      </c>
      <c r="CD200" s="56">
        <v>1000375</v>
      </c>
      <c r="CE200" s="56">
        <v>1000375</v>
      </c>
      <c r="CF200" s="56">
        <v>1000375</v>
      </c>
      <c r="CG200" s="56">
        <v>1000375</v>
      </c>
      <c r="CH200" s="56">
        <v>1000375</v>
      </c>
      <c r="CI200" s="56">
        <v>1000375</v>
      </c>
      <c r="CJ200" s="56">
        <v>1000375</v>
      </c>
      <c r="CK200" s="56">
        <v>1000375</v>
      </c>
    </row>
    <row r="201" spans="1:89" ht="13" x14ac:dyDescent="0.3">
      <c r="A201" s="135" t="s">
        <v>116</v>
      </c>
      <c r="B201" s="134">
        <v>106482</v>
      </c>
      <c r="C201" s="135" t="s">
        <v>201</v>
      </c>
      <c r="D201" s="136">
        <v>22887</v>
      </c>
      <c r="E201" s="136">
        <v>46630</v>
      </c>
      <c r="F201" s="135" t="s">
        <v>173</v>
      </c>
      <c r="G201" s="135"/>
      <c r="H201" s="135"/>
      <c r="I201" s="137">
        <v>1062</v>
      </c>
      <c r="J201" s="137">
        <v>0</v>
      </c>
      <c r="K201" s="137">
        <v>0</v>
      </c>
      <c r="L201" s="137">
        <v>0</v>
      </c>
      <c r="M201" s="137">
        <v>0</v>
      </c>
      <c r="N201" s="137">
        <v>1</v>
      </c>
      <c r="O201" s="138">
        <v>0</v>
      </c>
      <c r="P201" s="147">
        <v>1017569</v>
      </c>
      <c r="Q201" s="139">
        <v>1</v>
      </c>
      <c r="R201" s="139">
        <v>1</v>
      </c>
      <c r="S201" s="139">
        <v>0</v>
      </c>
      <c r="T201" s="140"/>
      <c r="U201" s="139">
        <f>-U246*MONTH(E201)/12</f>
        <v>-94496.5</v>
      </c>
      <c r="V201" s="141">
        <v>2027</v>
      </c>
      <c r="W201" s="141">
        <v>1</v>
      </c>
      <c r="X201" s="24"/>
      <c r="Y201" s="24"/>
      <c r="Z201" s="24"/>
      <c r="AA201" s="24"/>
      <c r="AB201" s="24"/>
      <c r="AC201" s="24"/>
      <c r="AD201" s="24">
        <v>36465</v>
      </c>
      <c r="AE201" s="24">
        <v>35156</v>
      </c>
      <c r="AF201" s="24">
        <v>37622</v>
      </c>
      <c r="AG201" s="24">
        <v>40087</v>
      </c>
      <c r="AH201" s="31"/>
      <c r="AI201" s="46" t="str">
        <f>IF(YEAR(E201)&lt;2018,YEAR(E201),"")</f>
        <v/>
      </c>
      <c r="AJ201" s="27"/>
      <c r="AK201" s="27"/>
      <c r="AL201" s="27"/>
      <c r="AM201" s="27"/>
      <c r="AN201" s="27"/>
      <c r="AO201" s="27"/>
      <c r="AP201" s="27"/>
      <c r="AQ201" s="29" t="str">
        <f>IF(AND(AD201&lt;&gt;"",AF201="",AG201=""),DATE(YEAR(AD201)+Menu!$E$10,MONTH(AD201)+Menu!$E$11,1),"")</f>
        <v/>
      </c>
      <c r="AR201" s="29">
        <f t="shared" si="20"/>
        <v>37622</v>
      </c>
      <c r="AS201" s="27" t="str">
        <f>IF(AND(AR201&lt;&gt;"",AH201="",AG201=""),DATE(YEAR(AR201)+Menu!$E$13,MONTH(AR201)+Menu!$E$14,1),"")</f>
        <v/>
      </c>
      <c r="AT201" s="27"/>
      <c r="AU201" s="16" t="s">
        <v>133</v>
      </c>
      <c r="AV201" s="16" t="s">
        <v>134</v>
      </c>
      <c r="AW201" s="16" t="s">
        <v>134</v>
      </c>
      <c r="AX201" s="16" t="s">
        <v>134</v>
      </c>
      <c r="AY201" s="16" t="s">
        <v>134</v>
      </c>
      <c r="AZ201" s="16" t="s">
        <v>134</v>
      </c>
      <c r="BA201" s="16" t="s">
        <v>134</v>
      </c>
      <c r="BB201" s="16" t="s">
        <v>135</v>
      </c>
      <c r="BC201" s="16" t="s">
        <v>135</v>
      </c>
      <c r="BD201" s="16" t="s">
        <v>135</v>
      </c>
      <c r="BE201" s="16" t="s">
        <v>135</v>
      </c>
      <c r="BF201" s="16" t="s">
        <v>135</v>
      </c>
      <c r="BG201" s="16" t="s">
        <v>135</v>
      </c>
      <c r="BH201" s="16" t="s">
        <v>135</v>
      </c>
      <c r="BI201" s="16" t="s">
        <v>135</v>
      </c>
      <c r="BJ201" s="15" t="s">
        <v>135</v>
      </c>
      <c r="BK201" s="15" t="s">
        <v>135</v>
      </c>
      <c r="BL201" s="131" t="s">
        <v>135</v>
      </c>
      <c r="BM201" t="s">
        <v>135</v>
      </c>
      <c r="BN201" t="s">
        <v>135</v>
      </c>
      <c r="BO201" t="s">
        <v>135</v>
      </c>
      <c r="BP201" t="s">
        <v>135</v>
      </c>
      <c r="BQ201" t="s">
        <v>135</v>
      </c>
      <c r="BR201" t="s">
        <v>135</v>
      </c>
      <c r="BS201" t="s">
        <v>135</v>
      </c>
      <c r="BT201" t="s">
        <v>138</v>
      </c>
      <c r="BU201" t="s">
        <v>138</v>
      </c>
      <c r="BV201" t="s">
        <v>138</v>
      </c>
      <c r="BW201" t="s">
        <v>138</v>
      </c>
      <c r="BX201" t="s">
        <v>138</v>
      </c>
      <c r="BY201" s="56">
        <v>1017569</v>
      </c>
      <c r="BZ201" s="56">
        <v>1000375</v>
      </c>
      <c r="CA201" s="56">
        <v>1000375</v>
      </c>
      <c r="CB201" s="56">
        <v>1000375</v>
      </c>
      <c r="CC201" s="56">
        <v>1000375</v>
      </c>
      <c r="CD201" s="56">
        <v>1000375</v>
      </c>
      <c r="CE201" s="56">
        <v>1000375</v>
      </c>
      <c r="CF201" s="56">
        <v>1000375</v>
      </c>
      <c r="CG201" s="56">
        <v>572420.16666666663</v>
      </c>
      <c r="CH201" s="56">
        <v>0</v>
      </c>
      <c r="CI201" s="56">
        <v>0</v>
      </c>
      <c r="CJ201" s="56">
        <v>0</v>
      </c>
      <c r="CK201" s="56">
        <v>0</v>
      </c>
    </row>
    <row r="202" spans="1:89" ht="13" x14ac:dyDescent="0.3">
      <c r="A202" s="135" t="s">
        <v>159</v>
      </c>
      <c r="B202" s="134">
        <v>112564</v>
      </c>
      <c r="C202" s="135" t="s">
        <v>196</v>
      </c>
      <c r="D202" s="136">
        <v>25195</v>
      </c>
      <c r="E202" s="136">
        <v>48944</v>
      </c>
      <c r="F202" s="135" t="s">
        <v>173</v>
      </c>
      <c r="G202" s="135"/>
      <c r="H202" s="135"/>
      <c r="I202" s="137">
        <v>418</v>
      </c>
      <c r="J202" s="137">
        <v>1</v>
      </c>
      <c r="K202" s="137">
        <v>0</v>
      </c>
      <c r="L202" s="137">
        <v>0</v>
      </c>
      <c r="M202" s="137">
        <v>1</v>
      </c>
      <c r="N202" s="137">
        <v>0</v>
      </c>
      <c r="O202" s="138">
        <v>2</v>
      </c>
      <c r="P202" s="147">
        <f>164247*1.225</f>
        <v>201202.57500000001</v>
      </c>
      <c r="Q202" s="139">
        <v>1</v>
      </c>
      <c r="R202" s="139">
        <v>0</v>
      </c>
      <c r="S202" s="139">
        <v>0</v>
      </c>
      <c r="T202" s="140"/>
      <c r="U202" s="139">
        <v>0</v>
      </c>
      <c r="V202" s="141"/>
      <c r="W202" s="141">
        <v>1</v>
      </c>
      <c r="X202" s="24"/>
      <c r="Y202" s="24">
        <v>41078</v>
      </c>
      <c r="Z202" s="24"/>
      <c r="AA202" s="24"/>
      <c r="AB202" s="24"/>
      <c r="AC202" s="24"/>
      <c r="AD202" s="24"/>
      <c r="AE202" s="24"/>
      <c r="AF202" s="24"/>
      <c r="AG202" s="24"/>
      <c r="AH202" s="31"/>
      <c r="AI202" s="46" t="str">
        <f>IF(YEAR(E202)&lt;2018,YEAR(E202),"")</f>
        <v/>
      </c>
      <c r="AJ202" s="27"/>
      <c r="AK202" s="27"/>
      <c r="AL202" s="27"/>
      <c r="AM202" s="27"/>
      <c r="AN202" s="27"/>
      <c r="AO202" s="27"/>
      <c r="AP202" s="27"/>
      <c r="AQ202" s="29" t="str">
        <f>IF(AND(AD202&lt;&gt;"",AF202="",AG202=""),DATE(YEAR(AD202)+Menu!$E$10,MONTH(AD202)+Menu!$E$11,1),"")</f>
        <v/>
      </c>
      <c r="AR202" s="29" t="str">
        <f t="shared" si="20"/>
        <v/>
      </c>
      <c r="AS202" s="27" t="str">
        <f>IF(AND(AR202&lt;&gt;"",AH202="",AG202=""),DATE(YEAR(AR202)+Menu!$E$13,MONTH(AR202)+Menu!$E$14,1),"")</f>
        <v/>
      </c>
      <c r="AT202" s="27"/>
      <c r="AU202" s="15" t="s">
        <v>138</v>
      </c>
      <c r="AV202" s="15" t="s">
        <v>138</v>
      </c>
      <c r="AW202" s="16" t="s">
        <v>138</v>
      </c>
      <c r="AX202" s="16" t="s">
        <v>138</v>
      </c>
      <c r="AY202" s="16" t="s">
        <v>138</v>
      </c>
      <c r="AZ202" s="16" t="s">
        <v>138</v>
      </c>
      <c r="BA202" s="16" t="s">
        <v>138</v>
      </c>
      <c r="BB202" s="16" t="s">
        <v>138</v>
      </c>
      <c r="BC202" s="16" t="s">
        <v>138</v>
      </c>
      <c r="BD202" s="16" t="s">
        <v>138</v>
      </c>
      <c r="BE202" s="16" t="s">
        <v>129</v>
      </c>
      <c r="BF202" s="16" t="s">
        <v>129</v>
      </c>
      <c r="BG202" s="16" t="s">
        <v>129</v>
      </c>
      <c r="BH202" s="16" t="s">
        <v>129</v>
      </c>
      <c r="BI202" s="16" t="s">
        <v>129</v>
      </c>
      <c r="BJ202" s="15" t="s">
        <v>129</v>
      </c>
      <c r="BK202" s="15" t="s">
        <v>129</v>
      </c>
      <c r="BL202" s="131" t="s">
        <v>129</v>
      </c>
      <c r="BM202" t="s">
        <v>129</v>
      </c>
      <c r="BN202" t="s">
        <v>129</v>
      </c>
      <c r="BO202" t="s">
        <v>129</v>
      </c>
      <c r="BP202" t="s">
        <v>129</v>
      </c>
      <c r="BQ202" t="s">
        <v>129</v>
      </c>
      <c r="BR202" t="s">
        <v>129</v>
      </c>
      <c r="BS202" t="s">
        <v>129</v>
      </c>
      <c r="BT202" t="s">
        <v>129</v>
      </c>
      <c r="BU202" t="s">
        <v>129</v>
      </c>
      <c r="BV202" t="s">
        <v>129</v>
      </c>
      <c r="BW202" t="s">
        <v>129</v>
      </c>
      <c r="BX202" t="s">
        <v>129</v>
      </c>
      <c r="BY202" s="56">
        <v>201202.57500000001</v>
      </c>
      <c r="BZ202" s="56">
        <v>201202.57500000001</v>
      </c>
      <c r="CA202" s="56">
        <v>201202.57500000001</v>
      </c>
      <c r="CB202" s="56">
        <v>201202.57500000001</v>
      </c>
      <c r="CC202" s="56">
        <v>201202.57500000001</v>
      </c>
      <c r="CD202" s="56">
        <v>201202.57500000001</v>
      </c>
      <c r="CE202" s="56">
        <v>201202.57500000001</v>
      </c>
      <c r="CF202" s="56">
        <v>201202.57500000001</v>
      </c>
      <c r="CG202" s="56">
        <v>201202.57500000001</v>
      </c>
      <c r="CH202" s="56">
        <v>201202.57500000001</v>
      </c>
      <c r="CI202" s="56">
        <v>201202.57500000001</v>
      </c>
      <c r="CJ202" s="56">
        <v>201202.57500000001</v>
      </c>
      <c r="CK202" s="56">
        <v>201202.57500000001</v>
      </c>
    </row>
    <row r="203" spans="1:89" ht="13" x14ac:dyDescent="0.3">
      <c r="A203" s="135" t="s">
        <v>253</v>
      </c>
      <c r="B203" s="134">
        <v>301145</v>
      </c>
      <c r="C203" s="135" t="s">
        <v>198</v>
      </c>
      <c r="D203" s="136">
        <v>26277</v>
      </c>
      <c r="E203" s="136">
        <v>50040</v>
      </c>
      <c r="F203" s="135" t="s">
        <v>173</v>
      </c>
      <c r="G203" s="135">
        <v>2018</v>
      </c>
      <c r="H203" s="135" t="s">
        <v>135</v>
      </c>
      <c r="I203" s="137">
        <v>1001</v>
      </c>
      <c r="J203" s="137">
        <v>0</v>
      </c>
      <c r="K203" s="137">
        <v>0</v>
      </c>
      <c r="L203" s="137">
        <v>1</v>
      </c>
      <c r="M203" s="137">
        <v>0</v>
      </c>
      <c r="N203" s="137">
        <v>0</v>
      </c>
      <c r="O203" s="138">
        <v>0</v>
      </c>
      <c r="P203" s="147">
        <v>1085492</v>
      </c>
      <c r="Q203" s="139">
        <v>1</v>
      </c>
      <c r="R203" s="139">
        <v>0</v>
      </c>
      <c r="S203" s="139">
        <v>0</v>
      </c>
      <c r="T203" s="140"/>
      <c r="U203" s="139">
        <v>0</v>
      </c>
      <c r="V203" s="141"/>
      <c r="W203" s="141">
        <v>1</v>
      </c>
      <c r="X203" s="24"/>
      <c r="Y203" s="24"/>
      <c r="Z203" s="24"/>
      <c r="AA203" s="24"/>
      <c r="AB203" s="24"/>
      <c r="AC203" s="24"/>
      <c r="AD203" s="24"/>
      <c r="AE203" s="24"/>
      <c r="AF203" s="24"/>
      <c r="AG203" s="24">
        <v>43313</v>
      </c>
      <c r="AH203" s="31"/>
      <c r="AI203" s="46" t="str">
        <f>IF(YEAR(E203)&lt;2018,YEAR(E203),"")</f>
        <v/>
      </c>
      <c r="AJ203" s="27"/>
      <c r="AK203" s="27"/>
      <c r="AL203" s="27"/>
      <c r="AM203" s="27"/>
      <c r="AN203" s="27"/>
      <c r="AO203" s="27"/>
      <c r="AP203" s="27"/>
      <c r="AQ203" s="29" t="str">
        <f>IF(AND(AD203&lt;&gt;"",AF203="",AG203=""),DATE(YEAR(AD203)+Menu!$E$10,MONTH(AD203)+Menu!$E$11,1),"")</f>
        <v/>
      </c>
      <c r="AR203" s="29" t="str">
        <f t="shared" si="20"/>
        <v/>
      </c>
      <c r="AS203" s="27" t="str">
        <f>IF(AND(AR203&lt;&gt;"",AH203="",AG203=""),DATE(YEAR(AR203)+Menu!$E$13,MONTH(AR203)+Menu!$E$14,1),"")</f>
        <v/>
      </c>
      <c r="AT203" s="27"/>
      <c r="AU203" s="15" t="s">
        <v>138</v>
      </c>
      <c r="AV203" s="15" t="s">
        <v>138</v>
      </c>
      <c r="AW203" s="15" t="s">
        <v>138</v>
      </c>
      <c r="AX203" s="15" t="s">
        <v>138</v>
      </c>
      <c r="AY203" s="15" t="s">
        <v>138</v>
      </c>
      <c r="AZ203" s="15" t="s">
        <v>138</v>
      </c>
      <c r="BA203" s="15" t="s">
        <v>138</v>
      </c>
      <c r="BB203" s="15" t="s">
        <v>138</v>
      </c>
      <c r="BC203" s="15" t="s">
        <v>138</v>
      </c>
      <c r="BD203" s="15" t="s">
        <v>138</v>
      </c>
      <c r="BE203" s="15" t="s">
        <v>138</v>
      </c>
      <c r="BF203" s="15" t="s">
        <v>138</v>
      </c>
      <c r="BG203" s="15" t="s">
        <v>138</v>
      </c>
      <c r="BH203" s="15" t="s">
        <v>138</v>
      </c>
      <c r="BI203" s="15" t="s">
        <v>138</v>
      </c>
      <c r="BJ203" s="15" t="s">
        <v>138</v>
      </c>
      <c r="BK203" s="15" t="s">
        <v>135</v>
      </c>
      <c r="BL203" s="131" t="s">
        <v>135</v>
      </c>
      <c r="BM203" s="15" t="s">
        <v>135</v>
      </c>
      <c r="BN203" s="15" t="s">
        <v>135</v>
      </c>
      <c r="BO203" s="15" t="s">
        <v>135</v>
      </c>
      <c r="BP203" s="15" t="s">
        <v>135</v>
      </c>
      <c r="BQ203" s="15" t="s">
        <v>135</v>
      </c>
      <c r="BR203" s="15" t="s">
        <v>135</v>
      </c>
      <c r="BS203" s="15" t="s">
        <v>135</v>
      </c>
      <c r="BT203" s="15" t="s">
        <v>135</v>
      </c>
      <c r="BU203" s="15" t="s">
        <v>135</v>
      </c>
      <c r="BV203" s="15" t="s">
        <v>135</v>
      </c>
      <c r="BW203" s="15" t="s">
        <v>135</v>
      </c>
      <c r="BX203" s="15" t="s">
        <v>135</v>
      </c>
      <c r="BY203" s="56">
        <v>1085492</v>
      </c>
      <c r="BZ203" s="56">
        <v>1000375</v>
      </c>
      <c r="CA203" s="56">
        <v>1000375</v>
      </c>
      <c r="CB203" s="56">
        <v>1000375</v>
      </c>
      <c r="CC203" s="56">
        <v>1000375</v>
      </c>
      <c r="CD203" s="56">
        <v>1000375</v>
      </c>
      <c r="CE203" s="56">
        <v>1000375</v>
      </c>
      <c r="CF203" s="56">
        <v>1000375</v>
      </c>
      <c r="CG203" s="56">
        <v>1000375</v>
      </c>
      <c r="CH203" s="56">
        <v>1000375</v>
      </c>
      <c r="CI203" s="56">
        <v>1000375</v>
      </c>
      <c r="CJ203" s="56">
        <v>1000375</v>
      </c>
      <c r="CK203" s="56">
        <v>1000375</v>
      </c>
    </row>
    <row r="204" spans="1:89" ht="13" x14ac:dyDescent="0.3">
      <c r="A204" s="135" t="s">
        <v>181</v>
      </c>
      <c r="B204" s="134">
        <v>160091</v>
      </c>
      <c r="C204" s="135" t="s">
        <v>201</v>
      </c>
      <c r="D204" s="136">
        <v>25569</v>
      </c>
      <c r="E204" s="136">
        <v>48975</v>
      </c>
      <c r="F204" s="135" t="s">
        <v>172</v>
      </c>
      <c r="G204" s="135"/>
      <c r="H204" s="135"/>
      <c r="I204" s="137">
        <v>476</v>
      </c>
      <c r="J204" s="137">
        <v>0</v>
      </c>
      <c r="K204" s="137">
        <v>0</v>
      </c>
      <c r="L204" s="137">
        <v>0</v>
      </c>
      <c r="M204" s="137">
        <v>0</v>
      </c>
      <c r="N204" s="137">
        <v>1</v>
      </c>
      <c r="O204" s="138">
        <v>0</v>
      </c>
      <c r="P204" s="147">
        <v>0</v>
      </c>
      <c r="Q204" s="139">
        <v>0</v>
      </c>
      <c r="R204" s="139">
        <v>0</v>
      </c>
      <c r="S204" s="139">
        <v>0</v>
      </c>
      <c r="T204" s="140"/>
      <c r="U204" s="139">
        <v>0</v>
      </c>
      <c r="V204" s="141"/>
      <c r="W204" s="141">
        <v>0</v>
      </c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31"/>
      <c r="AI204" s="46">
        <v>2014</v>
      </c>
      <c r="AJ204" s="27"/>
      <c r="AK204" s="27"/>
      <c r="AL204" s="27"/>
      <c r="AM204" s="27"/>
      <c r="AN204" s="27"/>
      <c r="AO204" s="27"/>
      <c r="AP204" s="27"/>
      <c r="AQ204" s="29" t="str">
        <f>IF(AND(AD204&lt;&gt;"",AF204="",AG204=""),DATE(YEAR(AD204)+Menu!$E$10,MONTH(AD204)+Menu!$E$11,1),"")</f>
        <v/>
      </c>
      <c r="AR204" s="29" t="str">
        <f t="shared" si="20"/>
        <v/>
      </c>
      <c r="AS204" s="27" t="str">
        <f>IF(AND(AR204&lt;&gt;"",AH204="",AG204=""),DATE(YEAR(AR204)+Menu!$E$13,MONTH(AR204)+Menu!$E$14,1),"")</f>
        <v/>
      </c>
      <c r="AT204" s="27"/>
      <c r="AU204" s="15" t="s">
        <v>138</v>
      </c>
      <c r="AV204" s="15" t="s">
        <v>138</v>
      </c>
      <c r="AW204" s="16" t="s">
        <v>138</v>
      </c>
      <c r="AX204" s="16" t="s">
        <v>138</v>
      </c>
      <c r="AY204" s="16" t="s">
        <v>138</v>
      </c>
      <c r="AZ204" s="16" t="s">
        <v>138</v>
      </c>
      <c r="BA204" s="16" t="s">
        <v>138</v>
      </c>
      <c r="BB204" s="16" t="s">
        <v>138</v>
      </c>
      <c r="BC204" s="16" t="s">
        <v>138</v>
      </c>
      <c r="BD204" s="16" t="s">
        <v>138</v>
      </c>
      <c r="BE204" s="16" t="s">
        <v>135</v>
      </c>
      <c r="BF204" s="16" t="s">
        <v>135</v>
      </c>
      <c r="BG204" s="16" t="s">
        <v>135</v>
      </c>
      <c r="BH204" s="16" t="s">
        <v>138</v>
      </c>
      <c r="BI204" s="16" t="s">
        <v>138</v>
      </c>
      <c r="BJ204" s="16" t="s">
        <v>138</v>
      </c>
      <c r="BK204" s="16" t="s">
        <v>138</v>
      </c>
      <c r="BL204" s="132"/>
      <c r="BY204" s="56">
        <v>0</v>
      </c>
      <c r="BZ204" s="56"/>
      <c r="CA204" s="56"/>
      <c r="CB204" s="56"/>
      <c r="CC204" s="56"/>
      <c r="CD204" s="56"/>
      <c r="CE204" s="56"/>
      <c r="CF204" s="56"/>
      <c r="CG204" s="56"/>
      <c r="CH204" s="56"/>
      <c r="CI204" s="56"/>
      <c r="CJ204" s="56"/>
      <c r="CK204" s="56"/>
    </row>
    <row r="205" spans="1:89" ht="13" x14ac:dyDescent="0.3">
      <c r="A205" s="135" t="s">
        <v>117</v>
      </c>
      <c r="B205" s="134">
        <v>106518</v>
      </c>
      <c r="C205" s="135" t="s">
        <v>200</v>
      </c>
      <c r="D205" s="136">
        <v>18687</v>
      </c>
      <c r="E205" s="136">
        <v>42429</v>
      </c>
      <c r="F205" s="135" t="s">
        <v>173</v>
      </c>
      <c r="G205" s="135"/>
      <c r="H205" s="135"/>
      <c r="I205" s="137">
        <v>840</v>
      </c>
      <c r="J205" s="137">
        <v>0</v>
      </c>
      <c r="K205" s="137">
        <v>0</v>
      </c>
      <c r="L205" s="137">
        <v>0</v>
      </c>
      <c r="M205" s="137">
        <v>1</v>
      </c>
      <c r="N205" s="137">
        <v>0</v>
      </c>
      <c r="O205" s="138">
        <v>0</v>
      </c>
      <c r="P205" s="147">
        <v>0</v>
      </c>
      <c r="Q205" s="139">
        <v>0</v>
      </c>
      <c r="R205" s="139">
        <v>0</v>
      </c>
      <c r="S205" s="139">
        <v>0</v>
      </c>
      <c r="T205" s="140"/>
      <c r="U205" s="139">
        <v>0</v>
      </c>
      <c r="V205" s="141"/>
      <c r="W205" s="141">
        <v>0</v>
      </c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31"/>
      <c r="AI205" s="46">
        <f t="shared" ref="AI205:AI219" si="21">IF(YEAR(E205)&lt;2018,YEAR(E205),"")</f>
        <v>2016</v>
      </c>
      <c r="AJ205" s="27"/>
      <c r="AK205" s="27"/>
      <c r="AL205" s="27"/>
      <c r="AM205" s="27"/>
      <c r="AN205" s="27"/>
      <c r="AO205" s="27"/>
      <c r="AP205" s="27"/>
      <c r="AQ205" s="29" t="str">
        <f>IF(AND(AD205&lt;&gt;"",AF205="",AG205=""),DATE(YEAR(AD205)+Menu!$E$10,MONTH(AD205)+Menu!$E$11,1),"")</f>
        <v/>
      </c>
      <c r="AR205" s="29" t="str">
        <f t="shared" si="20"/>
        <v/>
      </c>
      <c r="AS205" s="27" t="str">
        <f>IF(AND(AR205&lt;&gt;"",AH205="",AG205=""),DATE(YEAR(AR205)+Menu!$E$13,MONTH(AR205)+Menu!$E$14,1),"")</f>
        <v/>
      </c>
      <c r="AT205" s="27"/>
      <c r="AU205" s="15" t="s">
        <v>138</v>
      </c>
      <c r="AV205" s="15" t="s">
        <v>138</v>
      </c>
      <c r="AW205" s="16" t="s">
        <v>138</v>
      </c>
      <c r="AX205" s="15" t="s">
        <v>138</v>
      </c>
      <c r="AY205" s="15" t="s">
        <v>138</v>
      </c>
      <c r="AZ205" s="15" t="s">
        <v>138</v>
      </c>
      <c r="BA205" s="15" t="s">
        <v>138</v>
      </c>
      <c r="BB205" s="16" t="s">
        <v>131</v>
      </c>
      <c r="BC205" s="16" t="s">
        <v>131</v>
      </c>
      <c r="BD205" s="16" t="s">
        <v>131</v>
      </c>
      <c r="BE205" s="16" t="s">
        <v>131</v>
      </c>
      <c r="BF205" s="16" t="s">
        <v>131</v>
      </c>
      <c r="BG205" s="16" t="s">
        <v>131</v>
      </c>
      <c r="BH205" s="16" t="s">
        <v>131</v>
      </c>
      <c r="BI205" s="15" t="s">
        <v>136</v>
      </c>
      <c r="BJ205" s="15" t="s">
        <v>136</v>
      </c>
      <c r="BK205" s="15" t="s">
        <v>136</v>
      </c>
      <c r="BL205" s="131"/>
      <c r="BY205" s="56">
        <v>0</v>
      </c>
      <c r="BZ205" s="56"/>
      <c r="CA205" s="56"/>
      <c r="CB205" s="56"/>
      <c r="CC205" s="56"/>
      <c r="CD205" s="56"/>
      <c r="CE205" s="56"/>
      <c r="CF205" s="56"/>
      <c r="CG205" s="56"/>
      <c r="CH205" s="56"/>
      <c r="CI205" s="56"/>
      <c r="CJ205" s="56"/>
      <c r="CK205" s="56"/>
    </row>
    <row r="206" spans="1:89" ht="13" x14ac:dyDescent="0.3">
      <c r="A206" s="178" t="s">
        <v>265</v>
      </c>
      <c r="B206" s="134">
        <v>190188</v>
      </c>
      <c r="C206" s="135" t="s">
        <v>197</v>
      </c>
      <c r="D206" s="136">
        <v>31219</v>
      </c>
      <c r="E206" s="136">
        <v>54604</v>
      </c>
      <c r="F206" s="135" t="s">
        <v>172</v>
      </c>
      <c r="G206" s="135">
        <v>2019</v>
      </c>
      <c r="H206" s="135" t="s">
        <v>133</v>
      </c>
      <c r="I206" s="137">
        <v>301</v>
      </c>
      <c r="J206" s="137">
        <v>0</v>
      </c>
      <c r="K206" s="137">
        <v>1</v>
      </c>
      <c r="L206" s="137">
        <v>0</v>
      </c>
      <c r="M206" s="137">
        <v>0</v>
      </c>
      <c r="N206" s="137">
        <v>0</v>
      </c>
      <c r="O206" s="138">
        <v>0</v>
      </c>
      <c r="P206" s="147">
        <v>445136</v>
      </c>
      <c r="Q206" s="139">
        <v>1</v>
      </c>
      <c r="R206" s="139">
        <v>0</v>
      </c>
      <c r="S206" s="139">
        <v>0</v>
      </c>
      <c r="T206" s="140"/>
      <c r="U206" s="147">
        <v>0</v>
      </c>
      <c r="V206" s="141"/>
      <c r="W206" s="141">
        <v>1</v>
      </c>
      <c r="X206" s="24"/>
      <c r="Y206" s="24"/>
      <c r="Z206" s="24"/>
      <c r="AA206" s="24"/>
      <c r="AB206" s="24"/>
      <c r="AC206" s="24"/>
      <c r="AD206" s="24">
        <v>43466</v>
      </c>
      <c r="AE206" s="24"/>
      <c r="AF206" s="24"/>
      <c r="AG206" s="24"/>
      <c r="AH206" s="31"/>
      <c r="AI206" s="46" t="str">
        <f t="shared" si="21"/>
        <v/>
      </c>
      <c r="AJ206" s="27"/>
      <c r="AK206" s="27"/>
      <c r="AL206" s="27"/>
      <c r="AM206" s="27"/>
      <c r="AN206" s="27"/>
      <c r="AO206" s="27"/>
      <c r="AP206" s="27"/>
      <c r="AQ206" s="29">
        <f>IF(AND(AD206&lt;&gt;"",AF206="",AG206=""),DATE(YEAR(AD206)+Menu!$E$10,MONTH(AD206)+Menu!$E$11,1),"")</f>
        <v>45931</v>
      </c>
      <c r="AR206" s="29">
        <f t="shared" si="20"/>
        <v>45931</v>
      </c>
      <c r="AS206" s="27">
        <f>IF(AND(AR206&lt;&gt;"",AH206="",AG206=""),DATE(YEAR(AR206)+Menu!$E$13,MONTH(AR206)+Menu!$E$14,1),"")</f>
        <v>48396</v>
      </c>
      <c r="AT206" s="27"/>
      <c r="AU206" s="15" t="s">
        <v>138</v>
      </c>
      <c r="AV206" s="15" t="s">
        <v>138</v>
      </c>
      <c r="AW206" s="15" t="s">
        <v>138</v>
      </c>
      <c r="AX206" s="15" t="s">
        <v>138</v>
      </c>
      <c r="AY206" s="15" t="s">
        <v>138</v>
      </c>
      <c r="AZ206" s="15" t="s">
        <v>138</v>
      </c>
      <c r="BA206" s="15" t="s">
        <v>138</v>
      </c>
      <c r="BB206" s="15" t="s">
        <v>138</v>
      </c>
      <c r="BC206" s="15" t="s">
        <v>138</v>
      </c>
      <c r="BD206" s="15" t="s">
        <v>138</v>
      </c>
      <c r="BE206" s="15" t="s">
        <v>138</v>
      </c>
      <c r="BF206" s="15" t="s">
        <v>138</v>
      </c>
      <c r="BG206" s="15" t="s">
        <v>138</v>
      </c>
      <c r="BH206" s="15" t="s">
        <v>138</v>
      </c>
      <c r="BI206" s="15" t="s">
        <v>138</v>
      </c>
      <c r="BJ206" s="15" t="s">
        <v>138</v>
      </c>
      <c r="BK206" s="15" t="s">
        <v>138</v>
      </c>
      <c r="BL206" s="131" t="s">
        <v>133</v>
      </c>
      <c r="BM206" t="s">
        <v>133</v>
      </c>
      <c r="BN206" t="s">
        <v>133</v>
      </c>
      <c r="BO206" t="s">
        <v>133</v>
      </c>
      <c r="BP206" t="s">
        <v>133</v>
      </c>
      <c r="BQ206" t="s">
        <v>133</v>
      </c>
      <c r="BR206" t="s">
        <v>134</v>
      </c>
      <c r="BS206" t="s">
        <v>134</v>
      </c>
      <c r="BT206" t="s">
        <v>134</v>
      </c>
      <c r="BU206" t="s">
        <v>134</v>
      </c>
      <c r="BV206" t="s">
        <v>134</v>
      </c>
      <c r="BW206" t="s">
        <v>134</v>
      </c>
      <c r="BX206" t="s">
        <v>134</v>
      </c>
      <c r="BY206" s="56">
        <v>445136</v>
      </c>
      <c r="BZ206" s="56">
        <v>445136</v>
      </c>
      <c r="CA206" s="56">
        <v>445136</v>
      </c>
      <c r="CB206" s="56">
        <v>512511</v>
      </c>
      <c r="CC206" s="56">
        <v>512511</v>
      </c>
      <c r="CD206" s="56">
        <v>512511</v>
      </c>
      <c r="CE206" s="56">
        <v>564680.25</v>
      </c>
      <c r="CF206" s="56">
        <v>564680.25</v>
      </c>
      <c r="CG206" s="56">
        <v>564680.25</v>
      </c>
      <c r="CH206" s="56">
        <v>564680.25</v>
      </c>
      <c r="CI206" s="56">
        <v>721188</v>
      </c>
      <c r="CJ206" s="56">
        <v>721188</v>
      </c>
      <c r="CK206" s="56">
        <v>721188</v>
      </c>
    </row>
    <row r="207" spans="1:89" ht="13" x14ac:dyDescent="0.3">
      <c r="A207" s="135" t="s">
        <v>224</v>
      </c>
      <c r="B207" s="142">
        <v>270859</v>
      </c>
      <c r="C207" s="135" t="s">
        <v>201</v>
      </c>
      <c r="D207" s="136">
        <v>31589</v>
      </c>
      <c r="E207" s="136">
        <v>55334</v>
      </c>
      <c r="F207" s="135" t="s">
        <v>173</v>
      </c>
      <c r="G207" s="135">
        <v>2017</v>
      </c>
      <c r="H207" s="135" t="s">
        <v>133</v>
      </c>
      <c r="I207" s="137">
        <v>839</v>
      </c>
      <c r="J207" s="137">
        <v>0</v>
      </c>
      <c r="K207" s="137">
        <v>0</v>
      </c>
      <c r="L207" s="137">
        <v>0</v>
      </c>
      <c r="M207" s="137">
        <v>1</v>
      </c>
      <c r="N207" s="137">
        <v>1</v>
      </c>
      <c r="O207" s="138">
        <v>0</v>
      </c>
      <c r="P207" s="147">
        <v>473213</v>
      </c>
      <c r="Q207" s="139">
        <v>1</v>
      </c>
      <c r="R207" s="139">
        <v>0</v>
      </c>
      <c r="S207" s="139">
        <v>0</v>
      </c>
      <c r="T207" s="140"/>
      <c r="U207" s="139">
        <v>0</v>
      </c>
      <c r="V207" s="141"/>
      <c r="W207" s="141">
        <v>1</v>
      </c>
      <c r="X207" s="24"/>
      <c r="Y207" s="24"/>
      <c r="Z207" s="24"/>
      <c r="AA207" s="24"/>
      <c r="AB207" s="24"/>
      <c r="AC207" s="24"/>
      <c r="AD207" s="24">
        <v>42583</v>
      </c>
      <c r="AE207" s="24"/>
      <c r="AF207" s="24"/>
      <c r="AG207" s="24"/>
      <c r="AH207" s="31"/>
      <c r="AI207" s="46" t="str">
        <f t="shared" si="21"/>
        <v/>
      </c>
      <c r="AJ207" s="27"/>
      <c r="AK207" s="27"/>
      <c r="AL207" s="27"/>
      <c r="AM207" s="27"/>
      <c r="AN207" s="27"/>
      <c r="AO207" s="27"/>
      <c r="AP207" s="27"/>
      <c r="AQ207" s="29">
        <f>IF(AND(AD207&lt;&gt;"",AF207="",AG207=""),DATE(YEAR(AD207)+Menu!$E$10,MONTH(AD207)+Menu!$E$11,1),"")</f>
        <v>45047</v>
      </c>
      <c r="AR207" s="29">
        <f t="shared" si="20"/>
        <v>45047</v>
      </c>
      <c r="AS207" s="27">
        <f>IF(AND(AR207&lt;&gt;"",AH207="",AG207=""),DATE(YEAR(AR207)+Menu!$E$13,MONTH(AR207)+Menu!$E$14,1),"")</f>
        <v>47515</v>
      </c>
      <c r="AT207" s="27"/>
      <c r="AU207" s="15" t="s">
        <v>138</v>
      </c>
      <c r="AV207" s="15" t="s">
        <v>138</v>
      </c>
      <c r="AW207" s="15" t="s">
        <v>138</v>
      </c>
      <c r="AX207" s="15" t="s">
        <v>138</v>
      </c>
      <c r="AY207" s="15" t="s">
        <v>138</v>
      </c>
      <c r="AZ207" s="15" t="s">
        <v>138</v>
      </c>
      <c r="BA207" s="15" t="s">
        <v>138</v>
      </c>
      <c r="BB207" s="15" t="s">
        <v>138</v>
      </c>
      <c r="BC207" s="15" t="s">
        <v>138</v>
      </c>
      <c r="BD207" s="15" t="s">
        <v>138</v>
      </c>
      <c r="BE207" s="15" t="s">
        <v>138</v>
      </c>
      <c r="BF207" s="15" t="s">
        <v>138</v>
      </c>
      <c r="BG207" s="15" t="s">
        <v>138</v>
      </c>
      <c r="BH207" s="15" t="s">
        <v>138</v>
      </c>
      <c r="BI207" s="15" t="s">
        <v>133</v>
      </c>
      <c r="BJ207" s="15" t="s">
        <v>133</v>
      </c>
      <c r="BK207" s="15" t="s">
        <v>133</v>
      </c>
      <c r="BL207" s="131" t="s">
        <v>133</v>
      </c>
      <c r="BM207" t="s">
        <v>133</v>
      </c>
      <c r="BN207" t="s">
        <v>133</v>
      </c>
      <c r="BO207" t="s">
        <v>133</v>
      </c>
      <c r="BP207" t="s">
        <v>134</v>
      </c>
      <c r="BQ207" t="s">
        <v>134</v>
      </c>
      <c r="BR207" t="s">
        <v>134</v>
      </c>
      <c r="BS207" t="s">
        <v>134</v>
      </c>
      <c r="BT207" t="s">
        <v>134</v>
      </c>
      <c r="BU207" t="s">
        <v>134</v>
      </c>
      <c r="BV207" t="s">
        <v>134</v>
      </c>
      <c r="BW207" t="s">
        <v>135</v>
      </c>
      <c r="BX207" t="s">
        <v>135</v>
      </c>
      <c r="BY207" s="56">
        <v>473213</v>
      </c>
      <c r="BZ207" s="56">
        <v>512515.08333333331</v>
      </c>
      <c r="CA207" s="56">
        <v>512515.08333333331</v>
      </c>
      <c r="CB207" s="56">
        <v>512515.08333333331</v>
      </c>
      <c r="CC207" s="56">
        <v>651630.36111111112</v>
      </c>
      <c r="CD207" s="56">
        <v>651630.36111111112</v>
      </c>
      <c r="CE207" s="56">
        <v>651630.36111111112</v>
      </c>
      <c r="CF207" s="56">
        <v>651630.36111111112</v>
      </c>
      <c r="CG207" s="56">
        <v>721188</v>
      </c>
      <c r="CH207" s="56">
        <v>721188</v>
      </c>
      <c r="CI207" s="56">
        <v>721188</v>
      </c>
      <c r="CJ207" s="56">
        <v>772372.375</v>
      </c>
      <c r="CK207" s="56">
        <v>828209.875</v>
      </c>
    </row>
    <row r="208" spans="1:89" ht="13" x14ac:dyDescent="0.3">
      <c r="A208" s="135" t="s">
        <v>118</v>
      </c>
      <c r="B208" s="134">
        <v>106544</v>
      </c>
      <c r="C208" s="135" t="s">
        <v>196</v>
      </c>
      <c r="D208" s="136">
        <v>21262</v>
      </c>
      <c r="E208" s="136">
        <v>45016</v>
      </c>
      <c r="F208" s="135" t="s">
        <v>173</v>
      </c>
      <c r="G208" s="135"/>
      <c r="H208" s="135"/>
      <c r="I208" s="137">
        <v>371</v>
      </c>
      <c r="J208" s="137">
        <v>1</v>
      </c>
      <c r="K208" s="137">
        <v>0</v>
      </c>
      <c r="L208" s="137">
        <v>0</v>
      </c>
      <c r="M208" s="137">
        <v>0</v>
      </c>
      <c r="N208" s="137">
        <v>0</v>
      </c>
      <c r="O208" s="138">
        <v>1</v>
      </c>
      <c r="P208" s="147">
        <v>294614.25</v>
      </c>
      <c r="Q208" s="139">
        <v>1</v>
      </c>
      <c r="R208" s="139">
        <v>1</v>
      </c>
      <c r="S208" s="139">
        <v>0</v>
      </c>
      <c r="T208" s="140"/>
      <c r="U208" s="139">
        <v>0</v>
      </c>
      <c r="V208" s="141"/>
      <c r="W208" s="141">
        <v>1</v>
      </c>
      <c r="X208" s="24"/>
      <c r="Y208" s="24">
        <v>36161</v>
      </c>
      <c r="Z208" s="24"/>
      <c r="AA208" s="24"/>
      <c r="AB208" s="24">
        <v>39715</v>
      </c>
      <c r="AC208" s="24"/>
      <c r="AD208" s="24"/>
      <c r="AE208" s="24"/>
      <c r="AF208" s="24"/>
      <c r="AG208" s="24"/>
      <c r="AH208" s="31"/>
      <c r="AI208" s="46" t="str">
        <f t="shared" si="21"/>
        <v/>
      </c>
      <c r="AJ208" s="27"/>
      <c r="AK208" s="27"/>
      <c r="AL208" s="27"/>
      <c r="AM208" s="27"/>
      <c r="AN208" s="27"/>
      <c r="AO208" s="27"/>
      <c r="AP208" s="27"/>
      <c r="AQ208" s="29" t="str">
        <f>IF(AND(AD208&lt;&gt;"",AF208="",AG208=""),DATE(YEAR(AD208)+Menu!$E$10,MONTH(AD208)+Menu!$E$11,1),"")</f>
        <v/>
      </c>
      <c r="AR208" s="29" t="str">
        <f t="shared" si="20"/>
        <v/>
      </c>
      <c r="AS208" s="27" t="str">
        <f>IF(AND(AR208&lt;&gt;"",AH208="",AG208=""),DATE(YEAR(AR208)+Menu!$E$13,MONTH(AR208)+Menu!$E$14,1),"")</f>
        <v/>
      </c>
      <c r="AT208" s="27"/>
      <c r="AU208" s="15" t="s">
        <v>129</v>
      </c>
      <c r="AV208" s="15" t="s">
        <v>129</v>
      </c>
      <c r="AW208" s="15" t="s">
        <v>129</v>
      </c>
      <c r="AX208" s="15" t="s">
        <v>129</v>
      </c>
      <c r="AY208" s="15" t="s">
        <v>129</v>
      </c>
      <c r="AZ208" s="15" t="s">
        <v>129</v>
      </c>
      <c r="BA208" s="16" t="s">
        <v>131</v>
      </c>
      <c r="BB208" s="16" t="s">
        <v>131</v>
      </c>
      <c r="BC208" s="16" t="s">
        <v>131</v>
      </c>
      <c r="BD208" s="16" t="s">
        <v>131</v>
      </c>
      <c r="BE208" s="16" t="s">
        <v>131</v>
      </c>
      <c r="BF208" s="16" t="s">
        <v>131</v>
      </c>
      <c r="BG208" s="16" t="s">
        <v>131</v>
      </c>
      <c r="BH208" s="16" t="s">
        <v>131</v>
      </c>
      <c r="BI208" s="16" t="s">
        <v>131</v>
      </c>
      <c r="BJ208" s="15" t="s">
        <v>131</v>
      </c>
      <c r="BK208" s="15" t="s">
        <v>131</v>
      </c>
      <c r="BL208" s="131" t="s">
        <v>131</v>
      </c>
      <c r="BM208" t="s">
        <v>131</v>
      </c>
      <c r="BN208" t="s">
        <v>131</v>
      </c>
      <c r="BO208" t="s">
        <v>131</v>
      </c>
      <c r="BP208" t="s">
        <v>131</v>
      </c>
      <c r="BQ208" t="s">
        <v>138</v>
      </c>
      <c r="BR208" t="s">
        <v>138</v>
      </c>
      <c r="BS208" t="s">
        <v>138</v>
      </c>
      <c r="BT208" t="s">
        <v>138</v>
      </c>
      <c r="BU208" t="s">
        <v>138</v>
      </c>
      <c r="BV208" t="s">
        <v>138</v>
      </c>
      <c r="BW208" t="s">
        <v>138</v>
      </c>
      <c r="BX208" t="s">
        <v>138</v>
      </c>
      <c r="BY208" s="56">
        <v>294614.25</v>
      </c>
      <c r="BZ208" s="56">
        <v>294614.25</v>
      </c>
      <c r="CA208" s="56">
        <v>294614.25</v>
      </c>
      <c r="CB208" s="56">
        <v>294614.25</v>
      </c>
      <c r="CC208" s="56">
        <v>73653.5625</v>
      </c>
      <c r="CD208" s="56">
        <v>0</v>
      </c>
      <c r="CE208" s="56">
        <v>0</v>
      </c>
      <c r="CF208" s="56">
        <v>0</v>
      </c>
      <c r="CG208" s="56">
        <v>0</v>
      </c>
      <c r="CH208" s="56">
        <v>0</v>
      </c>
      <c r="CI208" s="56">
        <v>0</v>
      </c>
      <c r="CJ208" s="56">
        <v>0</v>
      </c>
      <c r="CK208" s="56">
        <v>0</v>
      </c>
    </row>
    <row r="209" spans="1:89" ht="13" x14ac:dyDescent="0.3">
      <c r="A209" s="135" t="s">
        <v>119</v>
      </c>
      <c r="B209" s="134">
        <v>115534</v>
      </c>
      <c r="C209" s="135" t="s">
        <v>196</v>
      </c>
      <c r="D209" s="136">
        <v>25804</v>
      </c>
      <c r="E209" s="136">
        <v>49552</v>
      </c>
      <c r="F209" s="135" t="s">
        <v>173</v>
      </c>
      <c r="G209" s="135"/>
      <c r="H209" s="135"/>
      <c r="I209" s="137">
        <v>405</v>
      </c>
      <c r="J209" s="137">
        <v>1</v>
      </c>
      <c r="K209" s="137">
        <v>0</v>
      </c>
      <c r="L209" s="137">
        <v>0</v>
      </c>
      <c r="M209" s="137">
        <v>0</v>
      </c>
      <c r="N209" s="137">
        <v>0</v>
      </c>
      <c r="O209" s="138">
        <v>0</v>
      </c>
      <c r="P209" s="147">
        <v>678069.75</v>
      </c>
      <c r="Q209" s="139">
        <v>1</v>
      </c>
      <c r="R209" s="139">
        <v>1</v>
      </c>
      <c r="S209" s="139">
        <v>0</v>
      </c>
      <c r="T209" s="140"/>
      <c r="U209" s="139">
        <v>0</v>
      </c>
      <c r="V209" s="141"/>
      <c r="W209" s="141">
        <v>1</v>
      </c>
      <c r="X209" s="24"/>
      <c r="Y209" s="24">
        <v>35827</v>
      </c>
      <c r="Z209" s="24"/>
      <c r="AA209" s="24"/>
      <c r="AB209" s="24"/>
      <c r="AC209" s="24"/>
      <c r="AD209" s="24">
        <v>37987</v>
      </c>
      <c r="AE209" s="24"/>
      <c r="AF209" s="24">
        <v>40603</v>
      </c>
      <c r="AG209" s="24"/>
      <c r="AH209" s="31">
        <v>43831</v>
      </c>
      <c r="AI209" s="46" t="str">
        <f t="shared" si="21"/>
        <v/>
      </c>
      <c r="AJ209" s="27"/>
      <c r="AK209" s="27"/>
      <c r="AL209" s="27"/>
      <c r="AM209" s="27"/>
      <c r="AN209" s="27"/>
      <c r="AO209" s="27"/>
      <c r="AP209" s="27"/>
      <c r="AQ209" s="29" t="str">
        <f>IF(AND(AD209&lt;&gt;"",AF209="",AG209=""),DATE(YEAR(AD209)+Menu!$E$10,MONTH(AD209)+Menu!$E$11,1),"")</f>
        <v/>
      </c>
      <c r="AR209" s="29">
        <f t="shared" si="20"/>
        <v>40603</v>
      </c>
      <c r="AS209" s="27" t="str">
        <f>IF(AND(AR209&lt;&gt;"",AH209="",AG209=""),DATE(YEAR(AR209)+Menu!$E$13,MONTH(AR209)+Menu!$E$14,1),"")</f>
        <v/>
      </c>
      <c r="AT209" s="27"/>
      <c r="AU209" s="16" t="s">
        <v>129</v>
      </c>
      <c r="AV209" s="16" t="s">
        <v>129</v>
      </c>
      <c r="AW209" s="16" t="s">
        <v>133</v>
      </c>
      <c r="AX209" s="16" t="s">
        <v>133</v>
      </c>
      <c r="AY209" s="16" t="s">
        <v>133</v>
      </c>
      <c r="AZ209" s="16" t="s">
        <v>133</v>
      </c>
      <c r="BA209" s="16" t="s">
        <v>133</v>
      </c>
      <c r="BB209" s="16" t="s">
        <v>133</v>
      </c>
      <c r="BC209" s="16" t="s">
        <v>133</v>
      </c>
      <c r="BD209" s="16" t="s">
        <v>134</v>
      </c>
      <c r="BE209" s="16" t="s">
        <v>134</v>
      </c>
      <c r="BF209" s="16" t="s">
        <v>134</v>
      </c>
      <c r="BG209" s="16" t="s">
        <v>134</v>
      </c>
      <c r="BH209" s="16" t="s">
        <v>134</v>
      </c>
      <c r="BI209" s="16" t="s">
        <v>134</v>
      </c>
      <c r="BJ209" s="15" t="s">
        <v>134</v>
      </c>
      <c r="BK209" s="15" t="s">
        <v>134</v>
      </c>
      <c r="BL209" s="131" t="s">
        <v>134</v>
      </c>
      <c r="BM209" t="s">
        <v>135</v>
      </c>
      <c r="BN209" t="s">
        <v>135</v>
      </c>
      <c r="BO209" t="s">
        <v>135</v>
      </c>
      <c r="BP209" t="s">
        <v>135</v>
      </c>
      <c r="BQ209" t="s">
        <v>135</v>
      </c>
      <c r="BR209" t="s">
        <v>135</v>
      </c>
      <c r="BS209" t="s">
        <v>135</v>
      </c>
      <c r="BT209" t="s">
        <v>135</v>
      </c>
      <c r="BU209" t="s">
        <v>135</v>
      </c>
      <c r="BV209" t="s">
        <v>135</v>
      </c>
      <c r="BW209" t="s">
        <v>135</v>
      </c>
      <c r="BX209" t="s">
        <v>135</v>
      </c>
      <c r="BY209" s="56">
        <v>678069.75</v>
      </c>
      <c r="BZ209" s="56">
        <v>733907.25</v>
      </c>
      <c r="CA209" s="56">
        <v>789744.75</v>
      </c>
      <c r="CB209" s="56">
        <v>845582.25</v>
      </c>
      <c r="CC209" s="56">
        <v>901419.75</v>
      </c>
      <c r="CD209" s="56">
        <v>957257.25</v>
      </c>
      <c r="CE209" s="56">
        <v>1000375</v>
      </c>
      <c r="CF209" s="56">
        <v>1000375</v>
      </c>
      <c r="CG209" s="56">
        <v>1000375</v>
      </c>
      <c r="CH209" s="56">
        <v>1000375</v>
      </c>
      <c r="CI209" s="56">
        <v>1000375</v>
      </c>
      <c r="CJ209" s="56">
        <v>1000375</v>
      </c>
      <c r="CK209" s="56">
        <v>1000375</v>
      </c>
    </row>
    <row r="210" spans="1:89" ht="13" x14ac:dyDescent="0.3">
      <c r="A210" s="135" t="s">
        <v>120</v>
      </c>
      <c r="B210" s="134">
        <v>108776</v>
      </c>
      <c r="C210" s="135" t="s">
        <v>197</v>
      </c>
      <c r="D210" s="136">
        <v>19415</v>
      </c>
      <c r="E210" s="136">
        <v>43343</v>
      </c>
      <c r="F210" s="135" t="s">
        <v>173</v>
      </c>
      <c r="G210" s="135"/>
      <c r="H210" s="135"/>
      <c r="I210" s="137">
        <v>314</v>
      </c>
      <c r="J210" s="137">
        <v>0</v>
      </c>
      <c r="K210" s="137">
        <v>1</v>
      </c>
      <c r="L210" s="137">
        <v>0</v>
      </c>
      <c r="M210" s="137">
        <v>0</v>
      </c>
      <c r="N210" s="137">
        <v>0</v>
      </c>
      <c r="O210" s="138">
        <v>0</v>
      </c>
      <c r="P210" s="147">
        <v>0</v>
      </c>
      <c r="Q210" s="139">
        <v>1</v>
      </c>
      <c r="R210" s="139">
        <v>0</v>
      </c>
      <c r="S210" s="139">
        <v>0</v>
      </c>
      <c r="T210" s="140"/>
      <c r="U210" s="139">
        <v>0</v>
      </c>
      <c r="V210" s="141"/>
      <c r="W210" s="141">
        <v>0</v>
      </c>
      <c r="X210" s="24"/>
      <c r="Y210" s="24"/>
      <c r="Z210" s="24"/>
      <c r="AA210" s="24"/>
      <c r="AB210" s="24"/>
      <c r="AC210" s="24"/>
      <c r="AD210" s="24"/>
      <c r="AE210" s="24"/>
      <c r="AF210" s="24"/>
      <c r="AG210" s="24">
        <v>36039</v>
      </c>
      <c r="AH210" s="31"/>
      <c r="AI210" s="46" t="str">
        <f t="shared" si="21"/>
        <v/>
      </c>
      <c r="AJ210" s="27"/>
      <c r="AK210" s="27"/>
      <c r="AL210" s="27"/>
      <c r="AM210" s="27"/>
      <c r="AN210" s="27"/>
      <c r="AO210" s="27"/>
      <c r="AP210" s="27"/>
      <c r="AQ210" s="29" t="str">
        <f>IF(AND(AD210&lt;&gt;"",AF210="",AG210=""),DATE(YEAR(AD210)+Menu!$E$10,MONTH(AD210)+Menu!$E$11,1),"")</f>
        <v/>
      </c>
      <c r="AR210" s="29" t="str">
        <f t="shared" si="20"/>
        <v/>
      </c>
      <c r="AS210" s="27" t="str">
        <f>IF(AND(AR210&lt;&gt;"",AH210="",AG210=""),DATE(YEAR(AR210)+Menu!$E$13,MONTH(AR210)+Menu!$E$14,1),"")</f>
        <v/>
      </c>
      <c r="AT210" s="27"/>
      <c r="AU210" s="16" t="s">
        <v>135</v>
      </c>
      <c r="AV210" s="16" t="s">
        <v>135</v>
      </c>
      <c r="AW210" s="16" t="s">
        <v>135</v>
      </c>
      <c r="AX210" s="16" t="s">
        <v>135</v>
      </c>
      <c r="AY210" s="16" t="s">
        <v>135</v>
      </c>
      <c r="AZ210" s="16" t="s">
        <v>135</v>
      </c>
      <c r="BA210" s="16" t="s">
        <v>135</v>
      </c>
      <c r="BB210" s="16" t="s">
        <v>135</v>
      </c>
      <c r="BC210" s="16" t="s">
        <v>135</v>
      </c>
      <c r="BD210" s="16" t="s">
        <v>135</v>
      </c>
      <c r="BE210" s="16" t="s">
        <v>135</v>
      </c>
      <c r="BF210" s="16" t="s">
        <v>135</v>
      </c>
      <c r="BG210" s="16" t="s">
        <v>135</v>
      </c>
      <c r="BH210" s="16" t="s">
        <v>135</v>
      </c>
      <c r="BI210" s="16" t="s">
        <v>135</v>
      </c>
      <c r="BJ210" s="15" t="s">
        <v>135</v>
      </c>
      <c r="BK210" s="15" t="s">
        <v>138</v>
      </c>
      <c r="BL210" s="131" t="s">
        <v>138</v>
      </c>
      <c r="BM210" t="s">
        <v>138</v>
      </c>
      <c r="BN210" t="s">
        <v>138</v>
      </c>
      <c r="BO210" t="s">
        <v>138</v>
      </c>
      <c r="BP210" t="s">
        <v>138</v>
      </c>
      <c r="BQ210" t="s">
        <v>138</v>
      </c>
      <c r="BR210" t="s">
        <v>138</v>
      </c>
      <c r="BS210" t="s">
        <v>138</v>
      </c>
      <c r="BT210" t="s">
        <v>138</v>
      </c>
      <c r="BU210" t="s">
        <v>138</v>
      </c>
      <c r="BV210" t="s">
        <v>138</v>
      </c>
      <c r="BW210" t="s">
        <v>138</v>
      </c>
      <c r="BX210" t="s">
        <v>138</v>
      </c>
      <c r="BY210" s="56">
        <v>0</v>
      </c>
      <c r="BZ210" s="56">
        <v>0</v>
      </c>
      <c r="CA210" s="56">
        <v>0</v>
      </c>
      <c r="CB210" s="56">
        <v>0</v>
      </c>
      <c r="CC210" s="56">
        <v>0</v>
      </c>
      <c r="CD210" s="56">
        <v>0</v>
      </c>
      <c r="CE210" s="56">
        <v>0</v>
      </c>
      <c r="CF210" s="56">
        <v>0</v>
      </c>
      <c r="CG210" s="56">
        <v>0</v>
      </c>
      <c r="CH210" s="56">
        <v>0</v>
      </c>
      <c r="CI210" s="56">
        <v>0</v>
      </c>
      <c r="CJ210" s="56">
        <v>0</v>
      </c>
      <c r="CK210" s="56">
        <v>0</v>
      </c>
    </row>
    <row r="211" spans="1:89" ht="13" x14ac:dyDescent="0.3">
      <c r="A211" s="135" t="s">
        <v>222</v>
      </c>
      <c r="B211" s="142">
        <v>265228</v>
      </c>
      <c r="C211" s="135" t="s">
        <v>200</v>
      </c>
      <c r="D211" s="136">
        <v>29711</v>
      </c>
      <c r="E211" s="136">
        <v>53113</v>
      </c>
      <c r="F211" s="135" t="s">
        <v>172</v>
      </c>
      <c r="G211" s="135">
        <v>2016</v>
      </c>
      <c r="H211" s="135" t="s">
        <v>133</v>
      </c>
      <c r="I211" s="137">
        <v>837</v>
      </c>
      <c r="J211" s="137">
        <v>0</v>
      </c>
      <c r="K211" s="137">
        <v>0</v>
      </c>
      <c r="L211" s="137">
        <v>0</v>
      </c>
      <c r="M211" s="137">
        <v>1</v>
      </c>
      <c r="N211" s="137">
        <v>0</v>
      </c>
      <c r="O211" s="138">
        <v>0</v>
      </c>
      <c r="P211" s="147">
        <v>512511</v>
      </c>
      <c r="Q211" s="139">
        <v>1</v>
      </c>
      <c r="R211" s="139">
        <v>0</v>
      </c>
      <c r="S211" s="139">
        <v>0</v>
      </c>
      <c r="T211" s="140"/>
      <c r="U211" s="139">
        <v>0</v>
      </c>
      <c r="V211" s="141"/>
      <c r="W211" s="141">
        <v>1</v>
      </c>
      <c r="X211" s="24"/>
      <c r="Y211" s="24"/>
      <c r="Z211" s="24"/>
      <c r="AA211" s="24"/>
      <c r="AB211" s="24"/>
      <c r="AC211" s="24"/>
      <c r="AD211" s="24">
        <v>42370</v>
      </c>
      <c r="AE211" s="24"/>
      <c r="AF211" s="24"/>
      <c r="AG211" s="24"/>
      <c r="AH211" s="31"/>
      <c r="AI211" s="46" t="str">
        <f t="shared" si="21"/>
        <v/>
      </c>
      <c r="AJ211" s="27"/>
      <c r="AK211" s="27"/>
      <c r="AL211" s="27"/>
      <c r="AM211" s="27"/>
      <c r="AN211" s="27"/>
      <c r="AO211" s="27"/>
      <c r="AP211" s="27"/>
      <c r="AQ211" s="29">
        <f>IF(AND(AD211&lt;&gt;"",AF211="",AG211=""),DATE(YEAR(AD211)+Menu!$E$10,MONTH(AD211)+Menu!$E$11,1),"")</f>
        <v>44835</v>
      </c>
      <c r="AR211" s="29">
        <f t="shared" si="20"/>
        <v>44835</v>
      </c>
      <c r="AS211" s="27">
        <f>IF(AND(AR211&lt;&gt;"",AH211="",AG211=""),DATE(YEAR(AR211)+Menu!$E$13,MONTH(AR211)+Menu!$E$14,1),"")</f>
        <v>47300</v>
      </c>
      <c r="AT211" s="27"/>
      <c r="AU211" s="15" t="s">
        <v>138</v>
      </c>
      <c r="AV211" s="15" t="s">
        <v>138</v>
      </c>
      <c r="AW211" s="15" t="s">
        <v>138</v>
      </c>
      <c r="AX211" s="15" t="s">
        <v>138</v>
      </c>
      <c r="AY211" s="15" t="s">
        <v>138</v>
      </c>
      <c r="AZ211" s="15" t="s">
        <v>138</v>
      </c>
      <c r="BA211" s="15" t="s">
        <v>138</v>
      </c>
      <c r="BB211" s="15" t="s">
        <v>138</v>
      </c>
      <c r="BC211" s="15" t="s">
        <v>138</v>
      </c>
      <c r="BD211" s="15" t="s">
        <v>138</v>
      </c>
      <c r="BE211" s="15" t="s">
        <v>138</v>
      </c>
      <c r="BF211" s="15" t="s">
        <v>138</v>
      </c>
      <c r="BG211" s="15" t="s">
        <v>138</v>
      </c>
      <c r="BH211" s="15" t="s">
        <v>138</v>
      </c>
      <c r="BI211" s="15" t="s">
        <v>133</v>
      </c>
      <c r="BJ211" s="15" t="s">
        <v>133</v>
      </c>
      <c r="BK211" s="15" t="s">
        <v>133</v>
      </c>
      <c r="BL211" s="131" t="s">
        <v>133</v>
      </c>
      <c r="BM211" t="s">
        <v>133</v>
      </c>
      <c r="BN211" t="s">
        <v>133</v>
      </c>
      <c r="BO211" t="s">
        <v>134</v>
      </c>
      <c r="BP211" t="s">
        <v>134</v>
      </c>
      <c r="BQ211" t="s">
        <v>134</v>
      </c>
      <c r="BR211" t="s">
        <v>134</v>
      </c>
      <c r="BS211" t="s">
        <v>134</v>
      </c>
      <c r="BT211" t="s">
        <v>134</v>
      </c>
      <c r="BU211" t="s">
        <v>134</v>
      </c>
      <c r="BV211" t="s">
        <v>135</v>
      </c>
      <c r="BW211" t="s">
        <v>135</v>
      </c>
      <c r="BX211" t="s">
        <v>135</v>
      </c>
      <c r="BY211" s="56">
        <v>512511</v>
      </c>
      <c r="BZ211" s="56">
        <v>512511</v>
      </c>
      <c r="CA211" s="56">
        <v>512511</v>
      </c>
      <c r="CB211" s="56">
        <v>564680.25</v>
      </c>
      <c r="CC211" s="56">
        <v>564680.25</v>
      </c>
      <c r="CD211" s="56">
        <v>564680.25</v>
      </c>
      <c r="CE211" s="56">
        <v>564680.25</v>
      </c>
      <c r="CF211" s="56">
        <v>721188</v>
      </c>
      <c r="CG211" s="56">
        <v>721188</v>
      </c>
      <c r="CH211" s="56">
        <v>721188</v>
      </c>
      <c r="CI211" s="56">
        <v>749106.75</v>
      </c>
      <c r="CJ211" s="56">
        <v>804944.25</v>
      </c>
      <c r="CK211" s="56">
        <v>860781.75</v>
      </c>
    </row>
    <row r="212" spans="1:89" ht="13" x14ac:dyDescent="0.3">
      <c r="A212" s="135" t="s">
        <v>121</v>
      </c>
      <c r="B212" s="134">
        <v>115227</v>
      </c>
      <c r="C212" s="135" t="s">
        <v>198</v>
      </c>
      <c r="D212" s="136">
        <v>21284</v>
      </c>
      <c r="E212" s="136">
        <v>45046</v>
      </c>
      <c r="F212" s="135" t="s">
        <v>173</v>
      </c>
      <c r="G212" s="135"/>
      <c r="H212" s="135"/>
      <c r="I212" s="137">
        <v>1022</v>
      </c>
      <c r="J212" s="137">
        <v>0</v>
      </c>
      <c r="K212" s="137">
        <v>0</v>
      </c>
      <c r="L212" s="137">
        <v>1</v>
      </c>
      <c r="M212" s="137">
        <v>0</v>
      </c>
      <c r="N212" s="137">
        <v>0</v>
      </c>
      <c r="O212" s="138">
        <v>0</v>
      </c>
      <c r="P212" s="147">
        <v>1072430</v>
      </c>
      <c r="Q212" s="139">
        <v>1</v>
      </c>
      <c r="R212" s="139">
        <v>1</v>
      </c>
      <c r="S212" s="139">
        <v>0</v>
      </c>
      <c r="T212" s="140"/>
      <c r="U212" s="139">
        <f>-SUM(U236,U237)*MONTH(E212)/12</f>
        <v>-115078.13333333335</v>
      </c>
      <c r="V212" s="141">
        <v>2023</v>
      </c>
      <c r="W212" s="141">
        <v>1</v>
      </c>
      <c r="X212" s="24"/>
      <c r="Y212" s="24"/>
      <c r="Z212" s="24"/>
      <c r="AA212" s="24"/>
      <c r="AB212" s="24"/>
      <c r="AC212" s="24"/>
      <c r="AD212" s="24"/>
      <c r="AE212" s="24"/>
      <c r="AF212" s="24">
        <v>35735</v>
      </c>
      <c r="AG212" s="24">
        <v>36831</v>
      </c>
      <c r="AH212" s="31"/>
      <c r="AI212" s="46" t="str">
        <f t="shared" si="21"/>
        <v/>
      </c>
      <c r="AJ212" s="27"/>
      <c r="AK212" s="27"/>
      <c r="AL212" s="27"/>
      <c r="AM212" s="27"/>
      <c r="AN212" s="27"/>
      <c r="AO212" s="27"/>
      <c r="AP212" s="27"/>
      <c r="AQ212" s="29" t="str">
        <f>IF(AND(AD212&lt;&gt;"",AF212="",AG212=""),DATE(YEAR(AD212)+Menu!$E$10,MONTH(AD212)+Menu!$E$11,1),"")</f>
        <v/>
      </c>
      <c r="AR212" s="29">
        <f t="shared" si="20"/>
        <v>35735</v>
      </c>
      <c r="AS212" s="27" t="str">
        <f>IF(AND(AR212&lt;&gt;"",AH212="",AG212=""),DATE(YEAR(AR212)+Menu!$E$13,MONTH(AR212)+Menu!$E$14,1),"")</f>
        <v/>
      </c>
      <c r="AT212" s="27"/>
      <c r="AU212" s="16" t="s">
        <v>135</v>
      </c>
      <c r="AV212" s="16" t="s">
        <v>135</v>
      </c>
      <c r="AW212" s="16" t="s">
        <v>135</v>
      </c>
      <c r="AX212" s="16" t="s">
        <v>135</v>
      </c>
      <c r="AY212" s="16" t="s">
        <v>135</v>
      </c>
      <c r="AZ212" s="16" t="s">
        <v>135</v>
      </c>
      <c r="BA212" s="16" t="s">
        <v>135</v>
      </c>
      <c r="BB212" s="16" t="s">
        <v>135</v>
      </c>
      <c r="BC212" s="16" t="s">
        <v>135</v>
      </c>
      <c r="BD212" s="16" t="s">
        <v>135</v>
      </c>
      <c r="BE212" s="16" t="s">
        <v>135</v>
      </c>
      <c r="BF212" s="16" t="s">
        <v>135</v>
      </c>
      <c r="BG212" s="16" t="s">
        <v>135</v>
      </c>
      <c r="BH212" s="16" t="s">
        <v>135</v>
      </c>
      <c r="BI212" s="16" t="s">
        <v>135</v>
      </c>
      <c r="BJ212" s="15" t="s">
        <v>135</v>
      </c>
      <c r="BK212" s="15" t="s">
        <v>135</v>
      </c>
      <c r="BL212" s="131" t="s">
        <v>135</v>
      </c>
      <c r="BM212" t="s">
        <v>135</v>
      </c>
      <c r="BN212" t="s">
        <v>135</v>
      </c>
      <c r="BO212" t="s">
        <v>135</v>
      </c>
      <c r="BP212" t="s">
        <v>138</v>
      </c>
      <c r="BQ212" t="s">
        <v>138</v>
      </c>
      <c r="BR212" t="s">
        <v>138</v>
      </c>
      <c r="BS212" t="s">
        <v>138</v>
      </c>
      <c r="BT212" t="s">
        <v>138</v>
      </c>
      <c r="BU212" t="s">
        <v>138</v>
      </c>
      <c r="BV212" t="s">
        <v>138</v>
      </c>
      <c r="BW212" t="s">
        <v>138</v>
      </c>
      <c r="BX212" t="s">
        <v>138</v>
      </c>
      <c r="BY212" s="56">
        <v>1072430</v>
      </c>
      <c r="BZ212" s="56">
        <v>1000375</v>
      </c>
      <c r="CA212" s="56">
        <v>1000375</v>
      </c>
      <c r="CB212" s="56">
        <v>1000375</v>
      </c>
      <c r="CC212" s="56">
        <v>218380.19999999995</v>
      </c>
      <c r="CD212" s="56">
        <v>0</v>
      </c>
      <c r="CE212" s="56">
        <v>0</v>
      </c>
      <c r="CF212" s="56">
        <v>0</v>
      </c>
      <c r="CG212" s="56">
        <v>0</v>
      </c>
      <c r="CH212" s="56">
        <v>0</v>
      </c>
      <c r="CI212" s="56">
        <v>0</v>
      </c>
      <c r="CJ212" s="56">
        <v>0</v>
      </c>
      <c r="CK212" s="56">
        <v>0</v>
      </c>
    </row>
    <row r="213" spans="1:89" ht="13" x14ac:dyDescent="0.3">
      <c r="A213" s="135" t="s">
        <v>122</v>
      </c>
      <c r="B213" s="134">
        <v>152027</v>
      </c>
      <c r="C213" s="135" t="s">
        <v>201</v>
      </c>
      <c r="D213" s="136">
        <v>27538</v>
      </c>
      <c r="E213" s="136">
        <v>51287</v>
      </c>
      <c r="F213" s="135" t="s">
        <v>173</v>
      </c>
      <c r="G213" s="135">
        <v>2015</v>
      </c>
      <c r="H213" s="135" t="s">
        <v>134</v>
      </c>
      <c r="I213" s="137">
        <v>887</v>
      </c>
      <c r="J213" s="137">
        <v>0</v>
      </c>
      <c r="K213" s="137">
        <v>0</v>
      </c>
      <c r="L213" s="137">
        <v>0</v>
      </c>
      <c r="M213" s="137">
        <v>0</v>
      </c>
      <c r="N213" s="137">
        <v>1</v>
      </c>
      <c r="O213" s="138">
        <v>0</v>
      </c>
      <c r="P213" s="147">
        <v>374827</v>
      </c>
      <c r="Q213" s="139">
        <v>1</v>
      </c>
      <c r="R213" s="139">
        <v>1</v>
      </c>
      <c r="S213" s="139">
        <v>0</v>
      </c>
      <c r="T213" s="140"/>
      <c r="U213" s="139">
        <v>0</v>
      </c>
      <c r="V213" s="141"/>
      <c r="W213" s="141">
        <v>1</v>
      </c>
      <c r="X213" s="24"/>
      <c r="Y213" s="24"/>
      <c r="Z213" s="24"/>
      <c r="AA213" s="24">
        <v>40057</v>
      </c>
      <c r="AB213" s="24"/>
      <c r="AC213" s="24"/>
      <c r="AD213" s="24"/>
      <c r="AE213" s="24"/>
      <c r="AF213" s="24">
        <v>42248</v>
      </c>
      <c r="AG213" s="24"/>
      <c r="AH213" s="31"/>
      <c r="AI213" s="46" t="str">
        <f t="shared" si="21"/>
        <v/>
      </c>
      <c r="AJ213" s="27"/>
      <c r="AK213" s="27"/>
      <c r="AL213" s="27"/>
      <c r="AM213" s="27"/>
      <c r="AN213" s="27"/>
      <c r="AO213" s="27"/>
      <c r="AP213" s="27"/>
      <c r="AQ213" s="29" t="str">
        <f>IF(AND(AD213&lt;&gt;"",AF213="",AG213=""),DATE(YEAR(AD213)+Menu!$E$10,MONTH(AD213)+Menu!$E$11,1),"")</f>
        <v/>
      </c>
      <c r="AR213" s="29">
        <f t="shared" si="20"/>
        <v>42248</v>
      </c>
      <c r="AS213" s="27">
        <f>IF(AND(AR213&lt;&gt;"",AH213="",AG213=""),DATE(YEAR(AR213)+Menu!$E$13,MONTH(AR213)+Menu!$E$14,1),"")</f>
        <v>44713</v>
      </c>
      <c r="AT213" s="27"/>
      <c r="AU213" s="15" t="s">
        <v>138</v>
      </c>
      <c r="AV213" s="15" t="s">
        <v>138</v>
      </c>
      <c r="AW213" s="16" t="s">
        <v>138</v>
      </c>
      <c r="AX213" s="15" t="s">
        <v>138</v>
      </c>
      <c r="AY213" s="15" t="s">
        <v>138</v>
      </c>
      <c r="AZ213" s="15" t="s">
        <v>138</v>
      </c>
      <c r="BA213" s="15" t="s">
        <v>138</v>
      </c>
      <c r="BB213" s="16" t="s">
        <v>130</v>
      </c>
      <c r="BC213" s="16" t="s">
        <v>130</v>
      </c>
      <c r="BD213" s="16" t="s">
        <v>130</v>
      </c>
      <c r="BE213" s="16" t="s">
        <v>130</v>
      </c>
      <c r="BF213" s="16" t="s">
        <v>130</v>
      </c>
      <c r="BG213" s="16" t="s">
        <v>130</v>
      </c>
      <c r="BH213" s="16" t="s">
        <v>134</v>
      </c>
      <c r="BI213" s="16" t="s">
        <v>134</v>
      </c>
      <c r="BJ213" s="15" t="s">
        <v>134</v>
      </c>
      <c r="BK213" s="15" t="s">
        <v>134</v>
      </c>
      <c r="BL213" s="131" t="s">
        <v>134</v>
      </c>
      <c r="BM213" t="s">
        <v>134</v>
      </c>
      <c r="BN213" t="s">
        <v>134</v>
      </c>
      <c r="BO213" t="s">
        <v>135</v>
      </c>
      <c r="BP213" t="s">
        <v>135</v>
      </c>
      <c r="BQ213" t="s">
        <v>135</v>
      </c>
      <c r="BR213" t="s">
        <v>135</v>
      </c>
      <c r="BS213" t="s">
        <v>135</v>
      </c>
      <c r="BT213" t="s">
        <v>135</v>
      </c>
      <c r="BU213" t="s">
        <v>135</v>
      </c>
      <c r="BV213" t="s">
        <v>135</v>
      </c>
      <c r="BW213" t="s">
        <v>135</v>
      </c>
      <c r="BX213" t="s">
        <v>135</v>
      </c>
      <c r="BY213" s="56">
        <v>374827</v>
      </c>
      <c r="BZ213" s="56">
        <v>721188</v>
      </c>
      <c r="CA213" s="56">
        <v>721188</v>
      </c>
      <c r="CB213" s="56">
        <v>753759.875</v>
      </c>
      <c r="CC213" s="56">
        <v>809597.375</v>
      </c>
      <c r="CD213" s="56">
        <v>865434.875</v>
      </c>
      <c r="CE213" s="56">
        <v>921272.375</v>
      </c>
      <c r="CF213" s="56">
        <v>977109.875</v>
      </c>
      <c r="CG213" s="56">
        <v>1000375</v>
      </c>
      <c r="CH213" s="56">
        <v>1000375</v>
      </c>
      <c r="CI213" s="56">
        <v>1000375</v>
      </c>
      <c r="CJ213" s="56">
        <v>1000375</v>
      </c>
      <c r="CK213" s="56">
        <v>1000375</v>
      </c>
    </row>
    <row r="214" spans="1:89" ht="13" x14ac:dyDescent="0.3">
      <c r="A214" s="135" t="s">
        <v>123</v>
      </c>
      <c r="B214" s="134">
        <v>106613</v>
      </c>
      <c r="C214" s="135" t="s">
        <v>201</v>
      </c>
      <c r="D214" s="136">
        <v>15811</v>
      </c>
      <c r="E214" s="136">
        <v>41394</v>
      </c>
      <c r="F214" s="135" t="s">
        <v>173</v>
      </c>
      <c r="G214" s="135"/>
      <c r="H214" s="135"/>
      <c r="I214" s="137">
        <v>485</v>
      </c>
      <c r="J214" s="137">
        <v>0</v>
      </c>
      <c r="K214" s="137">
        <v>0</v>
      </c>
      <c r="L214" s="137">
        <v>0</v>
      </c>
      <c r="M214" s="137">
        <v>0</v>
      </c>
      <c r="N214" s="137">
        <v>1</v>
      </c>
      <c r="O214" s="138">
        <v>0</v>
      </c>
      <c r="P214" s="147">
        <v>0</v>
      </c>
      <c r="Q214" s="139">
        <v>0</v>
      </c>
      <c r="R214" s="139">
        <v>0</v>
      </c>
      <c r="S214" s="139">
        <v>0</v>
      </c>
      <c r="T214" s="140"/>
      <c r="U214" s="139">
        <v>0</v>
      </c>
      <c r="V214" s="141"/>
      <c r="W214" s="141">
        <v>0</v>
      </c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31"/>
      <c r="AI214" s="46">
        <f t="shared" si="21"/>
        <v>2013</v>
      </c>
      <c r="AJ214" s="27"/>
      <c r="AK214" s="27"/>
      <c r="AL214" s="27"/>
      <c r="AM214" s="27"/>
      <c r="AN214" s="27"/>
      <c r="AO214" s="27"/>
      <c r="AP214" s="27"/>
      <c r="AQ214" s="29" t="str">
        <f>IF(AND(AD214&lt;&gt;"",AF214="",AG214=""),DATE(YEAR(AD214)+Menu!$E$10,MONTH(AD214)+Menu!$E$11,1),"")</f>
        <v/>
      </c>
      <c r="AR214" s="29" t="str">
        <f t="shared" si="20"/>
        <v/>
      </c>
      <c r="AS214" s="27" t="str">
        <f>IF(AND(AR214&lt;&gt;"",AH214="",AG214=""),DATE(YEAR(AR214)+Menu!$E$13,MONTH(AR214)+Menu!$E$14,1),"")</f>
        <v/>
      </c>
      <c r="AT214" s="27"/>
      <c r="AU214" s="16" t="s">
        <v>135</v>
      </c>
      <c r="AV214" s="16" t="s">
        <v>135</v>
      </c>
      <c r="AW214" s="16" t="s">
        <v>135</v>
      </c>
      <c r="AX214" s="16" t="s">
        <v>135</v>
      </c>
      <c r="AY214" s="16" t="s">
        <v>135</v>
      </c>
      <c r="AZ214" s="16" t="s">
        <v>135</v>
      </c>
      <c r="BA214" s="16" t="s">
        <v>135</v>
      </c>
      <c r="BB214" s="16" t="s">
        <v>135</v>
      </c>
      <c r="BC214" s="16" t="s">
        <v>135</v>
      </c>
      <c r="BD214" s="16" t="s">
        <v>135</v>
      </c>
      <c r="BE214" s="16" t="s">
        <v>135</v>
      </c>
      <c r="BF214" s="16" t="s">
        <v>136</v>
      </c>
      <c r="BG214" s="16" t="s">
        <v>136</v>
      </c>
      <c r="BH214" s="16" t="s">
        <v>136</v>
      </c>
      <c r="BI214" s="16" t="s">
        <v>136</v>
      </c>
      <c r="BJ214" s="15" t="s">
        <v>136</v>
      </c>
      <c r="BK214" s="15" t="s">
        <v>136</v>
      </c>
      <c r="BL214" s="131"/>
      <c r="BY214" s="56">
        <v>0</v>
      </c>
      <c r="BZ214" s="56"/>
      <c r="CA214" s="56"/>
      <c r="CB214" s="56"/>
      <c r="CC214" s="56"/>
      <c r="CD214" s="56"/>
      <c r="CE214" s="56"/>
      <c r="CF214" s="56"/>
      <c r="CG214" s="56"/>
      <c r="CH214" s="56"/>
      <c r="CI214" s="56"/>
      <c r="CJ214" s="56"/>
      <c r="CK214" s="56"/>
    </row>
    <row r="215" spans="1:89" ht="13" x14ac:dyDescent="0.3">
      <c r="A215" s="135" t="s">
        <v>124</v>
      </c>
      <c r="B215" s="134">
        <v>107971</v>
      </c>
      <c r="C215" s="135" t="s">
        <v>197</v>
      </c>
      <c r="D215" s="136">
        <v>24126</v>
      </c>
      <c r="E215" s="136">
        <v>47879</v>
      </c>
      <c r="F215" s="135" t="s">
        <v>173</v>
      </c>
      <c r="G215" s="135"/>
      <c r="H215" s="135"/>
      <c r="I215" s="137">
        <v>347</v>
      </c>
      <c r="J215" s="137">
        <v>0</v>
      </c>
      <c r="K215" s="137">
        <v>1</v>
      </c>
      <c r="L215" s="137">
        <v>0</v>
      </c>
      <c r="M215" s="137">
        <v>0</v>
      </c>
      <c r="N215" s="137">
        <v>0</v>
      </c>
      <c r="O215" s="138">
        <v>1</v>
      </c>
      <c r="P215" s="147">
        <v>240155.00000000003</v>
      </c>
      <c r="Q215" s="139">
        <v>1</v>
      </c>
      <c r="R215" s="139">
        <v>0</v>
      </c>
      <c r="S215" s="139">
        <v>0</v>
      </c>
      <c r="T215" s="140"/>
      <c r="U215" s="139">
        <v>0</v>
      </c>
      <c r="V215" s="141"/>
      <c r="W215" s="141">
        <v>1</v>
      </c>
      <c r="X215" s="24"/>
      <c r="Y215" s="24">
        <v>39741</v>
      </c>
      <c r="Z215" s="24"/>
      <c r="AA215" s="24"/>
      <c r="AB215" s="24"/>
      <c r="AC215" s="24"/>
      <c r="AD215" s="24"/>
      <c r="AE215" s="24"/>
      <c r="AF215" s="24"/>
      <c r="AG215" s="24"/>
      <c r="AH215" s="31"/>
      <c r="AI215" s="46" t="str">
        <f t="shared" si="21"/>
        <v/>
      </c>
      <c r="AJ215" s="27"/>
      <c r="AK215" s="27"/>
      <c r="AL215" s="27"/>
      <c r="AM215" s="27"/>
      <c r="AN215" s="27"/>
      <c r="AO215" s="27"/>
      <c r="AP215" s="27"/>
      <c r="AQ215" s="29" t="str">
        <f>IF(AND(AD215&lt;&gt;"",AF215="",AG215=""),DATE(YEAR(AD215)+Menu!$E$10,MONTH(AD215)+Menu!$E$11,1),"")</f>
        <v/>
      </c>
      <c r="AR215" s="29" t="str">
        <f t="shared" si="20"/>
        <v/>
      </c>
      <c r="AS215" s="27" t="str">
        <f>IF(AND(AR215&lt;&gt;"",AH215="",AG215=""),DATE(YEAR(AR215)+Menu!$E$13,MONTH(AR215)+Menu!$E$14,1),"")</f>
        <v/>
      </c>
      <c r="AT215" s="27"/>
      <c r="AU215" s="15" t="s">
        <v>138</v>
      </c>
      <c r="AV215" s="15" t="s">
        <v>138</v>
      </c>
      <c r="AW215" s="16" t="s">
        <v>138</v>
      </c>
      <c r="AX215" s="15" t="s">
        <v>138</v>
      </c>
      <c r="AY215" s="15" t="s">
        <v>138</v>
      </c>
      <c r="AZ215" s="15" t="s">
        <v>138</v>
      </c>
      <c r="BA215" s="16" t="s">
        <v>129</v>
      </c>
      <c r="BB215" s="16" t="s">
        <v>129</v>
      </c>
      <c r="BC215" s="16" t="s">
        <v>129</v>
      </c>
      <c r="BD215" s="16" t="s">
        <v>129</v>
      </c>
      <c r="BE215" s="16" t="s">
        <v>129</v>
      </c>
      <c r="BF215" s="16" t="s">
        <v>129</v>
      </c>
      <c r="BG215" s="16" t="s">
        <v>129</v>
      </c>
      <c r="BH215" s="16" t="s">
        <v>129</v>
      </c>
      <c r="BI215" s="16" t="s">
        <v>129</v>
      </c>
      <c r="BJ215" s="15" t="s">
        <v>129</v>
      </c>
      <c r="BK215" s="15" t="s">
        <v>129</v>
      </c>
      <c r="BL215" s="131" t="s">
        <v>129</v>
      </c>
      <c r="BM215" t="s">
        <v>129</v>
      </c>
      <c r="BN215" t="s">
        <v>129</v>
      </c>
      <c r="BO215" t="s">
        <v>129</v>
      </c>
      <c r="BP215" t="s">
        <v>129</v>
      </c>
      <c r="BQ215" t="s">
        <v>129</v>
      </c>
      <c r="BR215" t="s">
        <v>129</v>
      </c>
      <c r="BS215" t="s">
        <v>129</v>
      </c>
      <c r="BT215" t="s">
        <v>129</v>
      </c>
      <c r="BU215" t="s">
        <v>129</v>
      </c>
      <c r="BV215" t="s">
        <v>129</v>
      </c>
      <c r="BW215" t="s">
        <v>129</v>
      </c>
      <c r="BX215" t="s">
        <v>129</v>
      </c>
      <c r="BY215" s="56">
        <v>240155.00000000003</v>
      </c>
      <c r="BZ215" s="56">
        <v>240155.00000000003</v>
      </c>
      <c r="CA215" s="56">
        <v>240155.00000000003</v>
      </c>
      <c r="CB215" s="56">
        <v>240155.00000000003</v>
      </c>
      <c r="CC215" s="56">
        <v>240155.00000000003</v>
      </c>
      <c r="CD215" s="56">
        <v>240155.00000000003</v>
      </c>
      <c r="CE215" s="56">
        <v>240155.00000000003</v>
      </c>
      <c r="CF215" s="56">
        <v>240155.00000000003</v>
      </c>
      <c r="CG215" s="56">
        <v>240155.00000000003</v>
      </c>
      <c r="CH215" s="56">
        <v>240155.00000000003</v>
      </c>
      <c r="CI215" s="56">
        <v>240155.00000000003</v>
      </c>
      <c r="CJ215" s="56">
        <v>240155.00000000003</v>
      </c>
      <c r="CK215" s="56">
        <v>20012.916666666668</v>
      </c>
    </row>
    <row r="216" spans="1:89" ht="13" x14ac:dyDescent="0.3">
      <c r="A216" s="135" t="s">
        <v>125</v>
      </c>
      <c r="B216" s="134">
        <v>144178</v>
      </c>
      <c r="C216" s="135" t="s">
        <v>200</v>
      </c>
      <c r="D216" s="136">
        <v>20309</v>
      </c>
      <c r="E216" s="136">
        <v>44074</v>
      </c>
      <c r="F216" s="135" t="s">
        <v>172</v>
      </c>
      <c r="G216" s="135"/>
      <c r="H216" s="135"/>
      <c r="I216" s="137">
        <v>829</v>
      </c>
      <c r="J216" s="137">
        <v>0</v>
      </c>
      <c r="K216" s="137">
        <v>0</v>
      </c>
      <c r="L216" s="137">
        <v>0</v>
      </c>
      <c r="M216" s="137">
        <v>1</v>
      </c>
      <c r="N216" s="137">
        <v>0</v>
      </c>
      <c r="O216" s="138">
        <v>0</v>
      </c>
      <c r="P216" s="147">
        <v>90520</v>
      </c>
      <c r="Q216" s="139">
        <v>1</v>
      </c>
      <c r="R216" s="139">
        <v>0</v>
      </c>
      <c r="S216" s="139">
        <v>0</v>
      </c>
      <c r="T216" s="140"/>
      <c r="U216" s="139">
        <v>0</v>
      </c>
      <c r="V216" s="141"/>
      <c r="W216" s="141">
        <v>0.2</v>
      </c>
      <c r="X216" s="24"/>
      <c r="Y216" s="24"/>
      <c r="Z216" s="24"/>
      <c r="AA216" s="24"/>
      <c r="AB216" s="24"/>
      <c r="AC216" s="24">
        <v>38604</v>
      </c>
      <c r="AD216" s="24"/>
      <c r="AE216" s="24"/>
      <c r="AF216" s="24"/>
      <c r="AG216" s="24">
        <v>41275</v>
      </c>
      <c r="AH216" s="31"/>
      <c r="AI216" s="46" t="str">
        <f t="shared" si="21"/>
        <v/>
      </c>
      <c r="AJ216" s="27"/>
      <c r="AK216" s="27"/>
      <c r="AL216" s="27"/>
      <c r="AM216" s="27"/>
      <c r="AN216" s="27"/>
      <c r="AO216" s="27"/>
      <c r="AP216" s="27"/>
      <c r="AQ216" s="29" t="str">
        <f>IF(AND(AD216&lt;&gt;"",AF216="",AG216=""),DATE(YEAR(AD216)+Menu!$E$10,MONTH(AD216)+Menu!$E$11,1),"")</f>
        <v/>
      </c>
      <c r="AR216" s="29" t="str">
        <f t="shared" si="20"/>
        <v/>
      </c>
      <c r="AS216" s="27" t="str">
        <f>IF(AND(AR216&lt;&gt;"",AH216="",AG216=""),DATE(YEAR(AR216)+Menu!$E$13,MONTH(AR216)+Menu!$E$14,1),"")</f>
        <v/>
      </c>
      <c r="AT216" s="27"/>
      <c r="AU216" s="15" t="s">
        <v>138</v>
      </c>
      <c r="AV216" s="15" t="s">
        <v>138</v>
      </c>
      <c r="AW216" s="15" t="s">
        <v>138</v>
      </c>
      <c r="AX216" s="16" t="s">
        <v>132</v>
      </c>
      <c r="AY216" s="16" t="s">
        <v>132</v>
      </c>
      <c r="AZ216" s="16" t="s">
        <v>132</v>
      </c>
      <c r="BA216" s="16" t="s">
        <v>132</v>
      </c>
      <c r="BB216" s="16" t="s">
        <v>132</v>
      </c>
      <c r="BC216" s="16" t="s">
        <v>132</v>
      </c>
      <c r="BD216" s="16" t="s">
        <v>132</v>
      </c>
      <c r="BE216" s="16" t="s">
        <v>132</v>
      </c>
      <c r="BF216" s="16" t="s">
        <v>135</v>
      </c>
      <c r="BG216" s="16" t="s">
        <v>135</v>
      </c>
      <c r="BH216" s="16" t="s">
        <v>135</v>
      </c>
      <c r="BI216" s="16" t="s">
        <v>135</v>
      </c>
      <c r="BJ216" s="15" t="s">
        <v>135</v>
      </c>
      <c r="BK216" s="15" t="s">
        <v>135</v>
      </c>
      <c r="BL216" s="131" t="s">
        <v>135</v>
      </c>
      <c r="BM216" t="s">
        <v>138</v>
      </c>
      <c r="BN216" t="s">
        <v>138</v>
      </c>
      <c r="BO216" t="s">
        <v>138</v>
      </c>
      <c r="BP216" t="s">
        <v>138</v>
      </c>
      <c r="BQ216" t="s">
        <v>138</v>
      </c>
      <c r="BR216" t="s">
        <v>138</v>
      </c>
      <c r="BS216" t="s">
        <v>138</v>
      </c>
      <c r="BT216" t="s">
        <v>138</v>
      </c>
      <c r="BU216" t="s">
        <v>138</v>
      </c>
      <c r="BV216" t="s">
        <v>138</v>
      </c>
      <c r="BW216" t="s">
        <v>138</v>
      </c>
      <c r="BX216" t="s">
        <v>138</v>
      </c>
      <c r="BY216" s="56">
        <v>90520</v>
      </c>
      <c r="BZ216" s="56">
        <v>60346.666666666664</v>
      </c>
      <c r="CA216" s="56">
        <v>0</v>
      </c>
      <c r="CB216" s="56">
        <v>0</v>
      </c>
      <c r="CC216" s="56">
        <v>0</v>
      </c>
      <c r="CD216" s="56">
        <v>0</v>
      </c>
      <c r="CE216" s="56">
        <v>0</v>
      </c>
      <c r="CF216" s="56">
        <v>0</v>
      </c>
      <c r="CG216" s="56">
        <v>0</v>
      </c>
      <c r="CH216" s="56">
        <v>0</v>
      </c>
      <c r="CI216" s="56">
        <v>0</v>
      </c>
      <c r="CJ216" s="56">
        <v>0</v>
      </c>
      <c r="CK216" s="56">
        <v>0</v>
      </c>
    </row>
    <row r="217" spans="1:89" ht="13" x14ac:dyDescent="0.3">
      <c r="A217" s="135" t="s">
        <v>126</v>
      </c>
      <c r="B217" s="134">
        <v>120906</v>
      </c>
      <c r="C217" s="135" t="s">
        <v>196</v>
      </c>
      <c r="D217" s="136">
        <v>26477</v>
      </c>
      <c r="E217" s="136">
        <v>50221</v>
      </c>
      <c r="F217" s="135" t="s">
        <v>173</v>
      </c>
      <c r="G217" s="135"/>
      <c r="H217" s="135"/>
      <c r="I217" s="137">
        <v>423</v>
      </c>
      <c r="J217" s="137">
        <v>1</v>
      </c>
      <c r="K217" s="137">
        <v>0</v>
      </c>
      <c r="L217" s="137">
        <v>0</v>
      </c>
      <c r="M217" s="137">
        <v>0</v>
      </c>
      <c r="N217" s="137">
        <v>0</v>
      </c>
      <c r="O217" s="138">
        <v>0</v>
      </c>
      <c r="P217" s="147">
        <v>960113</v>
      </c>
      <c r="Q217" s="139">
        <v>1</v>
      </c>
      <c r="R217" s="139">
        <v>1</v>
      </c>
      <c r="S217" s="139">
        <v>0</v>
      </c>
      <c r="T217" s="140"/>
      <c r="U217" s="139">
        <v>0</v>
      </c>
      <c r="V217" s="141"/>
      <c r="W217" s="141">
        <v>1</v>
      </c>
      <c r="X217" s="24"/>
      <c r="Y217" s="24"/>
      <c r="Z217" s="24"/>
      <c r="AA217" s="24"/>
      <c r="AB217" s="24"/>
      <c r="AC217" s="24"/>
      <c r="AD217" s="24">
        <v>36892</v>
      </c>
      <c r="AE217" s="24"/>
      <c r="AF217" s="24">
        <v>39387</v>
      </c>
      <c r="AG217" s="24">
        <v>41913</v>
      </c>
      <c r="AH217" s="31"/>
      <c r="AI217" s="46" t="str">
        <f t="shared" si="21"/>
        <v/>
      </c>
      <c r="AJ217" s="27"/>
      <c r="AK217" s="27"/>
      <c r="AL217" s="27"/>
      <c r="AM217" s="27"/>
      <c r="AN217" s="27"/>
      <c r="AO217" s="27"/>
      <c r="AP217" s="27"/>
      <c r="AQ217" s="29" t="str">
        <f>IF(AND(AD217&lt;&gt;"",AF217="",AG217=""),DATE(YEAR(AD217)+Menu!$E$10,MONTH(AD217)+Menu!$E$11,1),"")</f>
        <v/>
      </c>
      <c r="AR217" s="29">
        <f t="shared" si="20"/>
        <v>39387</v>
      </c>
      <c r="AS217" s="27" t="str">
        <f>IF(AND(AR217&lt;&gt;"",AH217="",AG217=""),DATE(YEAR(AR217)+Menu!$E$13,MONTH(AR217)+Menu!$E$14,1),"")</f>
        <v/>
      </c>
      <c r="AT217" s="27"/>
      <c r="AU217" s="16" t="s">
        <v>133</v>
      </c>
      <c r="AV217" s="16" t="s">
        <v>133</v>
      </c>
      <c r="AW217" s="16" t="s">
        <v>133</v>
      </c>
      <c r="AX217" s="16" t="s">
        <v>133</v>
      </c>
      <c r="AY217" s="16" t="s">
        <v>133</v>
      </c>
      <c r="AZ217" s="16" t="s">
        <v>134</v>
      </c>
      <c r="BA217" s="16" t="s">
        <v>134</v>
      </c>
      <c r="BB217" s="16" t="s">
        <v>134</v>
      </c>
      <c r="BC217" s="16" t="s">
        <v>134</v>
      </c>
      <c r="BD217" s="16" t="s">
        <v>134</v>
      </c>
      <c r="BE217" s="16" t="s">
        <v>134</v>
      </c>
      <c r="BF217" s="16" t="s">
        <v>134</v>
      </c>
      <c r="BG217" s="16" t="s">
        <v>135</v>
      </c>
      <c r="BH217" s="16" t="s">
        <v>135</v>
      </c>
      <c r="BI217" s="16" t="s">
        <v>135</v>
      </c>
      <c r="BJ217" s="15" t="s">
        <v>135</v>
      </c>
      <c r="BK217" s="15" t="s">
        <v>135</v>
      </c>
      <c r="BL217" s="131" t="s">
        <v>135</v>
      </c>
      <c r="BM217" t="s">
        <v>135</v>
      </c>
      <c r="BN217" t="s">
        <v>135</v>
      </c>
      <c r="BO217" t="s">
        <v>135</v>
      </c>
      <c r="BP217" t="s">
        <v>135</v>
      </c>
      <c r="BQ217" t="s">
        <v>135</v>
      </c>
      <c r="BR217" t="s">
        <v>135</v>
      </c>
      <c r="BS217" t="s">
        <v>135</v>
      </c>
      <c r="BT217" t="s">
        <v>135</v>
      </c>
      <c r="BU217" t="s">
        <v>135</v>
      </c>
      <c r="BV217" t="s">
        <v>135</v>
      </c>
      <c r="BW217" t="s">
        <v>135</v>
      </c>
      <c r="BX217" t="s">
        <v>135</v>
      </c>
      <c r="BY217" s="56">
        <v>960113</v>
      </c>
      <c r="BZ217" s="56">
        <v>1000375</v>
      </c>
      <c r="CA217" s="56">
        <v>1000375</v>
      </c>
      <c r="CB217" s="56">
        <v>1000375</v>
      </c>
      <c r="CC217" s="56">
        <v>1000375</v>
      </c>
      <c r="CD217" s="56">
        <v>1000375</v>
      </c>
      <c r="CE217" s="56">
        <v>1000375</v>
      </c>
      <c r="CF217" s="56">
        <v>1000375</v>
      </c>
      <c r="CG217" s="56">
        <v>1000375</v>
      </c>
      <c r="CH217" s="56">
        <v>1000375</v>
      </c>
      <c r="CI217" s="56">
        <v>1000375</v>
      </c>
      <c r="CJ217" s="56">
        <v>1000375</v>
      </c>
      <c r="CK217" s="56">
        <v>1000375</v>
      </c>
    </row>
    <row r="218" spans="1:89" ht="13" x14ac:dyDescent="0.3">
      <c r="A218" s="135" t="s">
        <v>127</v>
      </c>
      <c r="B218" s="134">
        <v>106643</v>
      </c>
      <c r="C218" s="135" t="s">
        <v>196</v>
      </c>
      <c r="D218" s="136">
        <v>21146</v>
      </c>
      <c r="E218" s="136">
        <v>44895</v>
      </c>
      <c r="F218" s="135" t="s">
        <v>173</v>
      </c>
      <c r="G218" s="135"/>
      <c r="H218" s="135"/>
      <c r="I218" s="137">
        <v>375</v>
      </c>
      <c r="J218" s="137">
        <v>1</v>
      </c>
      <c r="K218" s="137">
        <v>0</v>
      </c>
      <c r="L218" s="137">
        <v>0</v>
      </c>
      <c r="M218" s="137">
        <v>0</v>
      </c>
      <c r="N218" s="137">
        <v>0</v>
      </c>
      <c r="O218" s="138">
        <v>1</v>
      </c>
      <c r="P218" s="147">
        <v>223619.5</v>
      </c>
      <c r="Q218" s="139">
        <v>1</v>
      </c>
      <c r="R218" s="139">
        <v>0</v>
      </c>
      <c r="S218" s="139">
        <v>0</v>
      </c>
      <c r="T218" s="140"/>
      <c r="U218" s="139">
        <v>0</v>
      </c>
      <c r="V218" s="141"/>
      <c r="W218" s="141">
        <v>1</v>
      </c>
      <c r="X218" s="24"/>
      <c r="Y218" s="24">
        <v>39888</v>
      </c>
      <c r="Z218" s="24"/>
      <c r="AA218" s="24"/>
      <c r="AB218" s="24"/>
      <c r="AC218" s="24"/>
      <c r="AD218" s="24"/>
      <c r="AE218" s="24"/>
      <c r="AF218" s="24"/>
      <c r="AG218" s="24"/>
      <c r="AH218" s="31"/>
      <c r="AI218" s="46" t="str">
        <f t="shared" si="21"/>
        <v/>
      </c>
      <c r="AJ218" s="27"/>
      <c r="AK218" s="27"/>
      <c r="AL218" s="27"/>
      <c r="AM218" s="27"/>
      <c r="AN218" s="27"/>
      <c r="AO218" s="27"/>
      <c r="AP218" s="27"/>
      <c r="AQ218" s="29" t="str">
        <f>IF(AND(AD218&lt;&gt;"",AF218="",AG218=""),DATE(YEAR(AD218)+Menu!$E$10,MONTH(AD218)+Menu!$E$11,1),"")</f>
        <v/>
      </c>
      <c r="AR218" s="29" t="str">
        <f t="shared" si="20"/>
        <v/>
      </c>
      <c r="AS218" s="27" t="str">
        <f>IF(AND(AR218&lt;&gt;"",AH218="",AG218=""),DATE(YEAR(AR218)+Menu!$E$13,MONTH(AR218)+Menu!$E$14,1),"")</f>
        <v/>
      </c>
      <c r="AT218" s="27"/>
      <c r="AU218" s="15" t="s">
        <v>138</v>
      </c>
      <c r="AV218" s="15" t="s">
        <v>138</v>
      </c>
      <c r="AW218" s="16" t="s">
        <v>138</v>
      </c>
      <c r="AX218" s="15" t="s">
        <v>138</v>
      </c>
      <c r="AY218" s="15" t="s">
        <v>138</v>
      </c>
      <c r="AZ218" s="15" t="s">
        <v>138</v>
      </c>
      <c r="BA218" s="15" t="s">
        <v>138</v>
      </c>
      <c r="BB218" s="16" t="s">
        <v>129</v>
      </c>
      <c r="BC218" s="16" t="s">
        <v>129</v>
      </c>
      <c r="BD218" s="16" t="s">
        <v>129</v>
      </c>
      <c r="BE218" s="16" t="s">
        <v>129</v>
      </c>
      <c r="BF218" s="16" t="s">
        <v>129</v>
      </c>
      <c r="BG218" s="16" t="s">
        <v>129</v>
      </c>
      <c r="BH218" s="16" t="s">
        <v>129</v>
      </c>
      <c r="BI218" s="16" t="s">
        <v>129</v>
      </c>
      <c r="BJ218" s="15" t="s">
        <v>129</v>
      </c>
      <c r="BK218" s="15" t="s">
        <v>129</v>
      </c>
      <c r="BL218" s="131" t="s">
        <v>129</v>
      </c>
      <c r="BM218" t="s">
        <v>129</v>
      </c>
      <c r="BN218" t="s">
        <v>129</v>
      </c>
      <c r="BO218" t="s">
        <v>129</v>
      </c>
      <c r="BP218" t="s">
        <v>138</v>
      </c>
      <c r="BQ218" t="s">
        <v>138</v>
      </c>
      <c r="BR218" t="s">
        <v>138</v>
      </c>
      <c r="BS218" t="s">
        <v>138</v>
      </c>
      <c r="BT218" t="s">
        <v>138</v>
      </c>
      <c r="BU218" t="s">
        <v>138</v>
      </c>
      <c r="BV218" t="s">
        <v>138</v>
      </c>
      <c r="BW218" t="s">
        <v>138</v>
      </c>
      <c r="BX218" t="s">
        <v>138</v>
      </c>
      <c r="BY218" s="56">
        <v>223619.5</v>
      </c>
      <c r="BZ218" s="56">
        <v>223619.5</v>
      </c>
      <c r="CA218" s="56">
        <v>223619.5</v>
      </c>
      <c r="CB218" s="56">
        <v>204984.54166666666</v>
      </c>
      <c r="CC218" s="56">
        <v>0</v>
      </c>
      <c r="CD218" s="56">
        <v>0</v>
      </c>
      <c r="CE218" s="56">
        <v>0</v>
      </c>
      <c r="CF218" s="56">
        <v>0</v>
      </c>
      <c r="CG218" s="56">
        <v>0</v>
      </c>
      <c r="CH218" s="56">
        <v>0</v>
      </c>
      <c r="CI218" s="56">
        <v>0</v>
      </c>
      <c r="CJ218" s="56">
        <v>0</v>
      </c>
      <c r="CK218" s="56">
        <v>0</v>
      </c>
    </row>
    <row r="219" spans="1:89" ht="13" x14ac:dyDescent="0.3">
      <c r="A219" s="135" t="s">
        <v>209</v>
      </c>
      <c r="B219" s="142">
        <v>176631</v>
      </c>
      <c r="C219" s="135" t="s">
        <v>197</v>
      </c>
      <c r="D219" s="136">
        <v>28990</v>
      </c>
      <c r="E219" s="136">
        <v>52748</v>
      </c>
      <c r="F219" s="135" t="s">
        <v>173</v>
      </c>
      <c r="G219" s="135"/>
      <c r="H219" s="135"/>
      <c r="I219" s="137">
        <v>1053</v>
      </c>
      <c r="J219" s="137">
        <v>0</v>
      </c>
      <c r="K219" s="137">
        <v>1</v>
      </c>
      <c r="L219" s="137">
        <v>0</v>
      </c>
      <c r="M219" s="137">
        <v>0</v>
      </c>
      <c r="N219" s="137">
        <v>0</v>
      </c>
      <c r="O219" s="138">
        <v>0</v>
      </c>
      <c r="P219" s="147">
        <v>297623.75</v>
      </c>
      <c r="Q219" s="139">
        <v>1</v>
      </c>
      <c r="R219" s="139">
        <v>0</v>
      </c>
      <c r="S219" s="139">
        <v>0</v>
      </c>
      <c r="T219" s="140"/>
      <c r="U219" s="139">
        <f>(154215-55000)*1.225+25000</f>
        <v>146538.375</v>
      </c>
      <c r="V219" s="141">
        <v>2020</v>
      </c>
      <c r="W219" s="141">
        <v>1</v>
      </c>
      <c r="X219" s="24"/>
      <c r="Y219" s="24"/>
      <c r="Z219" s="24"/>
      <c r="AA219" s="24">
        <v>41456</v>
      </c>
      <c r="AB219" s="24"/>
      <c r="AC219" s="24"/>
      <c r="AD219" s="24">
        <v>42736</v>
      </c>
      <c r="AE219" s="24"/>
      <c r="AF219" s="24"/>
      <c r="AG219" s="24"/>
      <c r="AH219" s="31"/>
      <c r="AI219" s="46" t="str">
        <f t="shared" si="21"/>
        <v/>
      </c>
      <c r="AJ219" s="27"/>
      <c r="AK219" s="27"/>
      <c r="AL219" s="27"/>
      <c r="AM219" s="27"/>
      <c r="AN219" s="27"/>
      <c r="AO219" s="27"/>
      <c r="AP219" s="27"/>
      <c r="AQ219" s="29">
        <f>IF(AND(AD219&lt;&gt;"",AF219="",AG219=""),DATE(YEAR(AD219)+Menu!$E$10,MONTH(AD219)+Menu!$E$11,1),"")</f>
        <v>45200</v>
      </c>
      <c r="AR219" s="29">
        <f t="shared" si="20"/>
        <v>45200</v>
      </c>
      <c r="AS219" s="27">
        <f>IF(AND(AR219&lt;&gt;"",AH219="",AG219=""),DATE(YEAR(AR219)+Menu!$E$13,MONTH(AR219)+Menu!$E$14,1),"")</f>
        <v>47665</v>
      </c>
      <c r="AT219" s="27"/>
      <c r="AU219" s="15" t="s">
        <v>138</v>
      </c>
      <c r="AV219" s="15" t="s">
        <v>138</v>
      </c>
      <c r="AW219" s="15" t="s">
        <v>138</v>
      </c>
      <c r="AX219" s="15" t="s">
        <v>138</v>
      </c>
      <c r="AY219" s="15" t="s">
        <v>138</v>
      </c>
      <c r="AZ219" s="15" t="s">
        <v>138</v>
      </c>
      <c r="BA219" s="15" t="s">
        <v>138</v>
      </c>
      <c r="BB219" s="15" t="s">
        <v>138</v>
      </c>
      <c r="BC219" s="15" t="s">
        <v>138</v>
      </c>
      <c r="BD219" s="15" t="s">
        <v>138</v>
      </c>
      <c r="BE219" s="15" t="s">
        <v>138</v>
      </c>
      <c r="BF219" s="15" t="s">
        <v>130</v>
      </c>
      <c r="BG219" s="16" t="s">
        <v>130</v>
      </c>
      <c r="BH219" s="16" t="s">
        <v>130</v>
      </c>
      <c r="BI219" s="16" t="s">
        <v>130</v>
      </c>
      <c r="BJ219" s="15" t="s">
        <v>133</v>
      </c>
      <c r="BK219" s="15" t="s">
        <v>133</v>
      </c>
      <c r="BL219" s="131" t="s">
        <v>133</v>
      </c>
      <c r="BM219" t="s">
        <v>133</v>
      </c>
      <c r="BN219" t="s">
        <v>133</v>
      </c>
      <c r="BO219" t="s">
        <v>133</v>
      </c>
      <c r="BP219" t="s">
        <v>134</v>
      </c>
      <c r="BQ219" t="s">
        <v>134</v>
      </c>
      <c r="BR219" t="s">
        <v>134</v>
      </c>
      <c r="BS219" t="s">
        <v>134</v>
      </c>
      <c r="BT219" t="s">
        <v>134</v>
      </c>
      <c r="BU219" t="s">
        <v>134</v>
      </c>
      <c r="BV219" t="s">
        <v>134</v>
      </c>
      <c r="BW219" t="s">
        <v>135</v>
      </c>
      <c r="BX219" t="s">
        <v>135</v>
      </c>
      <c r="BY219" s="56">
        <v>297623.75</v>
      </c>
      <c r="BZ219" s="56">
        <v>511537.125</v>
      </c>
      <c r="CA219" s="56">
        <v>511537.125</v>
      </c>
      <c r="CB219" s="56">
        <v>511537.125</v>
      </c>
      <c r="CC219" s="56">
        <v>563949.84375</v>
      </c>
      <c r="CD219" s="56">
        <v>563949.84375</v>
      </c>
      <c r="CE219" s="56">
        <v>563949.84375</v>
      </c>
      <c r="CF219" s="56">
        <v>563949.84375</v>
      </c>
      <c r="CG219" s="56">
        <v>721188</v>
      </c>
      <c r="CH219" s="56">
        <v>721188</v>
      </c>
      <c r="CI219" s="56">
        <v>721188</v>
      </c>
      <c r="CJ219" s="56">
        <v>749106.75</v>
      </c>
      <c r="CK219" s="56">
        <v>804944.25</v>
      </c>
    </row>
    <row r="220" spans="1:89" ht="13" x14ac:dyDescent="0.3">
      <c r="A220" s="175" t="s">
        <v>213</v>
      </c>
      <c r="B220" s="142">
        <v>115064</v>
      </c>
      <c r="C220" s="135" t="s">
        <v>200</v>
      </c>
      <c r="D220" s="136">
        <v>25298</v>
      </c>
      <c r="E220" s="136">
        <v>49064</v>
      </c>
      <c r="F220" s="135" t="s">
        <v>173</v>
      </c>
      <c r="G220" s="135"/>
      <c r="H220" s="135"/>
      <c r="I220" s="137">
        <v>825</v>
      </c>
      <c r="J220" s="137">
        <v>0</v>
      </c>
      <c r="K220" s="137">
        <v>0</v>
      </c>
      <c r="L220" s="137">
        <v>0</v>
      </c>
      <c r="M220" s="137">
        <v>1</v>
      </c>
      <c r="N220" s="137">
        <v>0</v>
      </c>
      <c r="O220" s="138">
        <v>2</v>
      </c>
      <c r="P220" s="147">
        <v>0</v>
      </c>
      <c r="Q220" s="139">
        <v>0</v>
      </c>
      <c r="R220" s="139">
        <v>0</v>
      </c>
      <c r="S220" s="139">
        <v>0</v>
      </c>
      <c r="T220" s="140"/>
      <c r="U220" s="139">
        <v>0</v>
      </c>
      <c r="V220" s="141"/>
      <c r="W220" s="141">
        <v>0</v>
      </c>
      <c r="X220" s="24"/>
      <c r="Y220" s="24">
        <v>41953</v>
      </c>
      <c r="Z220" s="24"/>
      <c r="AA220" s="24"/>
      <c r="AB220" s="24"/>
      <c r="AC220" s="24"/>
      <c r="AD220" s="24"/>
      <c r="AE220" s="24"/>
      <c r="AF220" s="24"/>
      <c r="AG220" s="24"/>
      <c r="AH220" s="31"/>
      <c r="AI220" s="46">
        <v>2018</v>
      </c>
      <c r="AJ220" s="27"/>
      <c r="AK220" s="27"/>
      <c r="AL220" s="27"/>
      <c r="AM220" s="27"/>
      <c r="AN220" s="27"/>
      <c r="AO220" s="27"/>
      <c r="AP220" s="27"/>
      <c r="AQ220" s="29" t="str">
        <f>IF(AND(AD220&lt;&gt;"",AF220="",AG220=""),DATE(YEAR(AD220)+Menu!$E$10,MONTH(AD220)+Menu!$E$11,1),"")</f>
        <v/>
      </c>
      <c r="AR220" s="29" t="str">
        <f t="shared" si="20"/>
        <v/>
      </c>
      <c r="AS220" s="27" t="str">
        <f>IF(AND(AR220&lt;&gt;"",AH220="",AG220=""),DATE(YEAR(AR220)+Menu!$E$13,MONTH(AR220)+Menu!$E$14,1),"")</f>
        <v/>
      </c>
      <c r="AT220" s="27"/>
      <c r="AU220" s="15" t="s">
        <v>138</v>
      </c>
      <c r="AV220" s="15" t="s">
        <v>138</v>
      </c>
      <c r="AW220" s="15" t="s">
        <v>138</v>
      </c>
      <c r="AX220" s="15" t="s">
        <v>138</v>
      </c>
      <c r="AY220" s="15" t="s">
        <v>138</v>
      </c>
      <c r="AZ220" s="15" t="s">
        <v>138</v>
      </c>
      <c r="BA220" s="15" t="s">
        <v>138</v>
      </c>
      <c r="BB220" s="15" t="s">
        <v>138</v>
      </c>
      <c r="BC220" s="15" t="s">
        <v>138</v>
      </c>
      <c r="BD220" s="15" t="s">
        <v>138</v>
      </c>
      <c r="BE220" s="15" t="s">
        <v>138</v>
      </c>
      <c r="BF220" s="15" t="s">
        <v>138</v>
      </c>
      <c r="BG220" s="16" t="s">
        <v>129</v>
      </c>
      <c r="BH220" s="16" t="s">
        <v>129</v>
      </c>
      <c r="BI220" s="16" t="s">
        <v>129</v>
      </c>
      <c r="BJ220" s="15" t="s">
        <v>129</v>
      </c>
      <c r="BK220" s="15" t="s">
        <v>129</v>
      </c>
      <c r="BL220" s="131"/>
      <c r="BY220" s="56">
        <v>0</v>
      </c>
      <c r="BZ220" s="56"/>
      <c r="CA220" s="56"/>
      <c r="CB220" s="56"/>
      <c r="CC220" s="56"/>
      <c r="CD220" s="56"/>
      <c r="CE220" s="56"/>
      <c r="CF220" s="56"/>
      <c r="CG220" s="56"/>
      <c r="CH220" s="56"/>
      <c r="CI220" s="56"/>
      <c r="CJ220" s="56"/>
      <c r="CK220" s="56"/>
    </row>
    <row r="221" spans="1:89" ht="13" x14ac:dyDescent="0.3">
      <c r="A221" s="135" t="s">
        <v>128</v>
      </c>
      <c r="B221" s="134">
        <v>107556</v>
      </c>
      <c r="C221" s="135" t="s">
        <v>197</v>
      </c>
      <c r="D221" s="136">
        <v>18274</v>
      </c>
      <c r="E221" s="136">
        <v>42216</v>
      </c>
      <c r="F221" s="135" t="s">
        <v>173</v>
      </c>
      <c r="G221" s="135"/>
      <c r="H221" s="135"/>
      <c r="I221" s="137">
        <v>348</v>
      </c>
      <c r="J221" s="137">
        <v>0</v>
      </c>
      <c r="K221" s="137">
        <v>1</v>
      </c>
      <c r="L221" s="137">
        <v>0</v>
      </c>
      <c r="M221" s="137">
        <v>0</v>
      </c>
      <c r="N221" s="137">
        <v>0</v>
      </c>
      <c r="O221" s="138">
        <v>1</v>
      </c>
      <c r="P221" s="147">
        <v>0</v>
      </c>
      <c r="Q221" s="139">
        <v>0</v>
      </c>
      <c r="R221" s="139">
        <v>0</v>
      </c>
      <c r="S221" s="139">
        <v>0</v>
      </c>
      <c r="T221" s="140"/>
      <c r="U221" s="139">
        <v>0</v>
      </c>
      <c r="V221" s="141"/>
      <c r="W221" s="141">
        <v>0</v>
      </c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31"/>
      <c r="AI221" s="46">
        <v>2015</v>
      </c>
      <c r="AJ221" s="27"/>
      <c r="AK221" s="27"/>
      <c r="AL221" s="27"/>
      <c r="AM221" s="27"/>
      <c r="AN221" s="27"/>
      <c r="AO221" s="27"/>
      <c r="AP221" s="27"/>
      <c r="AQ221" s="29" t="str">
        <f>IF(AND(AD221&lt;&gt;"",AF221="",AG221=""),DATE(YEAR(AD221)+Menu!$E$10,MONTH(AD221)+Menu!$E$11,1),"")</f>
        <v/>
      </c>
      <c r="AR221" s="29" t="str">
        <f>IF(AF221&lt;&gt;0,AF221,AQ221)</f>
        <v/>
      </c>
      <c r="AS221" s="27" t="str">
        <f>IF(AND(AR221&lt;&gt;"",AH221="",AG221=""),DATE(YEAR(AR221)+Menu!$E$13,MONTH(AR221)+Menu!$E$14,1),"")</f>
        <v/>
      </c>
      <c r="AT221" s="27"/>
      <c r="AU221" s="16" t="s">
        <v>134</v>
      </c>
      <c r="AV221" s="16" t="s">
        <v>134</v>
      </c>
      <c r="AW221" s="16" t="s">
        <v>134</v>
      </c>
      <c r="AX221" s="16" t="s">
        <v>134</v>
      </c>
      <c r="AY221" s="16" t="s">
        <v>134</v>
      </c>
      <c r="AZ221" s="16" t="s">
        <v>135</v>
      </c>
      <c r="BA221" s="16" t="s">
        <v>135</v>
      </c>
      <c r="BB221" s="16" t="s">
        <v>135</v>
      </c>
      <c r="BC221" s="16" t="s">
        <v>135</v>
      </c>
      <c r="BD221" s="16" t="s">
        <v>135</v>
      </c>
      <c r="BE221" s="16" t="s">
        <v>135</v>
      </c>
      <c r="BF221" s="16" t="s">
        <v>135</v>
      </c>
      <c r="BG221" s="16" t="s">
        <v>135</v>
      </c>
      <c r="BH221" s="16" t="s">
        <v>136</v>
      </c>
      <c r="BI221" s="16" t="s">
        <v>136</v>
      </c>
      <c r="BJ221" s="15" t="s">
        <v>136</v>
      </c>
      <c r="BK221" s="15" t="s">
        <v>136</v>
      </c>
      <c r="BL221" s="131"/>
      <c r="BY221" s="56">
        <v>0</v>
      </c>
      <c r="BZ221" s="56"/>
      <c r="CA221" s="56"/>
      <c r="CB221" s="56"/>
      <c r="CC221" s="56"/>
      <c r="CD221" s="56"/>
      <c r="CE221" s="56"/>
      <c r="CF221" s="56"/>
      <c r="CG221" s="56"/>
      <c r="CH221" s="56"/>
      <c r="CI221" s="56"/>
      <c r="CJ221" s="56"/>
      <c r="CK221" s="56"/>
    </row>
    <row r="222" spans="1:89" ht="13" x14ac:dyDescent="0.3">
      <c r="A222" s="135" t="s">
        <v>146</v>
      </c>
      <c r="B222" s="134">
        <v>106787</v>
      </c>
      <c r="C222" s="135" t="s">
        <v>200</v>
      </c>
      <c r="D222" s="136">
        <v>17362</v>
      </c>
      <c r="E222" s="136">
        <v>41060</v>
      </c>
      <c r="F222" s="135" t="s">
        <v>173</v>
      </c>
      <c r="G222" s="135"/>
      <c r="H222" s="135"/>
      <c r="I222" s="137">
        <v>811</v>
      </c>
      <c r="J222" s="137">
        <v>0</v>
      </c>
      <c r="K222" s="137">
        <v>0</v>
      </c>
      <c r="L222" s="137">
        <v>0</v>
      </c>
      <c r="M222" s="137">
        <v>1</v>
      </c>
      <c r="N222" s="137">
        <v>0</v>
      </c>
      <c r="O222" s="138">
        <v>1</v>
      </c>
      <c r="P222" s="147">
        <v>0</v>
      </c>
      <c r="Q222" s="139">
        <v>0</v>
      </c>
      <c r="R222" s="139">
        <v>0</v>
      </c>
      <c r="S222" s="139">
        <v>0</v>
      </c>
      <c r="T222" s="140"/>
      <c r="U222" s="139">
        <v>0</v>
      </c>
      <c r="V222" s="141"/>
      <c r="W222" s="141">
        <v>0</v>
      </c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31"/>
      <c r="AJ222" s="27"/>
      <c r="AK222" s="27"/>
      <c r="AL222" s="27"/>
      <c r="AM222" s="27"/>
      <c r="AN222" s="27"/>
      <c r="AO222" s="27"/>
      <c r="AP222" s="27"/>
      <c r="AQ222" s="29" t="str">
        <f>IF(AND(AD222&lt;&gt;"",AF222="",AG222=""),DATE(YEAR(AD222)+Menu!$E$10,MONTH(AD222)+Menu!$E$11,1),"")</f>
        <v/>
      </c>
      <c r="AR222" s="29" t="str">
        <f>IF(AF222&lt;&gt;0,AF222,AQ222)</f>
        <v/>
      </c>
      <c r="AS222" s="27" t="str">
        <f>IF(AND(AR222&lt;&gt;"",AH222="",AG222=""),DATE(YEAR(AR222)+Menu!$E$13,MONTH(AR222)+Menu!$E$14,1),"")</f>
        <v/>
      </c>
      <c r="AT222" s="27"/>
      <c r="AU222" s="16" t="s">
        <v>135</v>
      </c>
      <c r="AV222" s="16" t="s">
        <v>135</v>
      </c>
      <c r="AW222" s="16" t="s">
        <v>135</v>
      </c>
      <c r="AX222" s="16" t="s">
        <v>135</v>
      </c>
      <c r="AY222" s="16" t="s">
        <v>135</v>
      </c>
      <c r="AZ222" s="16" t="s">
        <v>135</v>
      </c>
      <c r="BA222" s="16" t="s">
        <v>135</v>
      </c>
      <c r="BB222" s="16" t="s">
        <v>135</v>
      </c>
      <c r="BC222" s="16" t="s">
        <v>135</v>
      </c>
      <c r="BD222" s="16" t="s">
        <v>135</v>
      </c>
      <c r="BE222" s="16" t="s">
        <v>136</v>
      </c>
      <c r="BF222" s="16" t="s">
        <v>136</v>
      </c>
      <c r="BG222" s="16" t="s">
        <v>136</v>
      </c>
      <c r="BH222" s="16" t="s">
        <v>136</v>
      </c>
      <c r="BI222" s="16" t="s">
        <v>136</v>
      </c>
      <c r="BJ222" s="16" t="s">
        <v>136</v>
      </c>
      <c r="BK222" s="16" t="s">
        <v>136</v>
      </c>
      <c r="BL222" s="132" t="s">
        <v>138</v>
      </c>
      <c r="BM222" t="s">
        <v>138</v>
      </c>
      <c r="BN222" t="s">
        <v>138</v>
      </c>
      <c r="BO222" t="s">
        <v>138</v>
      </c>
      <c r="BP222" t="s">
        <v>138</v>
      </c>
      <c r="BQ222" t="s">
        <v>138</v>
      </c>
      <c r="BR222" t="s">
        <v>138</v>
      </c>
      <c r="BS222" t="s">
        <v>138</v>
      </c>
      <c r="BT222" t="s">
        <v>138</v>
      </c>
      <c r="BU222" t="s">
        <v>138</v>
      </c>
      <c r="BV222" t="s">
        <v>138</v>
      </c>
      <c r="BW222" t="s">
        <v>138</v>
      </c>
      <c r="BX222" t="s">
        <v>138</v>
      </c>
      <c r="BY222" s="56">
        <v>0</v>
      </c>
      <c r="BZ222" s="56">
        <v>0</v>
      </c>
      <c r="CA222" s="56">
        <v>0</v>
      </c>
      <c r="CB222" s="56">
        <v>0</v>
      </c>
      <c r="CC222" s="56">
        <v>0</v>
      </c>
      <c r="CD222" s="56">
        <v>0</v>
      </c>
      <c r="CE222" s="56">
        <v>0</v>
      </c>
      <c r="CF222" s="56">
        <v>0</v>
      </c>
      <c r="CG222" s="56">
        <v>0</v>
      </c>
      <c r="CH222" s="56">
        <v>0</v>
      </c>
      <c r="CI222" s="56">
        <v>0</v>
      </c>
      <c r="CJ222" s="56">
        <v>0</v>
      </c>
      <c r="CK222" s="56">
        <v>0</v>
      </c>
    </row>
    <row r="223" spans="1:89" ht="13" x14ac:dyDescent="0.3">
      <c r="A223" s="135" t="s">
        <v>310</v>
      </c>
      <c r="B223" s="134" t="s">
        <v>311</v>
      </c>
      <c r="C223" s="135" t="s">
        <v>312</v>
      </c>
      <c r="D223" s="136">
        <v>43101</v>
      </c>
      <c r="E223" s="136">
        <v>73050</v>
      </c>
      <c r="F223" s="135"/>
      <c r="G223" s="135"/>
      <c r="H223" s="135"/>
      <c r="I223" s="137">
        <v>0</v>
      </c>
      <c r="J223" s="137">
        <v>0</v>
      </c>
      <c r="K223" s="137">
        <v>0</v>
      </c>
      <c r="L223" s="137">
        <v>0</v>
      </c>
      <c r="M223" s="137">
        <v>0</v>
      </c>
      <c r="N223" s="137">
        <v>0</v>
      </c>
      <c r="O223" s="138">
        <v>0</v>
      </c>
      <c r="P223" s="147">
        <v>82724.25</v>
      </c>
      <c r="Q223" s="139">
        <v>1</v>
      </c>
      <c r="R223" s="139">
        <v>0</v>
      </c>
      <c r="S223" s="139">
        <v>0</v>
      </c>
      <c r="T223" s="140"/>
      <c r="U223" s="139">
        <v>0</v>
      </c>
      <c r="V223" s="141"/>
      <c r="W223" s="141">
        <v>1</v>
      </c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31"/>
      <c r="AJ223" s="27"/>
      <c r="AK223" s="27"/>
      <c r="AL223" s="27"/>
      <c r="AM223" s="27"/>
      <c r="AN223" s="27"/>
      <c r="AO223" s="27"/>
      <c r="AP223" s="27"/>
      <c r="AQ223" s="29" t="str">
        <f>IF(AND(AD223&lt;&gt;"",AF223="",AG223=""),DATE(YEAR(AD223)+Menu!$E$10,MONTH(AD223)+Menu!$E$11,1),"")</f>
        <v/>
      </c>
      <c r="AR223" s="29" t="str">
        <f>IF(AF223&lt;&gt;0,AF223,AQ223)</f>
        <v/>
      </c>
      <c r="AS223" s="27" t="str">
        <f>IF(AND(AR223&lt;&gt;"",AH223="",AG223=""),DATE(YEAR(AR223)+Menu!$E$13,MONTH(AR223)+Menu!$E$14,1),"")</f>
        <v/>
      </c>
      <c r="AT223" s="27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 t="s">
        <v>282</v>
      </c>
      <c r="BL223" s="132" t="s">
        <v>282</v>
      </c>
      <c r="BM223" t="s">
        <v>282</v>
      </c>
      <c r="BN223" t="s">
        <v>282</v>
      </c>
      <c r="BO223" t="s">
        <v>282</v>
      </c>
      <c r="BP223" t="s">
        <v>282</v>
      </c>
      <c r="BQ223" t="s">
        <v>282</v>
      </c>
      <c r="BR223" t="s">
        <v>282</v>
      </c>
      <c r="BS223" t="s">
        <v>282</v>
      </c>
      <c r="BT223" t="s">
        <v>282</v>
      </c>
      <c r="BU223" t="s">
        <v>282</v>
      </c>
      <c r="BV223" t="s">
        <v>282</v>
      </c>
      <c r="BW223" t="s">
        <v>282</v>
      </c>
      <c r="BX223" t="s">
        <v>282</v>
      </c>
      <c r="BY223" s="56">
        <v>82724.25</v>
      </c>
      <c r="BZ223" s="56">
        <v>82724.25</v>
      </c>
      <c r="CA223" s="56">
        <v>82724.25</v>
      </c>
      <c r="CB223" s="56">
        <v>82724.25</v>
      </c>
      <c r="CC223" s="56">
        <v>82724.25</v>
      </c>
      <c r="CD223" s="56">
        <v>82724.25</v>
      </c>
      <c r="CE223" s="56">
        <v>82724.25</v>
      </c>
      <c r="CF223" s="56">
        <v>82724.25</v>
      </c>
      <c r="CG223" s="56">
        <v>82724.25</v>
      </c>
      <c r="CH223" s="56">
        <v>82724.25</v>
      </c>
      <c r="CI223" s="56">
        <v>82724.25</v>
      </c>
      <c r="CJ223" s="56">
        <v>82724.25</v>
      </c>
      <c r="CK223" s="56">
        <v>82724.25</v>
      </c>
    </row>
    <row r="224" spans="1:89" ht="13" x14ac:dyDescent="0.3">
      <c r="A224" s="179" t="s">
        <v>319</v>
      </c>
      <c r="B224" s="134">
        <v>148099</v>
      </c>
      <c r="C224" s="135" t="s">
        <v>197</v>
      </c>
      <c r="D224" s="136">
        <v>24570</v>
      </c>
      <c r="E224" s="136">
        <v>48334</v>
      </c>
      <c r="F224" s="135" t="s">
        <v>173</v>
      </c>
      <c r="G224" s="135"/>
      <c r="H224" s="135"/>
      <c r="I224" s="137">
        <v>332</v>
      </c>
      <c r="J224" s="137">
        <v>0</v>
      </c>
      <c r="K224" s="137">
        <v>1</v>
      </c>
      <c r="L224" s="137">
        <v>0</v>
      </c>
      <c r="M224" s="137">
        <v>0</v>
      </c>
      <c r="N224" s="137">
        <v>0</v>
      </c>
      <c r="O224" s="138">
        <v>2</v>
      </c>
      <c r="P224" s="147">
        <v>0</v>
      </c>
      <c r="Q224" s="139">
        <v>1</v>
      </c>
      <c r="R224" s="139">
        <v>0</v>
      </c>
      <c r="S224" s="139">
        <v>0</v>
      </c>
      <c r="T224" s="140"/>
      <c r="U224" s="139">
        <f>99226*1.225</f>
        <v>121551.85</v>
      </c>
      <c r="V224" s="141">
        <v>2020</v>
      </c>
      <c r="W224" s="141">
        <v>0.5</v>
      </c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31"/>
      <c r="AI224" s="46"/>
      <c r="AJ224" s="27"/>
      <c r="AK224" s="27"/>
      <c r="AL224" s="27"/>
      <c r="AM224" s="27"/>
      <c r="AN224" s="27"/>
      <c r="AO224" s="27"/>
      <c r="AP224" s="27"/>
      <c r="AQ224" s="29" t="str">
        <f>IF(AND(AD224&lt;&gt;"",AF224="",AG224=""),DATE(YEAR(AD224)+Menu!$E$10,MONTH(AD224)+Menu!$E$11,1),"")</f>
        <v/>
      </c>
      <c r="AR224" s="29" t="str">
        <f>IF(AF224&lt;&gt;0,AF224,AQ224)</f>
        <v/>
      </c>
      <c r="AS224" s="27" t="str">
        <f>IF(AND(AR224&lt;&gt;"",AH224="",AG224=""),DATE(YEAR(AR224)+Menu!$E$13,MONTH(AR224)+Menu!$E$14,1),"")</f>
        <v/>
      </c>
      <c r="AT224" s="27">
        <v>43921</v>
      </c>
      <c r="AU224" s="15"/>
      <c r="AV224" s="15"/>
      <c r="AW224" s="16"/>
      <c r="AX224" s="15"/>
      <c r="AY224" s="15"/>
      <c r="AZ224" s="15"/>
      <c r="BA224" s="15"/>
      <c r="BB224" s="16"/>
      <c r="BC224" s="16"/>
      <c r="BD224" s="16"/>
      <c r="BE224" s="16"/>
      <c r="BF224" s="16"/>
      <c r="BG224" s="16"/>
      <c r="BH224" s="16"/>
      <c r="BI224" s="16"/>
      <c r="BJ224" s="15"/>
      <c r="BK224" s="15" t="s">
        <v>388</v>
      </c>
      <c r="BL224" s="131" t="s">
        <v>388</v>
      </c>
      <c r="BM224" t="s">
        <v>389</v>
      </c>
      <c r="BN224" t="s">
        <v>389</v>
      </c>
      <c r="BO224" t="s">
        <v>389</v>
      </c>
      <c r="BP224" t="s">
        <v>389</v>
      </c>
      <c r="BQ224" t="s">
        <v>389</v>
      </c>
      <c r="BR224" t="s">
        <v>389</v>
      </c>
      <c r="BS224" t="s">
        <v>389</v>
      </c>
      <c r="BT224" t="s">
        <v>389</v>
      </c>
      <c r="BU224" t="s">
        <v>389</v>
      </c>
      <c r="BV224" t="s">
        <v>389</v>
      </c>
      <c r="BW224" t="s">
        <v>389</v>
      </c>
      <c r="BX224" t="s">
        <v>389</v>
      </c>
      <c r="BY224" s="56">
        <v>0</v>
      </c>
      <c r="BZ224" s="56">
        <v>121551.85</v>
      </c>
      <c r="CA224" s="56">
        <v>121551.85</v>
      </c>
      <c r="CB224" s="56">
        <v>121551.85</v>
      </c>
      <c r="CC224" s="56">
        <v>121551.85</v>
      </c>
      <c r="CD224" s="56">
        <v>121551.85</v>
      </c>
      <c r="CE224" s="56">
        <v>121551.85</v>
      </c>
      <c r="CF224" s="56">
        <v>121551.85</v>
      </c>
      <c r="CG224" s="56">
        <v>121551.85</v>
      </c>
      <c r="CH224" s="56">
        <v>121551.85</v>
      </c>
      <c r="CI224" s="56">
        <v>121551.85</v>
      </c>
      <c r="CJ224" s="56">
        <v>121551.85</v>
      </c>
      <c r="CK224" s="56">
        <v>121551.85</v>
      </c>
    </row>
    <row r="225" spans="1:89" ht="13" x14ac:dyDescent="0.3">
      <c r="A225" s="179" t="s">
        <v>320</v>
      </c>
      <c r="B225" s="134">
        <v>107264</v>
      </c>
      <c r="C225" s="135" t="s">
        <v>197</v>
      </c>
      <c r="D225" s="136">
        <v>22680</v>
      </c>
      <c r="E225" s="136">
        <v>46446</v>
      </c>
      <c r="F225" s="135" t="s">
        <v>173</v>
      </c>
      <c r="G225" s="135"/>
      <c r="H225" s="135"/>
      <c r="I225" s="137">
        <v>332</v>
      </c>
      <c r="J225" s="137">
        <v>0</v>
      </c>
      <c r="K225" s="137">
        <v>1</v>
      </c>
      <c r="L225" s="137">
        <v>0</v>
      </c>
      <c r="M225" s="137">
        <v>0</v>
      </c>
      <c r="N225" s="137">
        <v>0</v>
      </c>
      <c r="O225" s="138">
        <v>2</v>
      </c>
      <c r="P225" s="147">
        <v>0</v>
      </c>
      <c r="Q225" s="139">
        <v>1</v>
      </c>
      <c r="R225" s="139">
        <v>0</v>
      </c>
      <c r="S225" s="139">
        <v>0</v>
      </c>
      <c r="T225" s="140"/>
      <c r="U225" s="139">
        <f>139219*1.225</f>
        <v>170543.27500000002</v>
      </c>
      <c r="V225" s="141">
        <v>2020</v>
      </c>
      <c r="W225" s="141">
        <v>0.5</v>
      </c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31"/>
      <c r="AI225" s="46"/>
      <c r="AJ225" s="27"/>
      <c r="AK225" s="27"/>
      <c r="AL225" s="27"/>
      <c r="AM225" s="27"/>
      <c r="AN225" s="27"/>
      <c r="AO225" s="27"/>
      <c r="AP225" s="27"/>
      <c r="AQ225" s="29" t="str">
        <f>IF(AND(AD225&lt;&gt;"",AF225="",AG225=""),DATE(YEAR(AD225)+Menu!$E$10,MONTH(AD225)+Menu!$E$11,1),"")</f>
        <v/>
      </c>
      <c r="AR225" s="29" t="str">
        <f t="shared" ref="AR225:AR257" si="22">IF(AF225&lt;&gt;0,AF225,AQ225)</f>
        <v/>
      </c>
      <c r="AS225" s="27" t="str">
        <f>IF(AND(AR225&lt;&gt;"",AH225="",AG225=""),DATE(YEAR(AR225)+Menu!$E$13,MONTH(AR225)+Menu!$E$14,1),"")</f>
        <v/>
      </c>
      <c r="AT225" s="27">
        <v>43921</v>
      </c>
      <c r="AU225" s="15"/>
      <c r="AV225" s="15"/>
      <c r="AW225" s="16"/>
      <c r="AX225" s="15"/>
      <c r="AY225" s="15"/>
      <c r="AZ225" s="15"/>
      <c r="BA225" s="15"/>
      <c r="BB225" s="16"/>
      <c r="BC225" s="16"/>
      <c r="BD225" s="16"/>
      <c r="BE225" s="16"/>
      <c r="BF225" s="16"/>
      <c r="BG225" s="16"/>
      <c r="BH225" s="16"/>
      <c r="BI225" s="16"/>
      <c r="BJ225" s="15"/>
      <c r="BK225" s="15" t="s">
        <v>388</v>
      </c>
      <c r="BL225" s="131" t="s">
        <v>388</v>
      </c>
      <c r="BM225" t="s">
        <v>389</v>
      </c>
      <c r="BN225" t="s">
        <v>389</v>
      </c>
      <c r="BO225" t="s">
        <v>389</v>
      </c>
      <c r="BP225" t="s">
        <v>389</v>
      </c>
      <c r="BQ225" t="s">
        <v>389</v>
      </c>
      <c r="BR225" t="s">
        <v>389</v>
      </c>
      <c r="BS225" t="s">
        <v>389</v>
      </c>
      <c r="BT225" t="s">
        <v>389</v>
      </c>
      <c r="BU225" t="s">
        <v>138</v>
      </c>
      <c r="BV225" t="s">
        <v>138</v>
      </c>
      <c r="BW225" t="s">
        <v>138</v>
      </c>
      <c r="BX225" t="s">
        <v>138</v>
      </c>
      <c r="BY225" s="56">
        <v>0</v>
      </c>
      <c r="BZ225" s="56">
        <v>170543.27500000002</v>
      </c>
      <c r="CA225" s="56">
        <v>170543.27500000002</v>
      </c>
      <c r="CB225" s="56">
        <v>170543.27500000002</v>
      </c>
      <c r="CC225" s="56">
        <v>170543.27500000002</v>
      </c>
      <c r="CD225" s="56">
        <v>170543.27500000002</v>
      </c>
      <c r="CE225" s="56">
        <v>170543.27500000002</v>
      </c>
      <c r="CF225" s="56">
        <v>170543.27500000002</v>
      </c>
      <c r="CG225" s="56">
        <v>28423.879166666669</v>
      </c>
      <c r="CH225" s="35">
        <v>0</v>
      </c>
      <c r="CI225" s="56">
        <v>0</v>
      </c>
      <c r="CJ225" s="56">
        <v>0</v>
      </c>
      <c r="CK225" s="56">
        <v>0</v>
      </c>
    </row>
    <row r="226" spans="1:89" ht="13" x14ac:dyDescent="0.3">
      <c r="A226" s="179" t="s">
        <v>321</v>
      </c>
      <c r="B226" s="134">
        <v>106201</v>
      </c>
      <c r="C226" s="135" t="s">
        <v>197</v>
      </c>
      <c r="D226" s="136">
        <v>22623</v>
      </c>
      <c r="E226" s="136">
        <v>46387</v>
      </c>
      <c r="F226" s="135" t="s">
        <v>173</v>
      </c>
      <c r="G226" s="135"/>
      <c r="H226" s="135"/>
      <c r="I226" s="137">
        <v>332</v>
      </c>
      <c r="J226" s="137">
        <v>0</v>
      </c>
      <c r="K226" s="137">
        <v>1</v>
      </c>
      <c r="L226" s="137">
        <v>0</v>
      </c>
      <c r="M226" s="137">
        <v>0</v>
      </c>
      <c r="N226" s="137">
        <v>0</v>
      </c>
      <c r="O226" s="138">
        <v>2</v>
      </c>
      <c r="P226" s="147">
        <v>0</v>
      </c>
      <c r="Q226" s="139">
        <v>1</v>
      </c>
      <c r="R226" s="139">
        <v>0</v>
      </c>
      <c r="S226" s="139">
        <v>0</v>
      </c>
      <c r="T226" s="140"/>
      <c r="U226" s="139">
        <f>126427*1.225</f>
        <v>154873.07500000001</v>
      </c>
      <c r="V226" s="141">
        <v>2020</v>
      </c>
      <c r="W226" s="141">
        <v>0.5</v>
      </c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31"/>
      <c r="AI226" s="46"/>
      <c r="AJ226" s="27"/>
      <c r="AK226" s="27"/>
      <c r="AL226" s="27"/>
      <c r="AM226" s="27"/>
      <c r="AN226" s="27"/>
      <c r="AO226" s="27"/>
      <c r="AP226" s="27"/>
      <c r="AQ226" s="29" t="str">
        <f>IF(AND(AD226&lt;&gt;"",AF226="",AG226=""),DATE(YEAR(AD226)+Menu!$E$10,MONTH(AD226)+Menu!$E$11,1),"")</f>
        <v/>
      </c>
      <c r="AR226" s="29" t="str">
        <f t="shared" si="22"/>
        <v/>
      </c>
      <c r="AS226" s="27" t="str">
        <f>IF(AND(AR226&lt;&gt;"",AH226="",AG226=""),DATE(YEAR(AR226)+Menu!$E$13,MONTH(AR226)+Menu!$E$14,1),"")</f>
        <v/>
      </c>
      <c r="AT226" s="27">
        <v>43921</v>
      </c>
      <c r="AU226" s="15"/>
      <c r="AV226" s="15"/>
      <c r="AW226" s="16"/>
      <c r="AX226" s="15"/>
      <c r="AY226" s="15"/>
      <c r="AZ226" s="15"/>
      <c r="BA226" s="15"/>
      <c r="BB226" s="16"/>
      <c r="BC226" s="16"/>
      <c r="BD226" s="16"/>
      <c r="BE226" s="16"/>
      <c r="BF226" s="16"/>
      <c r="BG226" s="16"/>
      <c r="BH226" s="16"/>
      <c r="BI226" s="16"/>
      <c r="BJ226" s="15"/>
      <c r="BK226" s="15" t="s">
        <v>388</v>
      </c>
      <c r="BL226" s="131" t="s">
        <v>388</v>
      </c>
      <c r="BM226" t="s">
        <v>389</v>
      </c>
      <c r="BN226" t="s">
        <v>389</v>
      </c>
      <c r="BO226" t="s">
        <v>389</v>
      </c>
      <c r="BP226" t="s">
        <v>389</v>
      </c>
      <c r="BQ226" t="s">
        <v>389</v>
      </c>
      <c r="BR226" t="s">
        <v>389</v>
      </c>
      <c r="BS226" t="s">
        <v>389</v>
      </c>
      <c r="BT226" t="s">
        <v>138</v>
      </c>
      <c r="BU226" t="s">
        <v>138</v>
      </c>
      <c r="BV226" t="s">
        <v>138</v>
      </c>
      <c r="BW226" t="s">
        <v>138</v>
      </c>
      <c r="BX226" t="s">
        <v>138</v>
      </c>
      <c r="BY226" s="56">
        <v>0</v>
      </c>
      <c r="BZ226" s="56">
        <v>154873.07500000001</v>
      </c>
      <c r="CA226" s="56">
        <v>154873.07500000001</v>
      </c>
      <c r="CB226" s="56">
        <v>154873.07500000001</v>
      </c>
      <c r="CC226" s="56">
        <v>154873.07500000001</v>
      </c>
      <c r="CD226" s="56">
        <v>154873.07500000001</v>
      </c>
      <c r="CE226" s="56">
        <v>154873.07500000001</v>
      </c>
      <c r="CF226" s="56">
        <v>154873.07500000001</v>
      </c>
      <c r="CG226" s="56">
        <v>0</v>
      </c>
      <c r="CH226" s="35">
        <v>0</v>
      </c>
      <c r="CI226" s="56">
        <v>0</v>
      </c>
      <c r="CJ226" s="56">
        <v>0</v>
      </c>
      <c r="CK226" s="56">
        <v>0</v>
      </c>
    </row>
    <row r="227" spans="1:89" ht="13" x14ac:dyDescent="0.3">
      <c r="A227" s="180" t="s">
        <v>322</v>
      </c>
      <c r="B227" s="134">
        <v>100957</v>
      </c>
      <c r="C227" s="135" t="s">
        <v>197</v>
      </c>
      <c r="D227" s="136">
        <v>27968</v>
      </c>
      <c r="E227" s="136">
        <v>43830</v>
      </c>
      <c r="F227" s="135" t="s">
        <v>173</v>
      </c>
      <c r="G227" s="135"/>
      <c r="H227" s="135"/>
      <c r="I227" s="137">
        <v>343</v>
      </c>
      <c r="J227" s="137">
        <v>0</v>
      </c>
      <c r="K227" s="137">
        <v>1</v>
      </c>
      <c r="L227" s="137">
        <v>0</v>
      </c>
      <c r="M227" s="137">
        <v>0</v>
      </c>
      <c r="N227" s="137">
        <v>0</v>
      </c>
      <c r="O227" s="138">
        <v>2</v>
      </c>
      <c r="P227" s="147">
        <v>0</v>
      </c>
      <c r="Q227" s="139">
        <v>1</v>
      </c>
      <c r="R227" s="139">
        <v>0</v>
      </c>
      <c r="S227" s="139">
        <v>0</v>
      </c>
      <c r="T227" s="140"/>
      <c r="U227" s="139">
        <v>0</v>
      </c>
      <c r="V227" s="141"/>
      <c r="W227" s="141">
        <v>0.1</v>
      </c>
      <c r="X227" s="24"/>
      <c r="Y227" s="24"/>
      <c r="Z227" s="24"/>
      <c r="AA227" s="24"/>
      <c r="AB227" s="24">
        <v>38860</v>
      </c>
      <c r="AC227" s="24"/>
      <c r="AD227" s="24"/>
      <c r="AE227" s="24"/>
      <c r="AF227" s="24"/>
      <c r="AG227" s="24"/>
      <c r="AH227" s="31"/>
      <c r="AI227" s="46" t="str">
        <f>IF(YEAR(E227)&lt;2018,YEAR(E227),"")</f>
        <v/>
      </c>
      <c r="AJ227" s="27"/>
      <c r="AK227" s="27"/>
      <c r="AL227" s="27"/>
      <c r="AM227" s="27"/>
      <c r="AN227" s="27"/>
      <c r="AO227" s="27"/>
      <c r="AP227" s="27"/>
      <c r="AQ227" s="29" t="str">
        <f>IF(AND(AD227&lt;&gt;"",AF227="",AG227=""),DATE(YEAR(AD227)+Menu!$E$10,MONTH(AD227)+Menu!$E$11,1),"")</f>
        <v/>
      </c>
      <c r="AR227" s="29" t="str">
        <f t="shared" si="22"/>
        <v/>
      </c>
      <c r="AS227" s="27" t="str">
        <f>IF(AND(AR227&lt;&gt;"",AH227="",AG227=""),DATE(YEAR(AR227)+Menu!$E$13,MONTH(AR227)+Menu!$E$14,1),"")</f>
        <v/>
      </c>
      <c r="AT227" s="27">
        <v>43861</v>
      </c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5"/>
      <c r="BG227" s="15"/>
      <c r="BH227" s="15"/>
      <c r="BI227" s="15"/>
      <c r="BJ227" s="15"/>
      <c r="BK227" s="15" t="s">
        <v>388</v>
      </c>
      <c r="BL227" s="131" t="s">
        <v>138</v>
      </c>
      <c r="BM227" t="s">
        <v>138</v>
      </c>
      <c r="BN227" t="s">
        <v>138</v>
      </c>
      <c r="BO227" t="s">
        <v>138</v>
      </c>
      <c r="BP227" t="s">
        <v>138</v>
      </c>
      <c r="BQ227" t="s">
        <v>138</v>
      </c>
      <c r="BR227" t="s">
        <v>138</v>
      </c>
      <c r="BS227" t="s">
        <v>138</v>
      </c>
      <c r="BT227" t="s">
        <v>138</v>
      </c>
      <c r="BU227" t="s">
        <v>138</v>
      </c>
      <c r="BV227" t="s">
        <v>138</v>
      </c>
      <c r="BW227" t="s">
        <v>138</v>
      </c>
      <c r="BX227" t="s">
        <v>138</v>
      </c>
      <c r="BY227" s="56">
        <v>0</v>
      </c>
      <c r="BZ227" s="56">
        <v>0</v>
      </c>
      <c r="CA227" s="56">
        <v>0</v>
      </c>
      <c r="CB227" s="56">
        <v>0</v>
      </c>
      <c r="CC227" s="56">
        <v>0</v>
      </c>
      <c r="CD227" s="56">
        <v>0</v>
      </c>
      <c r="CE227" s="56">
        <v>0</v>
      </c>
      <c r="CF227" s="56">
        <v>0</v>
      </c>
      <c r="CG227" s="56">
        <v>0</v>
      </c>
      <c r="CH227" s="56">
        <v>0</v>
      </c>
      <c r="CI227" s="56">
        <v>0</v>
      </c>
      <c r="CJ227" s="56">
        <v>0</v>
      </c>
      <c r="CK227" s="56">
        <v>0</v>
      </c>
    </row>
    <row r="228" spans="1:89" ht="13" x14ac:dyDescent="0.3">
      <c r="A228" s="176" t="s">
        <v>323</v>
      </c>
      <c r="B228" s="134">
        <v>149802</v>
      </c>
      <c r="C228" s="135" t="s">
        <v>196</v>
      </c>
      <c r="D228" s="136">
        <v>28558</v>
      </c>
      <c r="E228" s="136">
        <v>52321</v>
      </c>
      <c r="F228" s="135" t="s">
        <v>173</v>
      </c>
      <c r="G228" s="135"/>
      <c r="H228" s="135"/>
      <c r="I228" s="137">
        <v>414</v>
      </c>
      <c r="J228" s="137">
        <v>1</v>
      </c>
      <c r="K228" s="137">
        <v>0</v>
      </c>
      <c r="L228" s="137">
        <v>0</v>
      </c>
      <c r="M228" s="137">
        <v>0</v>
      </c>
      <c r="N228" s="137">
        <v>0</v>
      </c>
      <c r="O228" s="138">
        <v>2</v>
      </c>
      <c r="P228" s="147">
        <f>98879*1.225</f>
        <v>121126.77500000001</v>
      </c>
      <c r="Q228" s="139">
        <v>1</v>
      </c>
      <c r="R228" s="139">
        <v>0</v>
      </c>
      <c r="S228" s="139">
        <v>0</v>
      </c>
      <c r="T228" s="140"/>
      <c r="U228" s="139">
        <v>0</v>
      </c>
      <c r="V228" s="141"/>
      <c r="W228" s="141">
        <v>1</v>
      </c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31"/>
      <c r="AI228" s="46" t="str">
        <f>IF(YEAR(E228)&lt;2018,YEAR(E228),"")</f>
        <v/>
      </c>
      <c r="AJ228" s="27"/>
      <c r="AK228" s="27"/>
      <c r="AL228" s="27"/>
      <c r="AM228" s="27"/>
      <c r="AN228" s="27"/>
      <c r="AO228" s="27"/>
      <c r="AP228" s="27"/>
      <c r="AQ228" s="29" t="str">
        <f>IF(AND(AD228&lt;&gt;"",AF228="",AG228=""),DATE(YEAR(AD228)+Menu!$E$10,MONTH(AD228)+Menu!$E$11,1),"")</f>
        <v/>
      </c>
      <c r="AR228" s="29" t="str">
        <f t="shared" si="22"/>
        <v/>
      </c>
      <c r="AS228" s="27" t="str">
        <f>IF(AND(AR228&lt;&gt;"",AH228="",AG228=""),DATE(YEAR(AR228)+Menu!$E$13,MONTH(AR228)+Menu!$E$14,1),"")</f>
        <v/>
      </c>
      <c r="AT228" s="27">
        <v>43830</v>
      </c>
      <c r="AU228" s="15"/>
      <c r="AV228" s="15"/>
      <c r="AW228" s="16"/>
      <c r="AX228" s="15"/>
      <c r="AY228" s="15"/>
      <c r="AZ228" s="15"/>
      <c r="BA228" s="15"/>
      <c r="BB228" s="15"/>
      <c r="BC228" s="15"/>
      <c r="BD228" s="16"/>
      <c r="BE228" s="16"/>
      <c r="BF228" s="16"/>
      <c r="BG228" s="16"/>
      <c r="BH228" s="16"/>
      <c r="BI228" s="16"/>
      <c r="BJ228" s="15"/>
      <c r="BK228" s="15" t="s">
        <v>388</v>
      </c>
      <c r="BL228" s="15" t="s">
        <v>388</v>
      </c>
      <c r="BM228" t="s">
        <v>389</v>
      </c>
      <c r="BN228" t="s">
        <v>389</v>
      </c>
      <c r="BO228" t="s">
        <v>389</v>
      </c>
      <c r="BP228" t="s">
        <v>389</v>
      </c>
      <c r="BQ228" t="s">
        <v>389</v>
      </c>
      <c r="BR228" t="s">
        <v>389</v>
      </c>
      <c r="BS228" t="s">
        <v>389</v>
      </c>
      <c r="BT228" t="s">
        <v>389</v>
      </c>
      <c r="BU228" t="s">
        <v>389</v>
      </c>
      <c r="BV228" t="s">
        <v>389</v>
      </c>
      <c r="BW228" t="s">
        <v>389</v>
      </c>
      <c r="BX228" t="s">
        <v>389</v>
      </c>
      <c r="BY228" s="56">
        <v>121126.77500000001</v>
      </c>
      <c r="BZ228" s="56">
        <v>121126.77500000001</v>
      </c>
      <c r="CA228" s="56">
        <v>121126.77500000001</v>
      </c>
      <c r="CB228" s="56">
        <v>121126.77500000001</v>
      </c>
      <c r="CC228" s="56">
        <v>121126.77500000001</v>
      </c>
      <c r="CD228" s="56">
        <v>121126.77500000001</v>
      </c>
      <c r="CE228" s="56">
        <v>121126.77500000001</v>
      </c>
      <c r="CF228" s="56">
        <v>121126.77500000001</v>
      </c>
      <c r="CG228" s="56">
        <v>121126.77500000001</v>
      </c>
      <c r="CH228" s="56">
        <v>121126.77500000001</v>
      </c>
      <c r="CI228" s="56">
        <v>121126.77500000001</v>
      </c>
      <c r="CJ228" s="56">
        <v>121126.77500000001</v>
      </c>
      <c r="CK228" s="56">
        <v>121126.77500000001</v>
      </c>
    </row>
    <row r="229" spans="1:89" ht="13" x14ac:dyDescent="0.3">
      <c r="A229" s="135" t="s">
        <v>324</v>
      </c>
      <c r="B229" s="134" t="s">
        <v>325</v>
      </c>
      <c r="C229" s="135" t="s">
        <v>196</v>
      </c>
      <c r="D229" s="136">
        <v>24503</v>
      </c>
      <c r="E229" s="136">
        <v>48244</v>
      </c>
      <c r="F229" s="135" t="s">
        <v>173</v>
      </c>
      <c r="G229" s="135"/>
      <c r="H229" s="135"/>
      <c r="I229" s="137">
        <v>434</v>
      </c>
      <c r="J229" s="137">
        <v>1</v>
      </c>
      <c r="K229" s="137">
        <v>0</v>
      </c>
      <c r="L229" s="137">
        <v>0</v>
      </c>
      <c r="M229" s="137">
        <v>0</v>
      </c>
      <c r="N229" s="137">
        <v>0</v>
      </c>
      <c r="O229" s="138">
        <v>0</v>
      </c>
      <c r="P229" s="147">
        <f>114758*1.225*0.5</f>
        <v>70289.275000000009</v>
      </c>
      <c r="Q229" s="139">
        <v>1</v>
      </c>
      <c r="R229" s="139">
        <v>0</v>
      </c>
      <c r="S229" s="139">
        <v>0</v>
      </c>
      <c r="T229" s="140"/>
      <c r="U229" s="139">
        <v>0</v>
      </c>
      <c r="V229" s="141"/>
      <c r="W229" s="141">
        <v>0.5</v>
      </c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31"/>
      <c r="AI229" s="46"/>
      <c r="AJ229" s="27"/>
      <c r="AK229" s="27"/>
      <c r="AL229" s="27"/>
      <c r="AM229" s="27"/>
      <c r="AN229" s="27"/>
      <c r="AO229" s="27"/>
      <c r="AP229" s="27"/>
      <c r="AQ229" s="29" t="str">
        <f>IF(AND(AD229&lt;&gt;"",AF229="",AG229=""),DATE(YEAR(AD229)+Menu!$E$10,MONTH(AD229)+Menu!$E$11,1),"")</f>
        <v/>
      </c>
      <c r="AR229" s="29" t="str">
        <f t="shared" si="22"/>
        <v/>
      </c>
      <c r="AS229" s="27" t="str">
        <f>IF(AND(AR229&lt;&gt;"",AH229="",AG229=""),DATE(YEAR(AR229)+Menu!$E$13,MONTH(AR229)+Menu!$E$14,1),"")</f>
        <v/>
      </c>
      <c r="AT229" s="27">
        <v>44196</v>
      </c>
      <c r="AU229" s="15" t="s">
        <v>293</v>
      </c>
      <c r="AV229" s="15" t="s">
        <v>293</v>
      </c>
      <c r="AW229" s="15" t="s">
        <v>293</v>
      </c>
      <c r="AX229" s="15" t="s">
        <v>293</v>
      </c>
      <c r="AY229" s="15" t="s">
        <v>293</v>
      </c>
      <c r="AZ229" s="15" t="s">
        <v>293</v>
      </c>
      <c r="BA229" s="15" t="s">
        <v>293</v>
      </c>
      <c r="BB229" s="15" t="s">
        <v>293</v>
      </c>
      <c r="BC229" s="15" t="s">
        <v>293</v>
      </c>
      <c r="BD229" s="15" t="s">
        <v>293</v>
      </c>
      <c r="BE229" s="15" t="s">
        <v>293</v>
      </c>
      <c r="BF229" s="15" t="s">
        <v>293</v>
      </c>
      <c r="BG229" s="15" t="s">
        <v>293</v>
      </c>
      <c r="BH229" s="15" t="s">
        <v>293</v>
      </c>
      <c r="BI229" s="15" t="s">
        <v>293</v>
      </c>
      <c r="BJ229" s="15" t="s">
        <v>293</v>
      </c>
      <c r="BK229" s="15" t="s">
        <v>388</v>
      </c>
      <c r="BL229" s="131" t="s">
        <v>388</v>
      </c>
      <c r="BM229" t="s">
        <v>389</v>
      </c>
      <c r="BN229" t="s">
        <v>389</v>
      </c>
      <c r="BO229" t="s">
        <v>389</v>
      </c>
      <c r="BP229" t="s">
        <v>389</v>
      </c>
      <c r="BQ229" t="s">
        <v>389</v>
      </c>
      <c r="BR229" t="s">
        <v>389</v>
      </c>
      <c r="BS229" t="s">
        <v>389</v>
      </c>
      <c r="BT229" t="s">
        <v>389</v>
      </c>
      <c r="BU229" t="s">
        <v>389</v>
      </c>
      <c r="BV229" t="s">
        <v>389</v>
      </c>
      <c r="BW229" t="s">
        <v>389</v>
      </c>
      <c r="BX229" t="s">
        <v>389</v>
      </c>
      <c r="BY229" s="56">
        <v>70289.275000000009</v>
      </c>
      <c r="BZ229" s="56">
        <v>70289.275000000009</v>
      </c>
      <c r="CA229" s="56">
        <v>70289.275000000009</v>
      </c>
      <c r="CB229" s="56">
        <v>70289.275000000009</v>
      </c>
      <c r="CC229" s="56">
        <v>70289.275000000009</v>
      </c>
      <c r="CD229" s="56">
        <v>70289.275000000009</v>
      </c>
      <c r="CE229" s="56">
        <v>70289.275000000009</v>
      </c>
      <c r="CF229" s="56">
        <v>70289.275000000009</v>
      </c>
      <c r="CG229" s="56">
        <v>70289.275000000009</v>
      </c>
      <c r="CH229" s="56">
        <v>70289.275000000009</v>
      </c>
      <c r="CI229" s="56">
        <v>70289.275000000009</v>
      </c>
      <c r="CJ229" s="56">
        <v>70289.275000000009</v>
      </c>
      <c r="CK229" s="56">
        <v>70289.275000000009</v>
      </c>
    </row>
    <row r="230" spans="1:89" ht="13" x14ac:dyDescent="0.3">
      <c r="A230" s="135" t="s">
        <v>326</v>
      </c>
      <c r="B230" s="134" t="s">
        <v>328</v>
      </c>
      <c r="C230" s="135" t="s">
        <v>198</v>
      </c>
      <c r="D230" s="136">
        <v>24273</v>
      </c>
      <c r="E230" s="136">
        <v>48029</v>
      </c>
      <c r="F230" s="135" t="s">
        <v>173</v>
      </c>
      <c r="G230" s="135"/>
      <c r="H230" s="135"/>
      <c r="I230" s="137">
        <v>457</v>
      </c>
      <c r="J230" s="137">
        <v>0</v>
      </c>
      <c r="K230" s="137">
        <v>0</v>
      </c>
      <c r="L230" s="137">
        <v>1</v>
      </c>
      <c r="M230" s="137">
        <v>0</v>
      </c>
      <c r="N230" s="137">
        <v>0</v>
      </c>
      <c r="O230" s="138">
        <v>0</v>
      </c>
      <c r="P230" s="147">
        <f>149249*1.225</f>
        <v>182830.02500000002</v>
      </c>
      <c r="Q230" s="139">
        <v>1</v>
      </c>
      <c r="R230" s="139">
        <v>0</v>
      </c>
      <c r="S230" s="139">
        <v>0</v>
      </c>
      <c r="T230" s="140"/>
      <c r="U230" s="139">
        <v>0</v>
      </c>
      <c r="V230" s="141"/>
      <c r="W230" s="141">
        <v>1</v>
      </c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31"/>
      <c r="AI230" s="46"/>
      <c r="AJ230" s="27"/>
      <c r="AK230" s="27"/>
      <c r="AL230" s="27"/>
      <c r="AM230" s="27"/>
      <c r="AN230" s="27"/>
      <c r="AO230" s="27"/>
      <c r="AP230" s="27"/>
      <c r="AQ230" s="29" t="str">
        <f>IF(AND(AD230&lt;&gt;"",AF230="",AG230=""),DATE(YEAR(AD230)+Menu!$E$10,MONTH(AD230)+Menu!$E$11,1),"")</f>
        <v/>
      </c>
      <c r="AR230" s="29" t="str">
        <f t="shared" si="22"/>
        <v/>
      </c>
      <c r="AS230" s="27" t="str">
        <f>IF(AND(AR230&lt;&gt;"",AH230="",AG230=""),DATE(YEAR(AR230)+Menu!$E$13,MONTH(AR230)+Menu!$E$14,1),"")</f>
        <v/>
      </c>
      <c r="AT230" s="27">
        <v>47848</v>
      </c>
      <c r="AU230" s="15" t="s">
        <v>293</v>
      </c>
      <c r="AV230" s="15" t="s">
        <v>293</v>
      </c>
      <c r="AW230" s="15" t="s">
        <v>293</v>
      </c>
      <c r="AX230" s="15" t="s">
        <v>293</v>
      </c>
      <c r="AY230" s="15" t="s">
        <v>293</v>
      </c>
      <c r="AZ230" s="15" t="s">
        <v>293</v>
      </c>
      <c r="BA230" s="15" t="s">
        <v>293</v>
      </c>
      <c r="BB230" s="15" t="s">
        <v>293</v>
      </c>
      <c r="BC230" s="15" t="s">
        <v>293</v>
      </c>
      <c r="BD230" s="15" t="s">
        <v>293</v>
      </c>
      <c r="BE230" s="15" t="s">
        <v>293</v>
      </c>
      <c r="BF230" s="15" t="s">
        <v>293</v>
      </c>
      <c r="BG230" s="15" t="s">
        <v>293</v>
      </c>
      <c r="BH230" s="15" t="s">
        <v>293</v>
      </c>
      <c r="BI230" s="15" t="s">
        <v>293</v>
      </c>
      <c r="BJ230" s="15" t="s">
        <v>293</v>
      </c>
      <c r="BK230" s="15" t="s">
        <v>388</v>
      </c>
      <c r="BL230" s="131" t="s">
        <v>388</v>
      </c>
      <c r="BM230" t="s">
        <v>388</v>
      </c>
      <c r="BN230" t="s">
        <v>388</v>
      </c>
      <c r="BO230" t="s">
        <v>388</v>
      </c>
      <c r="BP230" t="s">
        <v>388</v>
      </c>
      <c r="BQ230" t="s">
        <v>388</v>
      </c>
      <c r="BR230" t="s">
        <v>388</v>
      </c>
      <c r="BS230" t="s">
        <v>388</v>
      </c>
      <c r="BT230" t="s">
        <v>388</v>
      </c>
      <c r="BU230" t="s">
        <v>388</v>
      </c>
      <c r="BV230" t="s">
        <v>388</v>
      </c>
      <c r="BW230" t="s">
        <v>389</v>
      </c>
      <c r="BX230" t="s">
        <v>389</v>
      </c>
      <c r="BY230" s="56">
        <v>182830.02500000002</v>
      </c>
      <c r="BZ230" s="56">
        <v>182830.02500000002</v>
      </c>
      <c r="CA230" s="56">
        <v>182830.02500000002</v>
      </c>
      <c r="CB230" s="56">
        <v>182830.02500000002</v>
      </c>
      <c r="CC230" s="56">
        <v>182830.02500000002</v>
      </c>
      <c r="CD230" s="56">
        <v>182830.02500000002</v>
      </c>
      <c r="CE230" s="56">
        <v>182830.02500000002</v>
      </c>
      <c r="CF230" s="56">
        <v>182830.02500000002</v>
      </c>
      <c r="CG230" s="56">
        <v>182830.02500000002</v>
      </c>
      <c r="CH230" s="56">
        <v>182830.02500000002</v>
      </c>
      <c r="CI230" s="56">
        <v>182830.02500000002</v>
      </c>
      <c r="CJ230" s="56">
        <v>182830.02500000002</v>
      </c>
      <c r="CK230" s="56">
        <v>91415.012500000012</v>
      </c>
    </row>
    <row r="231" spans="1:89" ht="13" x14ac:dyDescent="0.3">
      <c r="A231" s="135" t="s">
        <v>327</v>
      </c>
      <c r="B231" s="134" t="s">
        <v>329</v>
      </c>
      <c r="C231" s="135" t="s">
        <v>198</v>
      </c>
      <c r="D231" s="136">
        <v>26063</v>
      </c>
      <c r="E231" s="136">
        <v>49826</v>
      </c>
      <c r="F231" s="135" t="s">
        <v>173</v>
      </c>
      <c r="G231" s="135"/>
      <c r="H231" s="135"/>
      <c r="I231" s="137">
        <v>457</v>
      </c>
      <c r="J231" s="137">
        <v>0</v>
      </c>
      <c r="K231" s="137">
        <v>0</v>
      </c>
      <c r="L231" s="137">
        <v>1</v>
      </c>
      <c r="M231" s="137">
        <v>0</v>
      </c>
      <c r="N231" s="137">
        <v>0</v>
      </c>
      <c r="O231" s="138">
        <v>0</v>
      </c>
      <c r="P231" s="147">
        <f>135743*1.225*0.2</f>
        <v>33257.035000000003</v>
      </c>
      <c r="Q231" s="139">
        <v>1</v>
      </c>
      <c r="R231" s="139">
        <v>0</v>
      </c>
      <c r="S231" s="139">
        <v>0</v>
      </c>
      <c r="T231" s="140"/>
      <c r="U231" s="139">
        <v>0</v>
      </c>
      <c r="V231" s="141"/>
      <c r="W231" s="141">
        <v>0.2</v>
      </c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31"/>
      <c r="AI231" s="46"/>
      <c r="AJ231" s="27"/>
      <c r="AK231" s="27"/>
      <c r="AL231" s="27"/>
      <c r="AM231" s="27"/>
      <c r="AN231" s="27"/>
      <c r="AO231" s="27"/>
      <c r="AP231" s="27"/>
      <c r="AQ231" s="29" t="str">
        <f>IF(AND(AD231&lt;&gt;"",AF231="",AG231=""),DATE(YEAR(AD231)+Menu!$E$10,MONTH(AD231)+Menu!$E$11,1),"")</f>
        <v/>
      </c>
      <c r="AR231" s="29" t="str">
        <f t="shared" si="22"/>
        <v/>
      </c>
      <c r="AS231" s="27" t="str">
        <f>IF(AND(AR231&lt;&gt;"",AH231="",AG231=""),DATE(YEAR(AR231)+Menu!$E$13,MONTH(AR231)+Menu!$E$14,1),"")</f>
        <v/>
      </c>
      <c r="AT231" s="27">
        <v>47848</v>
      </c>
      <c r="AU231" s="15" t="s">
        <v>293</v>
      </c>
      <c r="AV231" s="15" t="s">
        <v>293</v>
      </c>
      <c r="AW231" s="15" t="s">
        <v>293</v>
      </c>
      <c r="AX231" s="15" t="s">
        <v>293</v>
      </c>
      <c r="AY231" s="15" t="s">
        <v>293</v>
      </c>
      <c r="AZ231" s="15" t="s">
        <v>293</v>
      </c>
      <c r="BA231" s="15" t="s">
        <v>293</v>
      </c>
      <c r="BB231" s="15" t="s">
        <v>293</v>
      </c>
      <c r="BC231" s="15" t="s">
        <v>293</v>
      </c>
      <c r="BD231" s="15" t="s">
        <v>293</v>
      </c>
      <c r="BE231" s="15" t="s">
        <v>293</v>
      </c>
      <c r="BF231" s="15" t="s">
        <v>293</v>
      </c>
      <c r="BG231" s="15" t="s">
        <v>293</v>
      </c>
      <c r="BH231" s="15" t="s">
        <v>293</v>
      </c>
      <c r="BI231" s="15" t="s">
        <v>293</v>
      </c>
      <c r="BJ231" s="15" t="s">
        <v>293</v>
      </c>
      <c r="BK231" s="15" t="s">
        <v>388</v>
      </c>
      <c r="BL231" s="131" t="s">
        <v>388</v>
      </c>
      <c r="BM231" t="s">
        <v>388</v>
      </c>
      <c r="BN231" t="s">
        <v>388</v>
      </c>
      <c r="BO231" t="s">
        <v>388</v>
      </c>
      <c r="BP231" t="s">
        <v>388</v>
      </c>
      <c r="BQ231" t="s">
        <v>388</v>
      </c>
      <c r="BR231" t="s">
        <v>388</v>
      </c>
      <c r="BS231" t="s">
        <v>388</v>
      </c>
      <c r="BT231" t="s">
        <v>388</v>
      </c>
      <c r="BU231" t="s">
        <v>388</v>
      </c>
      <c r="BV231" t="s">
        <v>388</v>
      </c>
      <c r="BW231" t="s">
        <v>389</v>
      </c>
      <c r="BX231" t="s">
        <v>389</v>
      </c>
      <c r="BY231" s="56">
        <v>33257.035000000003</v>
      </c>
      <c r="BZ231" s="56">
        <v>33257.035000000003</v>
      </c>
      <c r="CA231" s="56">
        <v>33257.035000000003</v>
      </c>
      <c r="CB231" s="56">
        <v>33257.035000000003</v>
      </c>
      <c r="CC231" s="56">
        <v>33257.035000000003</v>
      </c>
      <c r="CD231" s="56">
        <v>33257.035000000003</v>
      </c>
      <c r="CE231" s="56">
        <v>33257.035000000003</v>
      </c>
      <c r="CF231" s="56">
        <v>33257.035000000003</v>
      </c>
      <c r="CG231" s="56">
        <v>33257.035000000003</v>
      </c>
      <c r="CH231" s="56">
        <v>33257.035000000003</v>
      </c>
      <c r="CI231" s="56">
        <v>33257.035000000003</v>
      </c>
      <c r="CJ231" s="56">
        <v>33257.035000000003</v>
      </c>
      <c r="CK231" s="56">
        <v>33257.035000000003</v>
      </c>
    </row>
    <row r="232" spans="1:89" ht="13" x14ac:dyDescent="0.3">
      <c r="A232" s="135" t="s">
        <v>332</v>
      </c>
      <c r="B232" s="134" t="s">
        <v>333</v>
      </c>
      <c r="C232" s="135" t="s">
        <v>200</v>
      </c>
      <c r="D232" s="136">
        <v>29069</v>
      </c>
      <c r="E232" s="136">
        <v>52840</v>
      </c>
      <c r="F232" s="135" t="s">
        <v>173</v>
      </c>
      <c r="G232" s="135"/>
      <c r="H232" s="135"/>
      <c r="I232" s="137">
        <v>841</v>
      </c>
      <c r="J232" s="137">
        <v>0</v>
      </c>
      <c r="K232" s="137">
        <v>0</v>
      </c>
      <c r="L232" s="137">
        <v>0</v>
      </c>
      <c r="M232" s="137">
        <v>1</v>
      </c>
      <c r="N232" s="137">
        <v>0</v>
      </c>
      <c r="O232" s="138">
        <v>0</v>
      </c>
      <c r="P232" s="147">
        <v>0</v>
      </c>
      <c r="Q232" s="139">
        <v>1</v>
      </c>
      <c r="R232" s="139">
        <v>0</v>
      </c>
      <c r="S232" s="139">
        <v>0</v>
      </c>
      <c r="T232" s="140"/>
      <c r="U232" s="139">
        <f>108309*1.225*W232</f>
        <v>39803.557500000003</v>
      </c>
      <c r="V232" s="141">
        <v>2029</v>
      </c>
      <c r="W232" s="141">
        <v>0.3</v>
      </c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31"/>
      <c r="AI232" s="46"/>
      <c r="AJ232" s="27"/>
      <c r="AK232" s="27"/>
      <c r="AL232" s="27"/>
      <c r="AM232" s="27"/>
      <c r="AN232" s="27"/>
      <c r="AO232" s="27"/>
      <c r="AP232" s="27"/>
      <c r="AQ232" s="29" t="str">
        <f>IF(AND(AD232&lt;&gt;"",AF232="",AG232=""),DATE(YEAR(AD232)+Menu!$E$10,MONTH(AD232)+Menu!$E$11,1),"")</f>
        <v/>
      </c>
      <c r="AR232" s="29" t="str">
        <f t="shared" si="22"/>
        <v/>
      </c>
      <c r="AS232" s="27" t="str">
        <f>IF(AND(AR232&lt;&gt;"",AH232="",AG232=""),DATE(YEAR(AR232)+Menu!$E$13,MONTH(AR232)+Menu!$E$14,1),"")</f>
        <v/>
      </c>
      <c r="AT232" s="27">
        <v>47269</v>
      </c>
      <c r="AU232" s="15" t="s">
        <v>293</v>
      </c>
      <c r="AV232" s="15" t="s">
        <v>293</v>
      </c>
      <c r="AW232" s="16" t="s">
        <v>293</v>
      </c>
      <c r="AX232" s="15" t="s">
        <v>293</v>
      </c>
      <c r="AY232" s="15" t="s">
        <v>293</v>
      </c>
      <c r="AZ232" s="15" t="s">
        <v>293</v>
      </c>
      <c r="BA232" s="15" t="s">
        <v>293</v>
      </c>
      <c r="BB232" s="16" t="s">
        <v>293</v>
      </c>
      <c r="BC232" s="16" t="s">
        <v>293</v>
      </c>
      <c r="BD232" s="16" t="s">
        <v>293</v>
      </c>
      <c r="BE232" s="16" t="s">
        <v>293</v>
      </c>
      <c r="BF232" s="16" t="s">
        <v>293</v>
      </c>
      <c r="BG232" s="16" t="s">
        <v>293</v>
      </c>
      <c r="BH232" s="16" t="s">
        <v>293</v>
      </c>
      <c r="BI232" s="16" t="s">
        <v>293</v>
      </c>
      <c r="BJ232" s="15" t="s">
        <v>293</v>
      </c>
      <c r="BK232" s="15" t="s">
        <v>388</v>
      </c>
      <c r="BL232" s="131" t="s">
        <v>388</v>
      </c>
      <c r="BM232" t="s">
        <v>388</v>
      </c>
      <c r="BN232" t="s">
        <v>388</v>
      </c>
      <c r="BO232" t="s">
        <v>388</v>
      </c>
      <c r="BP232" t="s">
        <v>388</v>
      </c>
      <c r="BQ232" t="s">
        <v>388</v>
      </c>
      <c r="BR232" t="s">
        <v>388</v>
      </c>
      <c r="BS232" t="s">
        <v>388</v>
      </c>
      <c r="BT232" t="s">
        <v>388</v>
      </c>
      <c r="BU232" t="s">
        <v>388</v>
      </c>
      <c r="BV232" t="s">
        <v>389</v>
      </c>
      <c r="BW232" t="s">
        <v>389</v>
      </c>
      <c r="BX232" t="s">
        <v>389</v>
      </c>
      <c r="BY232" s="56">
        <v>0</v>
      </c>
      <c r="BZ232" s="56">
        <v>0</v>
      </c>
      <c r="CA232" s="56">
        <v>0</v>
      </c>
      <c r="CB232" s="56">
        <v>0</v>
      </c>
      <c r="CC232" s="56">
        <v>0</v>
      </c>
      <c r="CD232" s="56">
        <v>0</v>
      </c>
      <c r="CE232" s="56">
        <v>0</v>
      </c>
      <c r="CF232" s="56">
        <v>0</v>
      </c>
      <c r="CG232" s="56">
        <v>0</v>
      </c>
      <c r="CH232" s="56">
        <v>0</v>
      </c>
      <c r="CI232" s="56">
        <v>39803.557500000003</v>
      </c>
      <c r="CJ232" s="56">
        <v>39803.557500000003</v>
      </c>
      <c r="CK232" s="56">
        <v>39803.557500000003</v>
      </c>
    </row>
    <row r="233" spans="1:89" ht="13" x14ac:dyDescent="0.3">
      <c r="A233" s="135" t="s">
        <v>337</v>
      </c>
      <c r="B233" s="142" t="s">
        <v>338</v>
      </c>
      <c r="C233" s="135" t="s">
        <v>201</v>
      </c>
      <c r="D233" s="136">
        <v>27218</v>
      </c>
      <c r="E233" s="136">
        <v>50982</v>
      </c>
      <c r="F233" s="135" t="s">
        <v>173</v>
      </c>
      <c r="G233" s="135"/>
      <c r="H233" s="135"/>
      <c r="I233" s="137">
        <v>862</v>
      </c>
      <c r="J233" s="137">
        <v>0</v>
      </c>
      <c r="K233" s="137">
        <v>0</v>
      </c>
      <c r="L233" s="137">
        <v>0</v>
      </c>
      <c r="M233" s="137">
        <v>0</v>
      </c>
      <c r="N233" s="137">
        <v>1</v>
      </c>
      <c r="O233" s="138">
        <v>0</v>
      </c>
      <c r="P233" s="139">
        <f>121097*1.225</f>
        <v>148343.82500000001</v>
      </c>
      <c r="Q233" s="139">
        <v>1</v>
      </c>
      <c r="R233" s="139">
        <v>0</v>
      </c>
      <c r="S233" s="139">
        <v>0</v>
      </c>
      <c r="T233" s="140"/>
      <c r="U233" s="139">
        <v>0</v>
      </c>
      <c r="V233" s="141"/>
      <c r="W233" s="141">
        <v>1</v>
      </c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31"/>
      <c r="AI233" s="46"/>
      <c r="AJ233" s="27"/>
      <c r="AK233" s="27"/>
      <c r="AL233" s="27"/>
      <c r="AM233" s="27"/>
      <c r="AN233" s="27"/>
      <c r="AO233" s="27"/>
      <c r="AP233" s="27"/>
      <c r="AQ233" s="29" t="str">
        <f>IF(AND(AD233&lt;&gt;"",AF233="",AG233=""),DATE(YEAR(AD233)+Menu!$E$10,MONTH(AD233)+Menu!$E$11,1),"")</f>
        <v/>
      </c>
      <c r="AR233" s="29" t="str">
        <f t="shared" si="22"/>
        <v/>
      </c>
      <c r="AS233" s="27" t="str">
        <f>IF(AND(AR233&lt;&gt;"",AH233="",AG233=""),DATE(YEAR(AR233)+Menu!$E$13,MONTH(AR233)+Menu!$E$14,1),"")</f>
        <v/>
      </c>
      <c r="AT233" s="27">
        <v>43708</v>
      </c>
      <c r="AU233" s="15" t="s">
        <v>293</v>
      </c>
      <c r="AV233" s="15" t="s">
        <v>293</v>
      </c>
      <c r="AW233" s="15" t="s">
        <v>293</v>
      </c>
      <c r="AX233" s="16" t="s">
        <v>293</v>
      </c>
      <c r="AY233" s="16" t="s">
        <v>293</v>
      </c>
      <c r="AZ233" s="16" t="s">
        <v>293</v>
      </c>
      <c r="BA233" s="16" t="s">
        <v>293</v>
      </c>
      <c r="BB233" s="16" t="s">
        <v>293</v>
      </c>
      <c r="BC233" s="16" t="s">
        <v>293</v>
      </c>
      <c r="BD233" s="16" t="s">
        <v>293</v>
      </c>
      <c r="BE233" s="16" t="s">
        <v>293</v>
      </c>
      <c r="BF233" s="16" t="s">
        <v>293</v>
      </c>
      <c r="BG233" s="16" t="s">
        <v>293</v>
      </c>
      <c r="BH233" s="16" t="s">
        <v>293</v>
      </c>
      <c r="BI233" s="16" t="s">
        <v>293</v>
      </c>
      <c r="BJ233" s="15" t="s">
        <v>293</v>
      </c>
      <c r="BK233" s="15" t="s">
        <v>388</v>
      </c>
      <c r="BL233" s="131" t="s">
        <v>389</v>
      </c>
      <c r="BM233" t="s">
        <v>389</v>
      </c>
      <c r="BN233" t="s">
        <v>389</v>
      </c>
      <c r="BO233" t="s">
        <v>389</v>
      </c>
      <c r="BP233" t="s">
        <v>389</v>
      </c>
      <c r="BQ233" t="s">
        <v>389</v>
      </c>
      <c r="BR233" t="s">
        <v>389</v>
      </c>
      <c r="BS233" t="s">
        <v>389</v>
      </c>
      <c r="BT233" t="s">
        <v>389</v>
      </c>
      <c r="BU233" t="s">
        <v>389</v>
      </c>
      <c r="BV233" t="s">
        <v>389</v>
      </c>
      <c r="BW233" t="s">
        <v>389</v>
      </c>
      <c r="BX233" t="s">
        <v>389</v>
      </c>
      <c r="BY233" s="56">
        <v>148343.82500000001</v>
      </c>
      <c r="BZ233" s="56">
        <v>148343.82500000001</v>
      </c>
      <c r="CA233" s="56">
        <v>148343.82500000001</v>
      </c>
      <c r="CB233" s="56">
        <v>148343.82500000001</v>
      </c>
      <c r="CC233" s="56">
        <v>148343.82500000001</v>
      </c>
      <c r="CD233" s="56">
        <v>148343.82500000001</v>
      </c>
      <c r="CE233" s="56">
        <v>148343.82500000001</v>
      </c>
      <c r="CF233" s="56">
        <v>148343.82500000001</v>
      </c>
      <c r="CG233" s="56">
        <v>148343.82500000001</v>
      </c>
      <c r="CH233" s="56">
        <v>148343.82500000001</v>
      </c>
      <c r="CI233" s="56">
        <v>148343.82500000001</v>
      </c>
      <c r="CJ233" s="56">
        <v>148343.82500000001</v>
      </c>
      <c r="CK233" s="56">
        <v>148343.82500000001</v>
      </c>
    </row>
    <row r="234" spans="1:89" ht="13" x14ac:dyDescent="0.3">
      <c r="A234" s="145" t="s">
        <v>434</v>
      </c>
      <c r="B234" s="134" t="s">
        <v>340</v>
      </c>
      <c r="C234" s="135" t="s">
        <v>198</v>
      </c>
      <c r="D234" s="136">
        <v>25233</v>
      </c>
      <c r="E234" s="136">
        <v>48975</v>
      </c>
      <c r="F234" s="135" t="s">
        <v>173</v>
      </c>
      <c r="G234" s="135"/>
      <c r="H234" s="135"/>
      <c r="I234" s="137">
        <v>888</v>
      </c>
      <c r="J234" s="137">
        <v>0</v>
      </c>
      <c r="K234" s="137">
        <v>0</v>
      </c>
      <c r="L234" s="137">
        <v>1</v>
      </c>
      <c r="M234" s="137">
        <v>0</v>
      </c>
      <c r="N234" s="137">
        <v>0</v>
      </c>
      <c r="O234" s="138">
        <v>0</v>
      </c>
      <c r="P234" s="139">
        <v>35941.745000000003</v>
      </c>
      <c r="Q234" s="139">
        <v>1</v>
      </c>
      <c r="R234" s="139">
        <v>0</v>
      </c>
      <c r="S234" s="139">
        <v>0</v>
      </c>
      <c r="T234" s="140"/>
      <c r="U234" s="139">
        <v>0</v>
      </c>
      <c r="V234" s="141"/>
      <c r="W234" s="141">
        <v>0.2</v>
      </c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31"/>
      <c r="AI234" s="46"/>
      <c r="AJ234" s="27"/>
      <c r="AK234" s="27"/>
      <c r="AL234" s="27"/>
      <c r="AM234" s="27"/>
      <c r="AN234" s="27"/>
      <c r="AO234" s="27"/>
      <c r="AP234" s="27"/>
      <c r="AQ234" s="29" t="str">
        <f>IF(AND(AD234&lt;&gt;"",AF234="",AG234=""),DATE(YEAR(AD234)+Menu!$E$10,MONTH(AD234)+Menu!$E$11,1),"")</f>
        <v/>
      </c>
      <c r="AR234" s="29" t="str">
        <f t="shared" si="22"/>
        <v/>
      </c>
      <c r="AS234" s="27" t="str">
        <f>IF(AND(AR234&lt;&gt;"",AH234="",AG234=""),DATE(YEAR(AR234)+Menu!$E$13,MONTH(AR234)+Menu!$E$14,1),"")</f>
        <v/>
      </c>
      <c r="AT234" s="27"/>
      <c r="AU234" s="15" t="s">
        <v>293</v>
      </c>
      <c r="AV234" s="15" t="s">
        <v>293</v>
      </c>
      <c r="AW234" s="16" t="s">
        <v>293</v>
      </c>
      <c r="AX234" s="15" t="s">
        <v>293</v>
      </c>
      <c r="AY234" s="15" t="s">
        <v>293</v>
      </c>
      <c r="AZ234" s="16" t="s">
        <v>293</v>
      </c>
      <c r="BA234" s="16" t="s">
        <v>293</v>
      </c>
      <c r="BB234" s="16" t="s">
        <v>293</v>
      </c>
      <c r="BC234" s="16" t="s">
        <v>293</v>
      </c>
      <c r="BD234" s="16" t="s">
        <v>293</v>
      </c>
      <c r="BE234" s="16" t="s">
        <v>293</v>
      </c>
      <c r="BF234" s="16" t="s">
        <v>293</v>
      </c>
      <c r="BG234" s="16" t="s">
        <v>293</v>
      </c>
      <c r="BH234" s="16" t="s">
        <v>293</v>
      </c>
      <c r="BI234" s="16" t="s">
        <v>293</v>
      </c>
      <c r="BJ234" s="15" t="s">
        <v>293</v>
      </c>
      <c r="BK234" s="15" t="s">
        <v>388</v>
      </c>
      <c r="BL234" s="131" t="s">
        <v>389</v>
      </c>
      <c r="BM234" t="s">
        <v>389</v>
      </c>
      <c r="BN234" t="s">
        <v>389</v>
      </c>
      <c r="BO234" t="s">
        <v>389</v>
      </c>
      <c r="BP234" t="s">
        <v>389</v>
      </c>
      <c r="BQ234" t="s">
        <v>389</v>
      </c>
      <c r="BR234" t="s">
        <v>389</v>
      </c>
      <c r="BS234" t="s">
        <v>389</v>
      </c>
      <c r="BT234" t="s">
        <v>389</v>
      </c>
      <c r="BU234" t="s">
        <v>389</v>
      </c>
      <c r="BV234" t="s">
        <v>389</v>
      </c>
      <c r="BW234" t="s">
        <v>389</v>
      </c>
      <c r="BX234" t="s">
        <v>389</v>
      </c>
      <c r="BY234" s="56">
        <v>35941.745000000003</v>
      </c>
      <c r="BZ234" s="56">
        <v>35941.745000000003</v>
      </c>
      <c r="CA234" s="56">
        <v>35941.745000000003</v>
      </c>
      <c r="CB234" s="56">
        <v>35941.745000000003</v>
      </c>
      <c r="CC234" s="56">
        <v>35941.745000000003</v>
      </c>
      <c r="CD234" s="56">
        <v>35941.745000000003</v>
      </c>
      <c r="CE234" s="56">
        <v>35941.745000000003</v>
      </c>
      <c r="CF234" s="56">
        <v>35941.745000000003</v>
      </c>
      <c r="CG234" s="56">
        <v>35941.745000000003</v>
      </c>
      <c r="CH234" s="56">
        <v>35941.745000000003</v>
      </c>
      <c r="CI234" s="56">
        <v>35941.745000000003</v>
      </c>
      <c r="CJ234" s="56">
        <v>35941.745000000003</v>
      </c>
      <c r="CK234" s="56">
        <v>35941.745000000003</v>
      </c>
    </row>
    <row r="235" spans="1:89" ht="13" x14ac:dyDescent="0.3">
      <c r="A235" s="145" t="s">
        <v>339</v>
      </c>
      <c r="B235" s="134" t="s">
        <v>341</v>
      </c>
      <c r="C235" s="135" t="s">
        <v>198</v>
      </c>
      <c r="D235" s="136">
        <v>23935</v>
      </c>
      <c r="E235" s="136">
        <v>47695</v>
      </c>
      <c r="F235" s="135" t="s">
        <v>173</v>
      </c>
      <c r="G235" s="135"/>
      <c r="H235" s="135"/>
      <c r="I235" s="137">
        <v>888</v>
      </c>
      <c r="J235" s="137">
        <v>0</v>
      </c>
      <c r="K235" s="137">
        <v>0</v>
      </c>
      <c r="L235" s="137">
        <v>1</v>
      </c>
      <c r="M235" s="137">
        <v>0</v>
      </c>
      <c r="N235" s="137">
        <v>0</v>
      </c>
      <c r="O235" s="138">
        <v>0</v>
      </c>
      <c r="P235" s="139">
        <v>0</v>
      </c>
      <c r="Q235" s="139">
        <v>1</v>
      </c>
      <c r="R235" s="139">
        <v>0</v>
      </c>
      <c r="S235" s="139">
        <v>0</v>
      </c>
      <c r="T235" s="140"/>
      <c r="U235" s="139">
        <v>0</v>
      </c>
      <c r="V235" s="141"/>
      <c r="W235" s="141">
        <v>1</v>
      </c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31"/>
      <c r="AI235" s="46"/>
      <c r="AJ235" s="27"/>
      <c r="AK235" s="27"/>
      <c r="AL235" s="27"/>
      <c r="AM235" s="27"/>
      <c r="AN235" s="27"/>
      <c r="AO235" s="27"/>
      <c r="AP235" s="27"/>
      <c r="AQ235" s="29" t="str">
        <f>IF(AND(AD235&lt;&gt;"",AF235="",AG235=""),DATE(YEAR(AD235)+Menu!$E$10,MONTH(AD235)+Menu!$E$11,1),"")</f>
        <v/>
      </c>
      <c r="AR235" s="29" t="str">
        <f t="shared" si="22"/>
        <v/>
      </c>
      <c r="AS235" s="27" t="str">
        <f>IF(AND(AR235&lt;&gt;"",AH235="",AG235=""),DATE(YEAR(AR235)+Menu!$E$13,MONTH(AR235)+Menu!$E$14,1),"")</f>
        <v/>
      </c>
      <c r="AT235" s="27"/>
      <c r="AU235" s="15" t="s">
        <v>293</v>
      </c>
      <c r="AV235" s="15" t="s">
        <v>293</v>
      </c>
      <c r="AW235" s="16" t="s">
        <v>293</v>
      </c>
      <c r="AX235" s="15" t="s">
        <v>293</v>
      </c>
      <c r="AY235" s="15" t="s">
        <v>293</v>
      </c>
      <c r="AZ235" s="16" t="s">
        <v>293</v>
      </c>
      <c r="BA235" s="16" t="s">
        <v>293</v>
      </c>
      <c r="BB235" s="16" t="s">
        <v>293</v>
      </c>
      <c r="BC235" s="16" t="s">
        <v>293</v>
      </c>
      <c r="BD235" s="16" t="s">
        <v>293</v>
      </c>
      <c r="BE235" s="16" t="s">
        <v>293</v>
      </c>
      <c r="BF235" s="16" t="s">
        <v>293</v>
      </c>
      <c r="BG235" s="16" t="s">
        <v>293</v>
      </c>
      <c r="BH235" s="16" t="s">
        <v>293</v>
      </c>
      <c r="BI235" s="16" t="s">
        <v>293</v>
      </c>
      <c r="BJ235" s="15" t="s">
        <v>293</v>
      </c>
      <c r="BK235" s="15" t="s">
        <v>388</v>
      </c>
      <c r="BL235" s="131" t="s">
        <v>389</v>
      </c>
      <c r="BM235" t="s">
        <v>389</v>
      </c>
      <c r="BN235" t="s">
        <v>389</v>
      </c>
      <c r="BO235" t="s">
        <v>389</v>
      </c>
      <c r="BP235" t="s">
        <v>389</v>
      </c>
      <c r="BQ235" t="s">
        <v>389</v>
      </c>
      <c r="BR235" t="s">
        <v>389</v>
      </c>
      <c r="BS235" t="s">
        <v>389</v>
      </c>
      <c r="BT235" t="s">
        <v>389</v>
      </c>
      <c r="BU235" t="s">
        <v>389</v>
      </c>
      <c r="BV235" t="s">
        <v>389</v>
      </c>
      <c r="BW235" t="s">
        <v>389</v>
      </c>
      <c r="BX235" t="s">
        <v>138</v>
      </c>
      <c r="BY235" s="56">
        <v>0</v>
      </c>
      <c r="BZ235" s="56">
        <v>0</v>
      </c>
      <c r="CA235" s="56">
        <v>0</v>
      </c>
      <c r="CB235" s="56">
        <v>0</v>
      </c>
      <c r="CC235" s="56">
        <v>0</v>
      </c>
      <c r="CD235" s="56">
        <v>0</v>
      </c>
      <c r="CE235" s="56">
        <v>0</v>
      </c>
      <c r="CF235" s="56">
        <v>0</v>
      </c>
      <c r="CG235" s="56">
        <v>0</v>
      </c>
      <c r="CH235" s="56">
        <v>0</v>
      </c>
      <c r="CI235" s="56">
        <v>0</v>
      </c>
      <c r="CJ235" s="56">
        <v>0</v>
      </c>
      <c r="CK235" s="35">
        <v>0</v>
      </c>
    </row>
    <row r="236" spans="1:89" ht="13" x14ac:dyDescent="0.3">
      <c r="A236" s="135" t="s">
        <v>342</v>
      </c>
      <c r="B236" s="142" t="s">
        <v>343</v>
      </c>
      <c r="C236" s="135" t="s">
        <v>198</v>
      </c>
      <c r="D236" s="136">
        <v>22845</v>
      </c>
      <c r="E236" s="136">
        <v>46599</v>
      </c>
      <c r="F236" s="135" t="s">
        <v>173</v>
      </c>
      <c r="G236" s="135"/>
      <c r="H236" s="135"/>
      <c r="I236" s="137">
        <v>1022</v>
      </c>
      <c r="J236" s="137">
        <v>0</v>
      </c>
      <c r="K236" s="137">
        <v>0</v>
      </c>
      <c r="L236" s="137">
        <v>1</v>
      </c>
      <c r="M236" s="137">
        <v>0</v>
      </c>
      <c r="N236" s="137">
        <v>0</v>
      </c>
      <c r="O236" s="138">
        <v>0</v>
      </c>
      <c r="P236" s="147">
        <v>0</v>
      </c>
      <c r="Q236" s="139">
        <v>1</v>
      </c>
      <c r="R236" s="139">
        <v>0</v>
      </c>
      <c r="S236" s="139">
        <v>0</v>
      </c>
      <c r="T236" s="140"/>
      <c r="U236" s="139">
        <f>134695*1.225</f>
        <v>165001.375</v>
      </c>
      <c r="V236" s="141">
        <v>2023</v>
      </c>
      <c r="W236" s="141">
        <v>1</v>
      </c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31"/>
      <c r="AI236" s="46" t="str">
        <f>IF(YEAR(E236)&lt;2018,YEAR(E236),"")</f>
        <v/>
      </c>
      <c r="AJ236" s="27"/>
      <c r="AK236" s="27"/>
      <c r="AL236" s="27"/>
      <c r="AM236" s="27"/>
      <c r="AN236" s="27"/>
      <c r="AO236" s="27"/>
      <c r="AP236" s="27"/>
      <c r="AQ236" s="29" t="str">
        <f>IF(AND(AD236&lt;&gt;"",AF236="",AG236=""),DATE(YEAR(AD236)+Menu!$E$10,MONTH(AD236)+Menu!$E$11,1),"")</f>
        <v/>
      </c>
      <c r="AR236" s="29" t="str">
        <f t="shared" si="22"/>
        <v/>
      </c>
      <c r="AS236" s="27" t="str">
        <f>IF(AND(AR236&lt;&gt;"",AH236="",AG236=""),DATE(YEAR(AR236)+Menu!$E$13,MONTH(AR236)+Menu!$E$14,1),"")</f>
        <v/>
      </c>
      <c r="AT236" s="27">
        <v>45046</v>
      </c>
      <c r="AU236" s="15"/>
      <c r="AV236" s="15"/>
      <c r="AW236" s="15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5"/>
      <c r="BK236" s="15" t="s">
        <v>388</v>
      </c>
      <c r="BL236" s="131" t="s">
        <v>388</v>
      </c>
      <c r="BM236" t="s">
        <v>388</v>
      </c>
      <c r="BN236" t="s">
        <v>388</v>
      </c>
      <c r="BO236" t="s">
        <v>388</v>
      </c>
      <c r="BP236" t="s">
        <v>389</v>
      </c>
      <c r="BQ236" t="s">
        <v>389</v>
      </c>
      <c r="BR236" t="s">
        <v>389</v>
      </c>
      <c r="BS236" t="s">
        <v>389</v>
      </c>
      <c r="BT236" t="s">
        <v>389</v>
      </c>
      <c r="BU236" t="s">
        <v>138</v>
      </c>
      <c r="BV236" t="s">
        <v>138</v>
      </c>
      <c r="BW236" t="s">
        <v>138</v>
      </c>
      <c r="BX236" t="s">
        <v>138</v>
      </c>
      <c r="BY236" s="56">
        <v>0</v>
      </c>
      <c r="BZ236" s="56">
        <v>0</v>
      </c>
      <c r="CA236" s="56">
        <v>0</v>
      </c>
      <c r="CB236" s="56">
        <v>0</v>
      </c>
      <c r="CC236" s="56">
        <v>165001.375</v>
      </c>
      <c r="CD236" s="56">
        <v>165001.375</v>
      </c>
      <c r="CE236" s="56">
        <v>165001.375</v>
      </c>
      <c r="CF236" s="56">
        <v>165001.375</v>
      </c>
      <c r="CG236" s="56">
        <v>96250.802083333328</v>
      </c>
      <c r="CH236" s="35">
        <v>0</v>
      </c>
      <c r="CI236" s="56">
        <v>0</v>
      </c>
      <c r="CJ236" s="56">
        <v>0</v>
      </c>
      <c r="CK236" s="56">
        <v>0</v>
      </c>
    </row>
    <row r="237" spans="1:89" ht="13" x14ac:dyDescent="0.3">
      <c r="A237" s="135" t="s">
        <v>344</v>
      </c>
      <c r="B237" s="142" t="s">
        <v>345</v>
      </c>
      <c r="C237" s="135" t="s">
        <v>198</v>
      </c>
      <c r="D237" s="136">
        <v>22996</v>
      </c>
      <c r="E237" s="136">
        <v>46752</v>
      </c>
      <c r="F237" s="135" t="s">
        <v>173</v>
      </c>
      <c r="G237" s="135"/>
      <c r="H237" s="135"/>
      <c r="I237" s="137">
        <v>1022</v>
      </c>
      <c r="J237" s="137">
        <v>0</v>
      </c>
      <c r="K237" s="137">
        <v>0</v>
      </c>
      <c r="L237" s="137">
        <v>1</v>
      </c>
      <c r="M237" s="137">
        <v>0</v>
      </c>
      <c r="N237" s="137">
        <v>0</v>
      </c>
      <c r="O237" s="138">
        <v>0</v>
      </c>
      <c r="P237" s="147">
        <v>0</v>
      </c>
      <c r="Q237" s="139">
        <v>1</v>
      </c>
      <c r="R237" s="139">
        <v>0</v>
      </c>
      <c r="S237" s="139">
        <v>0</v>
      </c>
      <c r="T237" s="140"/>
      <c r="U237" s="139">
        <f>147129*1.225</f>
        <v>180233.02500000002</v>
      </c>
      <c r="V237" s="141">
        <v>2023</v>
      </c>
      <c r="W237" s="141">
        <v>1</v>
      </c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31"/>
      <c r="AI237" s="46" t="str">
        <f>IF(YEAR(E237)&lt;2018,YEAR(E237),"")</f>
        <v/>
      </c>
      <c r="AJ237" s="27"/>
      <c r="AK237" s="27"/>
      <c r="AL237" s="27"/>
      <c r="AM237" s="27"/>
      <c r="AN237" s="27"/>
      <c r="AO237" s="27"/>
      <c r="AP237" s="27"/>
      <c r="AQ237" s="29" t="str">
        <f>IF(AND(AD237&lt;&gt;"",AF237="",AG237=""),DATE(YEAR(AD237)+Menu!$E$10,MONTH(AD237)+Menu!$E$11,1),"")</f>
        <v/>
      </c>
      <c r="AR237" s="29" t="str">
        <f t="shared" si="22"/>
        <v/>
      </c>
      <c r="AS237" s="27" t="str">
        <f>IF(AND(AR237&lt;&gt;"",AH237="",AG237=""),DATE(YEAR(AR237)+Menu!$E$13,MONTH(AR237)+Menu!$E$14,1),"")</f>
        <v/>
      </c>
      <c r="AT237" s="27">
        <v>45046</v>
      </c>
      <c r="AU237" s="15"/>
      <c r="AV237" s="15"/>
      <c r="AW237" s="15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5"/>
      <c r="BK237" s="15" t="s">
        <v>388</v>
      </c>
      <c r="BL237" s="131" t="s">
        <v>388</v>
      </c>
      <c r="BM237" t="s">
        <v>388</v>
      </c>
      <c r="BN237" t="s">
        <v>388</v>
      </c>
      <c r="BO237" t="s">
        <v>388</v>
      </c>
      <c r="BP237" t="s">
        <v>389</v>
      </c>
      <c r="BQ237" t="s">
        <v>389</v>
      </c>
      <c r="BR237" t="s">
        <v>389</v>
      </c>
      <c r="BS237" t="s">
        <v>389</v>
      </c>
      <c r="BT237" t="s">
        <v>389</v>
      </c>
      <c r="BU237" t="s">
        <v>138</v>
      </c>
      <c r="BV237" t="s">
        <v>138</v>
      </c>
      <c r="BW237" t="s">
        <v>138</v>
      </c>
      <c r="BX237" t="s">
        <v>138</v>
      </c>
      <c r="BY237" s="56">
        <v>0</v>
      </c>
      <c r="BZ237" s="56">
        <v>0</v>
      </c>
      <c r="CA237" s="56">
        <v>0</v>
      </c>
      <c r="CB237" s="56">
        <v>0</v>
      </c>
      <c r="CC237" s="56">
        <v>180233.02500000002</v>
      </c>
      <c r="CD237" s="56">
        <v>180233.02500000002</v>
      </c>
      <c r="CE237" s="56">
        <v>180233.02500000002</v>
      </c>
      <c r="CF237" s="56">
        <v>180233.02500000002</v>
      </c>
      <c r="CG237" s="56">
        <v>180233.02500000002</v>
      </c>
      <c r="CH237" s="56">
        <v>0</v>
      </c>
      <c r="CI237" s="35">
        <v>0</v>
      </c>
      <c r="CJ237" s="56">
        <v>0</v>
      </c>
      <c r="CK237" s="56">
        <v>0</v>
      </c>
    </row>
    <row r="238" spans="1:89" ht="13" x14ac:dyDescent="0.3">
      <c r="A238" s="135" t="s">
        <v>346</v>
      </c>
      <c r="B238" s="142" t="s">
        <v>347</v>
      </c>
      <c r="C238" s="135" t="s">
        <v>198</v>
      </c>
      <c r="D238" s="136">
        <v>25730</v>
      </c>
      <c r="E238" s="136">
        <v>49490</v>
      </c>
      <c r="F238" s="135" t="s">
        <v>173</v>
      </c>
      <c r="G238" s="135"/>
      <c r="H238" s="135"/>
      <c r="I238" s="137">
        <v>1024</v>
      </c>
      <c r="J238" s="137">
        <v>0</v>
      </c>
      <c r="K238" s="137">
        <v>0</v>
      </c>
      <c r="L238" s="137">
        <v>1</v>
      </c>
      <c r="M238" s="137">
        <v>0</v>
      </c>
      <c r="N238" s="137">
        <v>0</v>
      </c>
      <c r="O238" s="138">
        <v>0</v>
      </c>
      <c r="P238" s="147">
        <v>0</v>
      </c>
      <c r="Q238" s="139">
        <v>1</v>
      </c>
      <c r="R238" s="139">
        <v>0</v>
      </c>
      <c r="S238" s="139">
        <v>0</v>
      </c>
      <c r="T238" s="140"/>
      <c r="U238" s="139">
        <f>126321*1.225</f>
        <v>154743.22500000001</v>
      </c>
      <c r="V238" s="141">
        <v>2023</v>
      </c>
      <c r="W238" s="141">
        <v>1</v>
      </c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31"/>
      <c r="AI238" s="46"/>
      <c r="AJ238" s="27"/>
      <c r="AK238" s="27"/>
      <c r="AL238" s="27"/>
      <c r="AM238" s="27"/>
      <c r="AN238" s="27"/>
      <c r="AO238" s="27"/>
      <c r="AP238" s="27"/>
      <c r="AQ238" s="29" t="str">
        <f>IF(AND(AD238&lt;&gt;"",AF238="",AG238=""),DATE(YEAR(AD238)+Menu!$E$10,MONTH(AD238)+Menu!$E$11,1),"")</f>
        <v/>
      </c>
      <c r="AR238" s="29" t="str">
        <f t="shared" si="22"/>
        <v/>
      </c>
      <c r="AS238" s="27" t="str">
        <f>IF(AND(AR238&lt;&gt;"",AH238="",AG238=""),DATE(YEAR(AR238)+Menu!$E$13,MONTH(AR238)+Menu!$E$14,1),"")</f>
        <v/>
      </c>
      <c r="AT238" s="27">
        <v>45077</v>
      </c>
      <c r="AU238" s="15"/>
      <c r="AV238" s="15"/>
      <c r="AW238" s="15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5"/>
      <c r="BK238" s="15" t="s">
        <v>388</v>
      </c>
      <c r="BL238" s="131" t="s">
        <v>388</v>
      </c>
      <c r="BM238" t="s">
        <v>388</v>
      </c>
      <c r="BN238" t="s">
        <v>388</v>
      </c>
      <c r="BO238" t="s">
        <v>388</v>
      </c>
      <c r="BP238" t="s">
        <v>389</v>
      </c>
      <c r="BQ238" t="s">
        <v>389</v>
      </c>
      <c r="BR238" t="s">
        <v>389</v>
      </c>
      <c r="BS238" t="s">
        <v>389</v>
      </c>
      <c r="BT238" t="s">
        <v>389</v>
      </c>
      <c r="BU238" t="s">
        <v>389</v>
      </c>
      <c r="BV238" t="s">
        <v>389</v>
      </c>
      <c r="BW238" t="s">
        <v>389</v>
      </c>
      <c r="BX238" t="s">
        <v>389</v>
      </c>
      <c r="BY238" s="56">
        <v>0</v>
      </c>
      <c r="BZ238" s="56">
        <v>0</v>
      </c>
      <c r="CA238" s="56">
        <v>0</v>
      </c>
      <c r="CB238" s="56">
        <v>0</v>
      </c>
      <c r="CC238" s="56">
        <v>154743.22500000001</v>
      </c>
      <c r="CD238" s="56">
        <v>154743.22500000001</v>
      </c>
      <c r="CE238" s="56">
        <v>154743.22500000001</v>
      </c>
      <c r="CF238" s="56">
        <v>154743.22500000001</v>
      </c>
      <c r="CG238" s="56">
        <v>154743.22500000001</v>
      </c>
      <c r="CH238" s="56">
        <v>154743.22500000001</v>
      </c>
      <c r="CI238" s="56">
        <v>154743.22500000001</v>
      </c>
      <c r="CJ238" s="56">
        <v>154743.22500000001</v>
      </c>
      <c r="CK238" s="56">
        <v>154743.22500000001</v>
      </c>
    </row>
    <row r="239" spans="1:89" ht="13" x14ac:dyDescent="0.3">
      <c r="A239" s="135" t="s">
        <v>348</v>
      </c>
      <c r="B239" s="134" t="s">
        <v>349</v>
      </c>
      <c r="C239" s="135" t="s">
        <v>198</v>
      </c>
      <c r="D239" s="136">
        <v>24908</v>
      </c>
      <c r="E239" s="136">
        <v>48669</v>
      </c>
      <c r="F239" s="135" t="s">
        <v>173</v>
      </c>
      <c r="G239" s="135"/>
      <c r="H239" s="135"/>
      <c r="I239" s="137">
        <v>1032</v>
      </c>
      <c r="J239" s="137">
        <v>0</v>
      </c>
      <c r="K239" s="137">
        <v>0</v>
      </c>
      <c r="L239" s="137">
        <v>1</v>
      </c>
      <c r="M239" s="137">
        <v>0</v>
      </c>
      <c r="N239" s="137">
        <v>1</v>
      </c>
      <c r="O239" s="138">
        <v>0</v>
      </c>
      <c r="P239" s="147">
        <v>0</v>
      </c>
      <c r="Q239" s="139">
        <v>1</v>
      </c>
      <c r="R239" s="139">
        <v>0</v>
      </c>
      <c r="S239" s="139">
        <v>0</v>
      </c>
      <c r="T239" s="140"/>
      <c r="U239" s="139">
        <f>138406*1.225</f>
        <v>169547.35</v>
      </c>
      <c r="V239" s="141">
        <v>2023</v>
      </c>
      <c r="W239" s="141">
        <v>1</v>
      </c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31"/>
      <c r="AI239" s="46"/>
      <c r="AJ239" s="27"/>
      <c r="AK239" s="27"/>
      <c r="AL239" s="27"/>
      <c r="AM239" s="27"/>
      <c r="AN239" s="27"/>
      <c r="AO239" s="27"/>
      <c r="AP239" s="27"/>
      <c r="AQ239" s="29" t="str">
        <f>IF(AND(AD239&lt;&gt;"",AF239="",AG239=""),DATE(YEAR(AD239)+Menu!$E$10,MONTH(AD239)+Menu!$E$11,1),"")</f>
        <v/>
      </c>
      <c r="AR239" s="29" t="str">
        <f t="shared" si="22"/>
        <v/>
      </c>
      <c r="AS239" s="27" t="str">
        <f>IF(AND(AR239&lt;&gt;"",AH239="",AG239=""),DATE(YEAR(AR239)+Menu!$E$13,MONTH(AR239)+Menu!$E$14,1),"")</f>
        <v/>
      </c>
      <c r="AT239" s="27">
        <v>44957</v>
      </c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5"/>
      <c r="BK239" s="15" t="s">
        <v>388</v>
      </c>
      <c r="BL239" s="131" t="s">
        <v>388</v>
      </c>
      <c r="BM239" t="s">
        <v>388</v>
      </c>
      <c r="BN239" t="s">
        <v>388</v>
      </c>
      <c r="BO239" t="s">
        <v>388</v>
      </c>
      <c r="BP239" t="s">
        <v>389</v>
      </c>
      <c r="BQ239" t="s">
        <v>389</v>
      </c>
      <c r="BR239" t="s">
        <v>389</v>
      </c>
      <c r="BS239" t="s">
        <v>389</v>
      </c>
      <c r="BT239" t="s">
        <v>389</v>
      </c>
      <c r="BU239" t="s">
        <v>389</v>
      </c>
      <c r="BV239" t="s">
        <v>389</v>
      </c>
      <c r="BW239" t="s">
        <v>389</v>
      </c>
      <c r="BX239" t="s">
        <v>389</v>
      </c>
      <c r="BY239" s="56">
        <v>0</v>
      </c>
      <c r="BZ239" s="56">
        <v>0</v>
      </c>
      <c r="CA239" s="56">
        <v>0</v>
      </c>
      <c r="CB239" s="56">
        <v>0</v>
      </c>
      <c r="CC239" s="56">
        <v>169547.35</v>
      </c>
      <c r="CD239" s="56">
        <v>169547.35</v>
      </c>
      <c r="CE239" s="56">
        <v>169547.35</v>
      </c>
      <c r="CF239" s="56">
        <v>169547.35</v>
      </c>
      <c r="CG239" s="56">
        <v>169547.35</v>
      </c>
      <c r="CH239" s="56">
        <v>169547.35</v>
      </c>
      <c r="CI239" s="56">
        <v>169547.35</v>
      </c>
      <c r="CJ239" s="56">
        <v>169547.35</v>
      </c>
      <c r="CK239" s="56">
        <v>169547.35</v>
      </c>
    </row>
    <row r="240" spans="1:89" ht="13" x14ac:dyDescent="0.3">
      <c r="A240" s="135" t="s">
        <v>350</v>
      </c>
      <c r="B240" s="134" t="s">
        <v>351</v>
      </c>
      <c r="C240" s="135" t="s">
        <v>198</v>
      </c>
      <c r="D240" s="136">
        <v>22396</v>
      </c>
      <c r="E240" s="136">
        <v>46142</v>
      </c>
      <c r="F240" s="135" t="s">
        <v>173</v>
      </c>
      <c r="G240" s="135"/>
      <c r="H240" s="135"/>
      <c r="I240" s="137">
        <v>1032</v>
      </c>
      <c r="J240" s="137">
        <v>0</v>
      </c>
      <c r="K240" s="137">
        <v>0</v>
      </c>
      <c r="L240" s="137">
        <v>1</v>
      </c>
      <c r="M240" s="137">
        <v>0</v>
      </c>
      <c r="N240" s="137">
        <v>1</v>
      </c>
      <c r="O240" s="138">
        <v>0</v>
      </c>
      <c r="P240" s="147">
        <v>0</v>
      </c>
      <c r="Q240" s="139">
        <v>1</v>
      </c>
      <c r="R240" s="139">
        <v>0</v>
      </c>
      <c r="S240" s="139">
        <v>0</v>
      </c>
      <c r="T240" s="140"/>
      <c r="U240" s="139">
        <v>0</v>
      </c>
      <c r="V240" s="141"/>
      <c r="W240" s="141">
        <v>0</v>
      </c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31"/>
      <c r="AI240" s="46">
        <v>2019</v>
      </c>
      <c r="AJ240" s="27"/>
      <c r="AK240" s="27"/>
      <c r="AL240" s="27"/>
      <c r="AM240" s="27"/>
      <c r="AN240" s="27"/>
      <c r="AO240" s="27"/>
      <c r="AP240" s="27"/>
      <c r="AQ240" s="29" t="str">
        <f>IF(AND(AD240&lt;&gt;"",AF240="",AG240=""),DATE(YEAR(AD240)+Menu!$E$10,MONTH(AD240)+Menu!$E$11,1),"")</f>
        <v/>
      </c>
      <c r="AR240" s="29" t="str">
        <f t="shared" si="22"/>
        <v/>
      </c>
      <c r="AS240" s="27" t="str">
        <f>IF(AND(AR240&lt;&gt;"",AH240="",AG240=""),DATE(YEAR(AR240)+Menu!$E$13,MONTH(AR240)+Menu!$E$14,1),"")</f>
        <v/>
      </c>
      <c r="AT240" s="27">
        <v>44957</v>
      </c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5"/>
      <c r="BK240" s="15" t="s">
        <v>388</v>
      </c>
      <c r="BL240" s="131"/>
      <c r="BY240" s="56">
        <v>0</v>
      </c>
      <c r="BZ240" s="56"/>
      <c r="CA240" s="56"/>
      <c r="CB240" s="56"/>
      <c r="CC240" s="56"/>
      <c r="CD240" s="56"/>
      <c r="CE240" s="56"/>
      <c r="CF240" s="56"/>
      <c r="CG240" s="35"/>
      <c r="CH240" s="56"/>
      <c r="CI240" s="56"/>
      <c r="CJ240" s="56"/>
      <c r="CK240" s="56"/>
    </row>
    <row r="241" spans="1:89" ht="13" x14ac:dyDescent="0.3">
      <c r="A241" s="135" t="s">
        <v>352</v>
      </c>
      <c r="B241" s="134" t="s">
        <v>353</v>
      </c>
      <c r="C241" s="135" t="s">
        <v>198</v>
      </c>
      <c r="D241" s="136">
        <v>23641</v>
      </c>
      <c r="E241" s="136">
        <v>47391</v>
      </c>
      <c r="F241" s="135" t="s">
        <v>173</v>
      </c>
      <c r="G241" s="135"/>
      <c r="H241" s="135"/>
      <c r="I241" s="137">
        <v>1034</v>
      </c>
      <c r="J241" s="137">
        <v>0</v>
      </c>
      <c r="K241" s="137">
        <v>0</v>
      </c>
      <c r="L241" s="137">
        <v>1</v>
      </c>
      <c r="M241" s="137">
        <v>0</v>
      </c>
      <c r="N241" s="137">
        <v>0</v>
      </c>
      <c r="O241" s="138">
        <v>0</v>
      </c>
      <c r="P241" s="138">
        <v>0</v>
      </c>
      <c r="Q241" s="139">
        <v>1</v>
      </c>
      <c r="R241" s="139">
        <v>0</v>
      </c>
      <c r="S241" s="139">
        <v>0</v>
      </c>
      <c r="T241" s="140"/>
      <c r="U241" s="139">
        <f>133522*1.225</f>
        <v>163564.45000000001</v>
      </c>
      <c r="V241" s="141">
        <v>2024</v>
      </c>
      <c r="W241" s="141">
        <v>1</v>
      </c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31"/>
      <c r="AI241" s="46"/>
      <c r="AJ241" s="27"/>
      <c r="AK241" s="27"/>
      <c r="AL241" s="27"/>
      <c r="AM241" s="27"/>
      <c r="AN241" s="27"/>
      <c r="AO241" s="27"/>
      <c r="AP241" s="27"/>
      <c r="AQ241" s="29" t="str">
        <f>IF(AND(AD241&lt;&gt;"",AF241="",AG241=""),DATE(YEAR(AD241)+Menu!$E$10,MONTH(AD241)+Menu!$E$11,1),"")</f>
        <v/>
      </c>
      <c r="AR241" s="29" t="str">
        <f t="shared" si="22"/>
        <v/>
      </c>
      <c r="AS241" s="27" t="str">
        <f>IF(AND(AR241&lt;&gt;"",AH241="",AG241=""),DATE(YEAR(AR241)+Menu!$E$13,MONTH(AR241)+Menu!$E$14,1),"")</f>
        <v/>
      </c>
      <c r="AT241" s="27">
        <v>45412</v>
      </c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5"/>
      <c r="BK241" s="15" t="s">
        <v>388</v>
      </c>
      <c r="BL241" s="131" t="s">
        <v>388</v>
      </c>
      <c r="BM241" t="s">
        <v>388</v>
      </c>
      <c r="BN241" t="s">
        <v>388</v>
      </c>
      <c r="BO241" t="s">
        <v>388</v>
      </c>
      <c r="BP241" t="s">
        <v>388</v>
      </c>
      <c r="BQ241" t="s">
        <v>389</v>
      </c>
      <c r="BR241" t="s">
        <v>389</v>
      </c>
      <c r="BS241" t="s">
        <v>389</v>
      </c>
      <c r="BT241" t="s">
        <v>389</v>
      </c>
      <c r="BU241" t="s">
        <v>389</v>
      </c>
      <c r="BV241" t="s">
        <v>389</v>
      </c>
      <c r="BW241" t="s">
        <v>138</v>
      </c>
      <c r="BX241" t="s">
        <v>138</v>
      </c>
      <c r="BY241" s="39">
        <v>0</v>
      </c>
      <c r="BZ241" s="56">
        <v>0</v>
      </c>
      <c r="CA241" s="56">
        <v>0</v>
      </c>
      <c r="CB241" s="56">
        <v>0</v>
      </c>
      <c r="CC241" s="56">
        <v>0</v>
      </c>
      <c r="CD241" s="56">
        <v>163564.45000000001</v>
      </c>
      <c r="CE241" s="56">
        <v>163564.45000000001</v>
      </c>
      <c r="CF241" s="56">
        <v>163564.45000000001</v>
      </c>
      <c r="CG241" s="56">
        <v>163564.45000000001</v>
      </c>
      <c r="CH241" s="56">
        <v>163564.45000000001</v>
      </c>
      <c r="CI241" s="56">
        <v>122673.33750000001</v>
      </c>
      <c r="CJ241" s="35">
        <v>0</v>
      </c>
      <c r="CK241" s="56">
        <v>0</v>
      </c>
    </row>
    <row r="242" spans="1:89" ht="13" x14ac:dyDescent="0.3">
      <c r="A242" s="135" t="s">
        <v>354</v>
      </c>
      <c r="B242" s="134" t="s">
        <v>355</v>
      </c>
      <c r="C242" s="135" t="s">
        <v>198</v>
      </c>
      <c r="D242" s="136">
        <v>24646</v>
      </c>
      <c r="E242" s="136">
        <v>48395</v>
      </c>
      <c r="F242" s="135" t="s">
        <v>173</v>
      </c>
      <c r="G242" s="135"/>
      <c r="H242" s="135"/>
      <c r="I242" s="137">
        <v>1034</v>
      </c>
      <c r="J242" s="137">
        <v>0</v>
      </c>
      <c r="K242" s="137">
        <v>0</v>
      </c>
      <c r="L242" s="137">
        <v>1</v>
      </c>
      <c r="M242" s="137">
        <v>0</v>
      </c>
      <c r="N242" s="137">
        <v>0</v>
      </c>
      <c r="O242" s="138">
        <v>0</v>
      </c>
      <c r="P242" s="138">
        <v>0</v>
      </c>
      <c r="Q242" s="139">
        <v>1</v>
      </c>
      <c r="R242" s="139">
        <v>0</v>
      </c>
      <c r="S242" s="139">
        <v>0</v>
      </c>
      <c r="T242" s="140"/>
      <c r="U242" s="139">
        <f>131071*1.225</f>
        <v>160561.97500000001</v>
      </c>
      <c r="V242" s="141">
        <v>2024</v>
      </c>
      <c r="W242" s="141">
        <v>1</v>
      </c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31"/>
      <c r="AI242" s="46"/>
      <c r="AJ242" s="27"/>
      <c r="AK242" s="27"/>
      <c r="AL242" s="27"/>
      <c r="AM242" s="27"/>
      <c r="AN242" s="27"/>
      <c r="AO242" s="27"/>
      <c r="AP242" s="27"/>
      <c r="AQ242" s="29" t="str">
        <f>IF(AND(AD242&lt;&gt;"",AF242="",AG242=""),DATE(YEAR(AD242)+Menu!$E$10,MONTH(AD242)+Menu!$E$11,1),"")</f>
        <v/>
      </c>
      <c r="AR242" s="29" t="str">
        <f t="shared" si="22"/>
        <v/>
      </c>
      <c r="AS242" s="27" t="str">
        <f>IF(AND(AR242&lt;&gt;"",AH242="",AG242=""),DATE(YEAR(AR242)+Menu!$E$13,MONTH(AR242)+Menu!$E$14,1),"")</f>
        <v/>
      </c>
      <c r="AT242" s="27">
        <v>45412</v>
      </c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5"/>
      <c r="BK242" s="15" t="s">
        <v>388</v>
      </c>
      <c r="BL242" s="131" t="s">
        <v>388</v>
      </c>
      <c r="BM242" t="s">
        <v>388</v>
      </c>
      <c r="BN242" t="s">
        <v>388</v>
      </c>
      <c r="BO242" t="s">
        <v>388</v>
      </c>
      <c r="BP242" t="s">
        <v>388</v>
      </c>
      <c r="BQ242" t="s">
        <v>389</v>
      </c>
      <c r="BR242" t="s">
        <v>389</v>
      </c>
      <c r="BS242" t="s">
        <v>389</v>
      </c>
      <c r="BT242" t="s">
        <v>389</v>
      </c>
      <c r="BU242" t="s">
        <v>389</v>
      </c>
      <c r="BV242" t="s">
        <v>389</v>
      </c>
      <c r="BW242" t="s">
        <v>389</v>
      </c>
      <c r="BX242" t="s">
        <v>389</v>
      </c>
      <c r="BY242" s="39">
        <v>0</v>
      </c>
      <c r="BZ242" s="56">
        <v>0</v>
      </c>
      <c r="CA242" s="56">
        <v>0</v>
      </c>
      <c r="CB242" s="56">
        <v>0</v>
      </c>
      <c r="CC242" s="56">
        <v>0</v>
      </c>
      <c r="CD242" s="56">
        <v>160561.97500000001</v>
      </c>
      <c r="CE242" s="56">
        <v>160561.97500000001</v>
      </c>
      <c r="CF242" s="56">
        <v>160561.97500000001</v>
      </c>
      <c r="CG242" s="56">
        <v>160561.97500000001</v>
      </c>
      <c r="CH242" s="56">
        <v>160561.97500000001</v>
      </c>
      <c r="CI242" s="56">
        <v>160561.97500000001</v>
      </c>
      <c r="CJ242" s="56">
        <v>160561.97500000001</v>
      </c>
      <c r="CK242" s="56">
        <v>160561.97500000001</v>
      </c>
    </row>
    <row r="243" spans="1:89" ht="13" x14ac:dyDescent="0.3">
      <c r="A243" s="135" t="s">
        <v>356</v>
      </c>
      <c r="B243" s="134" t="s">
        <v>357</v>
      </c>
      <c r="C243" s="135" t="s">
        <v>198</v>
      </c>
      <c r="D243" s="136">
        <v>23732</v>
      </c>
      <c r="E243" s="136">
        <v>47483</v>
      </c>
      <c r="F243" s="135" t="s">
        <v>173</v>
      </c>
      <c r="G243" s="135"/>
      <c r="H243" s="135"/>
      <c r="I243" s="137">
        <v>1034</v>
      </c>
      <c r="J243" s="137">
        <v>0</v>
      </c>
      <c r="K243" s="137">
        <v>0</v>
      </c>
      <c r="L243" s="137">
        <v>1</v>
      </c>
      <c r="M243" s="137">
        <v>0</v>
      </c>
      <c r="N243" s="137">
        <v>0</v>
      </c>
      <c r="O243" s="138">
        <v>0</v>
      </c>
      <c r="P243" s="138">
        <v>0</v>
      </c>
      <c r="Q243" s="139">
        <v>1</v>
      </c>
      <c r="R243" s="139">
        <v>0</v>
      </c>
      <c r="S243" s="139">
        <v>0</v>
      </c>
      <c r="T243" s="140"/>
      <c r="U243" s="139">
        <f>135766*1.225</f>
        <v>166313.35</v>
      </c>
      <c r="V243" s="141">
        <v>2024</v>
      </c>
      <c r="W243" s="141">
        <v>1</v>
      </c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31"/>
      <c r="AI243" s="46"/>
      <c r="AJ243" s="27"/>
      <c r="AK243" s="27"/>
      <c r="AL243" s="27"/>
      <c r="AM243" s="27"/>
      <c r="AN243" s="27"/>
      <c r="AO243" s="27"/>
      <c r="AP243" s="27"/>
      <c r="AQ243" s="29" t="str">
        <f>IF(AND(AD243&lt;&gt;"",AF243="",AG243=""),DATE(YEAR(AD243)+Menu!$E$10,MONTH(AD243)+Menu!$E$11,1),"")</f>
        <v/>
      </c>
      <c r="AR243" s="29" t="str">
        <f t="shared" si="22"/>
        <v/>
      </c>
      <c r="AS243" s="27" t="str">
        <f>IF(AND(AR243&lt;&gt;"",AH243="",AG243=""),DATE(YEAR(AR243)+Menu!$E$13,MONTH(AR243)+Menu!$E$14,1),"")</f>
        <v/>
      </c>
      <c r="AT243" s="27">
        <v>45412</v>
      </c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5"/>
      <c r="BK243" s="15" t="s">
        <v>388</v>
      </c>
      <c r="BL243" s="131" t="s">
        <v>388</v>
      </c>
      <c r="BM243" t="s">
        <v>388</v>
      </c>
      <c r="BN243" t="s">
        <v>388</v>
      </c>
      <c r="BO243" t="s">
        <v>388</v>
      </c>
      <c r="BP243" t="s">
        <v>388</v>
      </c>
      <c r="BQ243" t="s">
        <v>389</v>
      </c>
      <c r="BR243" t="s">
        <v>389</v>
      </c>
      <c r="BS243" t="s">
        <v>389</v>
      </c>
      <c r="BT243" t="s">
        <v>389</v>
      </c>
      <c r="BU243" t="s">
        <v>389</v>
      </c>
      <c r="BV243" t="s">
        <v>389</v>
      </c>
      <c r="BW243" t="s">
        <v>138</v>
      </c>
      <c r="BX243" t="s">
        <v>138</v>
      </c>
      <c r="BY243" s="39">
        <v>0</v>
      </c>
      <c r="BZ243" s="56">
        <v>0</v>
      </c>
      <c r="CA243" s="56">
        <v>0</v>
      </c>
      <c r="CB243" s="56">
        <v>0</v>
      </c>
      <c r="CC243" s="56">
        <v>0</v>
      </c>
      <c r="CD243" s="56">
        <v>166313.35</v>
      </c>
      <c r="CE243" s="56">
        <v>166313.35</v>
      </c>
      <c r="CF243" s="56">
        <v>166313.35</v>
      </c>
      <c r="CG243" s="56">
        <v>166313.35</v>
      </c>
      <c r="CH243" s="56">
        <v>166313.35</v>
      </c>
      <c r="CI243" s="56">
        <v>166313.35</v>
      </c>
      <c r="CJ243" s="56">
        <v>0</v>
      </c>
      <c r="CK243" s="35">
        <v>0</v>
      </c>
    </row>
    <row r="244" spans="1:89" ht="13" x14ac:dyDescent="0.3">
      <c r="A244" s="135" t="s">
        <v>358</v>
      </c>
      <c r="B244" s="134" t="s">
        <v>359</v>
      </c>
      <c r="C244" s="135" t="s">
        <v>198</v>
      </c>
      <c r="D244" s="136">
        <v>22687</v>
      </c>
      <c r="E244" s="136">
        <v>46446</v>
      </c>
      <c r="F244" s="135" t="s">
        <v>173</v>
      </c>
      <c r="G244" s="135"/>
      <c r="H244" s="135"/>
      <c r="I244" s="137">
        <v>387</v>
      </c>
      <c r="J244" s="137">
        <v>0</v>
      </c>
      <c r="K244" s="137">
        <v>0</v>
      </c>
      <c r="L244" s="137">
        <v>1</v>
      </c>
      <c r="M244" s="137">
        <v>0</v>
      </c>
      <c r="N244" s="137">
        <v>0</v>
      </c>
      <c r="O244" s="138">
        <v>0</v>
      </c>
      <c r="P244" s="139">
        <f>111899*1.225*W244</f>
        <v>109661.02000000002</v>
      </c>
      <c r="Q244" s="139">
        <v>1</v>
      </c>
      <c r="R244" s="139">
        <v>0</v>
      </c>
      <c r="S244" s="139">
        <v>0</v>
      </c>
      <c r="T244" s="140"/>
      <c r="U244" s="139">
        <v>0</v>
      </c>
      <c r="V244" s="141"/>
      <c r="W244" s="141">
        <v>0.8</v>
      </c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31"/>
      <c r="AI244" s="46"/>
      <c r="AJ244" s="27"/>
      <c r="AK244" s="27"/>
      <c r="AL244" s="27"/>
      <c r="AM244" s="27"/>
      <c r="AN244" s="27"/>
      <c r="AO244" s="27"/>
      <c r="AP244" s="27"/>
      <c r="AQ244" s="29" t="str">
        <f>IF(AND(AD244&lt;&gt;"",AF244="",AG244=""),DATE(YEAR(AD244)+Menu!$E$10,MONTH(AD244)+Menu!$E$11,1),"")</f>
        <v/>
      </c>
      <c r="AR244" s="29" t="str">
        <f t="shared" si="22"/>
        <v/>
      </c>
      <c r="AS244" s="27" t="str">
        <f>IF(AND(AR244&lt;&gt;"",AH244="",AG244=""),DATE(YEAR(AR244)+Menu!$E$13,MONTH(AR244)+Menu!$E$14,1),"")</f>
        <v/>
      </c>
      <c r="AT244" s="27">
        <v>43373</v>
      </c>
      <c r="AU244" s="15"/>
      <c r="AV244" s="15"/>
      <c r="AW244" s="16"/>
      <c r="AX244" s="15"/>
      <c r="AY244" s="15"/>
      <c r="AZ244" s="15"/>
      <c r="BA244" s="15"/>
      <c r="BB244" s="16"/>
      <c r="BC244" s="16"/>
      <c r="BD244" s="16"/>
      <c r="BE244" s="16"/>
      <c r="BF244" s="16"/>
      <c r="BG244" s="16"/>
      <c r="BH244" s="16"/>
      <c r="BI244" s="16"/>
      <c r="BJ244" s="15"/>
      <c r="BK244" s="15" t="s">
        <v>389</v>
      </c>
      <c r="BL244" s="131" t="s">
        <v>389</v>
      </c>
      <c r="BM244" t="s">
        <v>389</v>
      </c>
      <c r="BN244" t="s">
        <v>389</v>
      </c>
      <c r="BO244" t="s">
        <v>389</v>
      </c>
      <c r="BP244" t="s">
        <v>389</v>
      </c>
      <c r="BQ244" t="s">
        <v>389</v>
      </c>
      <c r="BR244" t="s">
        <v>389</v>
      </c>
      <c r="BS244" t="s">
        <v>389</v>
      </c>
      <c r="BT244" t="s">
        <v>389</v>
      </c>
      <c r="BU244" t="s">
        <v>138</v>
      </c>
      <c r="BV244" t="s">
        <v>138</v>
      </c>
      <c r="BW244" t="s">
        <v>138</v>
      </c>
      <c r="BX244" t="s">
        <v>138</v>
      </c>
      <c r="BY244" s="56">
        <v>109661.02000000002</v>
      </c>
      <c r="BZ244" s="56">
        <v>109661.02000000002</v>
      </c>
      <c r="CA244" s="56">
        <v>109661.02000000002</v>
      </c>
      <c r="CB244" s="56">
        <v>109661.02000000002</v>
      </c>
      <c r="CC244" s="56">
        <v>109661.02000000002</v>
      </c>
      <c r="CD244" s="56">
        <v>109661.02000000002</v>
      </c>
      <c r="CE244" s="56">
        <v>109661.02000000002</v>
      </c>
      <c r="CF244" s="56">
        <v>109661.02000000002</v>
      </c>
      <c r="CG244" s="56">
        <v>18276.83666666667</v>
      </c>
      <c r="CH244" s="56">
        <v>0</v>
      </c>
      <c r="CI244" s="56">
        <v>0</v>
      </c>
      <c r="CJ244" s="56">
        <v>0</v>
      </c>
      <c r="CK244" s="56">
        <v>0</v>
      </c>
    </row>
    <row r="245" spans="1:89" ht="13" x14ac:dyDescent="0.3">
      <c r="A245" s="135" t="s">
        <v>360</v>
      </c>
      <c r="B245" s="134" t="s">
        <v>361</v>
      </c>
      <c r="C245" s="135" t="s">
        <v>198</v>
      </c>
      <c r="D245" s="136">
        <v>24190</v>
      </c>
      <c r="E245" s="136">
        <v>47573</v>
      </c>
      <c r="F245" s="135" t="s">
        <v>172</v>
      </c>
      <c r="G245" s="135"/>
      <c r="H245" s="135"/>
      <c r="I245" s="137">
        <v>1020</v>
      </c>
      <c r="J245" s="137">
        <v>0</v>
      </c>
      <c r="K245" s="137">
        <v>0</v>
      </c>
      <c r="L245" s="137">
        <v>1</v>
      </c>
      <c r="M245" s="137">
        <v>0</v>
      </c>
      <c r="N245" s="137">
        <v>0</v>
      </c>
      <c r="O245" s="138">
        <v>0</v>
      </c>
      <c r="P245" s="139">
        <f>100006*1.225*W245</f>
        <v>49002.94</v>
      </c>
      <c r="Q245" s="139">
        <v>1</v>
      </c>
      <c r="R245" s="139">
        <v>0</v>
      </c>
      <c r="S245" s="139">
        <v>0</v>
      </c>
      <c r="T245" s="140"/>
      <c r="U245" s="139">
        <v>0</v>
      </c>
      <c r="V245" s="141"/>
      <c r="W245" s="141">
        <v>0.4</v>
      </c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31"/>
      <c r="AI245" s="46"/>
      <c r="AJ245" s="27"/>
      <c r="AK245" s="27"/>
      <c r="AL245" s="27"/>
      <c r="AM245" s="27"/>
      <c r="AN245" s="27"/>
      <c r="AO245" s="27"/>
      <c r="AP245" s="27"/>
      <c r="AQ245" s="29" t="str">
        <f>IF(AND(AD245&lt;&gt;"",AF245="",AG245=""),DATE(YEAR(AD245)+Menu!$E$10,MONTH(AD245)+Menu!$E$11,1),"")</f>
        <v/>
      </c>
      <c r="AR245" s="29" t="str">
        <f t="shared" si="22"/>
        <v/>
      </c>
      <c r="AS245" s="27" t="str">
        <f>IF(AND(AR245&lt;&gt;"",AH245="",AG245=""),DATE(YEAR(AR245)+Menu!$E$13,MONTH(AR245)+Menu!$E$14,1),"")</f>
        <v/>
      </c>
      <c r="AT245" s="27">
        <v>43373</v>
      </c>
      <c r="AU245" s="15"/>
      <c r="AV245" s="15"/>
      <c r="AW245" s="16"/>
      <c r="AX245" s="15"/>
      <c r="AY245" s="15"/>
      <c r="AZ245" s="15"/>
      <c r="BA245" s="15"/>
      <c r="BB245" s="16"/>
      <c r="BC245" s="16"/>
      <c r="BD245" s="16"/>
      <c r="BE245" s="16"/>
      <c r="BF245" s="16"/>
      <c r="BG245" s="16"/>
      <c r="BH245" s="16"/>
      <c r="BI245" s="16"/>
      <c r="BJ245" s="15"/>
      <c r="BK245" s="15" t="s">
        <v>389</v>
      </c>
      <c r="BL245" s="131" t="s">
        <v>389</v>
      </c>
      <c r="BM245" t="s">
        <v>389</v>
      </c>
      <c r="BN245" t="s">
        <v>389</v>
      </c>
      <c r="BO245" t="s">
        <v>389</v>
      </c>
      <c r="BP245" t="s">
        <v>389</v>
      </c>
      <c r="BQ245" t="s">
        <v>389</v>
      </c>
      <c r="BR245" t="s">
        <v>389</v>
      </c>
      <c r="BS245" t="s">
        <v>389</v>
      </c>
      <c r="BT245" t="s">
        <v>389</v>
      </c>
      <c r="BU245" t="s">
        <v>389</v>
      </c>
      <c r="BV245" t="s">
        <v>389</v>
      </c>
      <c r="BW245" t="s">
        <v>389</v>
      </c>
      <c r="BX245" t="s">
        <v>138</v>
      </c>
      <c r="BY245" s="56">
        <v>49002.94</v>
      </c>
      <c r="BZ245" s="56">
        <v>49002.94</v>
      </c>
      <c r="CA245" s="56">
        <v>49002.94</v>
      </c>
      <c r="CB245" s="56">
        <v>49002.94</v>
      </c>
      <c r="CC245" s="56">
        <v>49002.94</v>
      </c>
      <c r="CD245" s="56">
        <v>49002.94</v>
      </c>
      <c r="CE245" s="56">
        <v>49002.94</v>
      </c>
      <c r="CF245" s="56">
        <v>49002.94</v>
      </c>
      <c r="CG245" s="56">
        <v>49002.94</v>
      </c>
      <c r="CH245" s="56">
        <v>49002.94</v>
      </c>
      <c r="CI245" s="56">
        <v>49002.94</v>
      </c>
      <c r="CJ245" s="56">
        <v>12250.735000000001</v>
      </c>
      <c r="CK245" s="56">
        <v>0</v>
      </c>
    </row>
    <row r="246" spans="1:89" ht="13" x14ac:dyDescent="0.3">
      <c r="A246" s="135" t="s">
        <v>362</v>
      </c>
      <c r="B246" s="134" t="s">
        <v>363</v>
      </c>
      <c r="C246" s="135" t="s">
        <v>201</v>
      </c>
      <c r="D246" s="136">
        <v>26007</v>
      </c>
      <c r="E246" s="136">
        <v>49765</v>
      </c>
      <c r="F246" s="135" t="s">
        <v>173</v>
      </c>
      <c r="G246" s="135"/>
      <c r="H246" s="135"/>
      <c r="I246" s="137">
        <v>1062</v>
      </c>
      <c r="J246" s="137">
        <v>0</v>
      </c>
      <c r="K246" s="137">
        <v>0</v>
      </c>
      <c r="L246" s="137">
        <v>0</v>
      </c>
      <c r="M246" s="137">
        <v>0</v>
      </c>
      <c r="N246" s="137">
        <v>1</v>
      </c>
      <c r="O246" s="138">
        <v>0</v>
      </c>
      <c r="P246" s="147">
        <v>0</v>
      </c>
      <c r="Q246" s="139">
        <v>1</v>
      </c>
      <c r="R246" s="139">
        <v>0</v>
      </c>
      <c r="S246" s="139">
        <v>0</v>
      </c>
      <c r="T246" s="140"/>
      <c r="U246" s="139">
        <f>115710*1.225</f>
        <v>141744.75</v>
      </c>
      <c r="V246" s="141">
        <v>2027</v>
      </c>
      <c r="W246" s="141">
        <v>1</v>
      </c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31"/>
      <c r="AI246" s="46"/>
      <c r="AJ246" s="27"/>
      <c r="AK246" s="27"/>
      <c r="AL246" s="27"/>
      <c r="AM246" s="27"/>
      <c r="AN246" s="27"/>
      <c r="AO246" s="27"/>
      <c r="AP246" s="27"/>
      <c r="AQ246" s="29" t="str">
        <f>IF(AND(AD246&lt;&gt;"",AF246="",AG246=""),DATE(YEAR(AD246)+Menu!$E$10,MONTH(AD246)+Menu!$E$11,1),"")</f>
        <v/>
      </c>
      <c r="AR246" s="29" t="str">
        <f t="shared" si="22"/>
        <v/>
      </c>
      <c r="AS246" s="27" t="str">
        <f>IF(AND(AR246&lt;&gt;"",AH246="",AG246=""),DATE(YEAR(AR246)+Menu!$E$13,MONTH(AR246)+Menu!$E$14,1),"")</f>
        <v/>
      </c>
      <c r="AT246" s="27">
        <v>46630</v>
      </c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5"/>
      <c r="BK246" s="15" t="s">
        <v>388</v>
      </c>
      <c r="BL246" s="131" t="s">
        <v>388</v>
      </c>
      <c r="BM246" t="s">
        <v>388</v>
      </c>
      <c r="BN246" t="s">
        <v>388</v>
      </c>
      <c r="BO246" t="s">
        <v>388</v>
      </c>
      <c r="BP246" t="s">
        <v>388</v>
      </c>
      <c r="BQ246" t="s">
        <v>388</v>
      </c>
      <c r="BR246" t="s">
        <v>388</v>
      </c>
      <c r="BS246" t="s">
        <v>388</v>
      </c>
      <c r="BT246" t="s">
        <v>389</v>
      </c>
      <c r="BU246" t="s">
        <v>389</v>
      </c>
      <c r="BV246" t="s">
        <v>389</v>
      </c>
      <c r="BW246" t="s">
        <v>389</v>
      </c>
      <c r="BX246" t="s">
        <v>389</v>
      </c>
      <c r="BY246" s="56">
        <v>0</v>
      </c>
      <c r="BZ246" s="56">
        <v>0</v>
      </c>
      <c r="CA246" s="56">
        <v>0</v>
      </c>
      <c r="CB246" s="56">
        <v>0</v>
      </c>
      <c r="CC246" s="56">
        <v>0</v>
      </c>
      <c r="CD246" s="56">
        <v>0</v>
      </c>
      <c r="CE246" s="56">
        <v>0</v>
      </c>
      <c r="CF246" s="56">
        <v>0</v>
      </c>
      <c r="CG246" s="56">
        <v>141744.75</v>
      </c>
      <c r="CH246" s="56">
        <v>141744.75</v>
      </c>
      <c r="CI246" s="56">
        <v>141744.75</v>
      </c>
      <c r="CJ246" s="56">
        <v>141744.75</v>
      </c>
      <c r="CK246" s="56">
        <v>141744.75</v>
      </c>
    </row>
    <row r="247" spans="1:89" ht="13" x14ac:dyDescent="0.3">
      <c r="A247" s="135" t="s">
        <v>364</v>
      </c>
      <c r="B247" s="134" t="s">
        <v>365</v>
      </c>
      <c r="C247" s="135" t="s">
        <v>201</v>
      </c>
      <c r="D247" s="136">
        <v>24341</v>
      </c>
      <c r="E247" s="136">
        <v>47726</v>
      </c>
      <c r="F247" s="135" t="s">
        <v>172</v>
      </c>
      <c r="G247" s="135"/>
      <c r="H247" s="135"/>
      <c r="I247" s="137">
        <v>1066</v>
      </c>
      <c r="J247" s="137">
        <v>0</v>
      </c>
      <c r="K247" s="137">
        <v>0</v>
      </c>
      <c r="L247" s="137">
        <v>0</v>
      </c>
      <c r="M247" s="137">
        <v>0</v>
      </c>
      <c r="N247" s="137">
        <v>1</v>
      </c>
      <c r="O247" s="138">
        <v>0</v>
      </c>
      <c r="P247" s="147">
        <v>0</v>
      </c>
      <c r="Q247" s="139">
        <v>1</v>
      </c>
      <c r="R247" s="139">
        <v>0</v>
      </c>
      <c r="S247" s="139">
        <v>0</v>
      </c>
      <c r="T247" s="140"/>
      <c r="U247" s="139">
        <f>128965*1.225*W247</f>
        <v>157982.125</v>
      </c>
      <c r="V247" s="141">
        <v>2023</v>
      </c>
      <c r="W247" s="141">
        <v>1</v>
      </c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31"/>
      <c r="AI247" s="46"/>
      <c r="AJ247" s="27"/>
      <c r="AK247" s="27"/>
      <c r="AL247" s="27"/>
      <c r="AM247" s="27"/>
      <c r="AN247" s="27"/>
      <c r="AO247" s="27"/>
      <c r="AP247" s="27"/>
      <c r="AQ247" s="29" t="str">
        <f>IF(AND(AD247&lt;&gt;"",AF247="",AG247=""),DATE(YEAR(AD247)+Menu!$E$10,MONTH(AD247)+Menu!$E$11,1),"")</f>
        <v/>
      </c>
      <c r="AR247" s="29" t="str">
        <f t="shared" si="22"/>
        <v/>
      </c>
      <c r="AS247" s="27" t="str">
        <f>IF(AND(AR247&lt;&gt;"",AH247="",AG247=""),DATE(YEAR(AR247)+Menu!$E$13,MONTH(AR247)+Menu!$E$14,1),"")</f>
        <v/>
      </c>
      <c r="AT247" s="27">
        <v>44985</v>
      </c>
      <c r="AU247" s="15"/>
      <c r="AV247" s="15"/>
      <c r="AW247" s="15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5"/>
      <c r="BK247" s="15" t="s">
        <v>388</v>
      </c>
      <c r="BL247" s="131" t="s">
        <v>388</v>
      </c>
      <c r="BM247" t="s">
        <v>388</v>
      </c>
      <c r="BN247" t="s">
        <v>388</v>
      </c>
      <c r="BO247" t="s">
        <v>388</v>
      </c>
      <c r="BP247" t="s">
        <v>389</v>
      </c>
      <c r="BQ247" t="s">
        <v>389</v>
      </c>
      <c r="BR247" t="s">
        <v>389</v>
      </c>
      <c r="BS247" t="s">
        <v>389</v>
      </c>
      <c r="BT247" t="s">
        <v>389</v>
      </c>
      <c r="BU247" t="s">
        <v>389</v>
      </c>
      <c r="BV247" t="s">
        <v>389</v>
      </c>
      <c r="BW247" t="s">
        <v>389</v>
      </c>
      <c r="BX247" t="s">
        <v>138</v>
      </c>
      <c r="BY247" s="56">
        <v>0</v>
      </c>
      <c r="BZ247" s="56">
        <v>0</v>
      </c>
      <c r="CA247" s="56">
        <v>0</v>
      </c>
      <c r="CB247" s="56">
        <v>0</v>
      </c>
      <c r="CC247" s="56">
        <v>157982.125</v>
      </c>
      <c r="CD247" s="56">
        <v>157982.125</v>
      </c>
      <c r="CE247" s="56">
        <v>157982.125</v>
      </c>
      <c r="CF247" s="56">
        <v>157982.125</v>
      </c>
      <c r="CG247" s="56">
        <v>157982.125</v>
      </c>
      <c r="CH247" s="56">
        <v>157982.125</v>
      </c>
      <c r="CI247" s="56">
        <v>157982.125</v>
      </c>
      <c r="CJ247" s="56">
        <v>105321.41666666667</v>
      </c>
      <c r="CK247" s="35">
        <v>0</v>
      </c>
    </row>
    <row r="248" spans="1:89" ht="13" x14ac:dyDescent="0.3">
      <c r="A248" s="135" t="s">
        <v>366</v>
      </c>
      <c r="B248" s="134" t="s">
        <v>367</v>
      </c>
      <c r="C248" s="135" t="s">
        <v>201</v>
      </c>
      <c r="D248" s="136">
        <v>23283</v>
      </c>
      <c r="E248" s="136">
        <v>47026</v>
      </c>
      <c r="F248" s="135" t="s">
        <v>173</v>
      </c>
      <c r="G248" s="135"/>
      <c r="H248" s="135"/>
      <c r="I248" s="137">
        <v>1066</v>
      </c>
      <c r="J248" s="137">
        <v>0</v>
      </c>
      <c r="K248" s="137">
        <v>0</v>
      </c>
      <c r="L248" s="137">
        <v>0</v>
      </c>
      <c r="M248" s="137">
        <v>0</v>
      </c>
      <c r="N248" s="137">
        <v>1</v>
      </c>
      <c r="O248" s="138">
        <v>0</v>
      </c>
      <c r="P248" s="147">
        <v>0</v>
      </c>
      <c r="Q248" s="139">
        <v>1</v>
      </c>
      <c r="R248" s="139">
        <v>0</v>
      </c>
      <c r="S248" s="139">
        <v>0</v>
      </c>
      <c r="T248" s="140"/>
      <c r="U248" s="139">
        <f>122300*1.225*W248</f>
        <v>149817.5</v>
      </c>
      <c r="V248" s="141">
        <v>2023</v>
      </c>
      <c r="W248" s="141">
        <v>1</v>
      </c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31"/>
      <c r="AI248" s="46"/>
      <c r="AJ248" s="27"/>
      <c r="AK248" s="27"/>
      <c r="AL248" s="27"/>
      <c r="AM248" s="27"/>
      <c r="AN248" s="27"/>
      <c r="AO248" s="27"/>
      <c r="AP248" s="27"/>
      <c r="AQ248" s="29" t="str">
        <f>IF(AND(AD248&lt;&gt;"",AF248="",AG248=""),DATE(YEAR(AD248)+Menu!$E$10,MONTH(AD248)+Menu!$E$11,1),"")</f>
        <v/>
      </c>
      <c r="AR248" s="29" t="str">
        <f t="shared" si="22"/>
        <v/>
      </c>
      <c r="AS248" s="27" t="str">
        <f>IF(AND(AR248&lt;&gt;"",AH248="",AG248=""),DATE(YEAR(AR248)+Menu!$E$13,MONTH(AR248)+Menu!$E$14,1),"")</f>
        <v/>
      </c>
      <c r="AT248" s="27">
        <v>44985</v>
      </c>
      <c r="AU248" s="15"/>
      <c r="AV248" s="15"/>
      <c r="AW248" s="15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5"/>
      <c r="BK248" s="15" t="s">
        <v>388</v>
      </c>
      <c r="BL248" s="131" t="s">
        <v>388</v>
      </c>
      <c r="BM248" t="s">
        <v>388</v>
      </c>
      <c r="BN248" t="s">
        <v>388</v>
      </c>
      <c r="BO248" t="s">
        <v>388</v>
      </c>
      <c r="BP248" t="s">
        <v>389</v>
      </c>
      <c r="BQ248" t="s">
        <v>389</v>
      </c>
      <c r="BR248" t="s">
        <v>389</v>
      </c>
      <c r="BS248" t="s">
        <v>389</v>
      </c>
      <c r="BT248" t="s">
        <v>389</v>
      </c>
      <c r="BU248" t="s">
        <v>389</v>
      </c>
      <c r="BV248" t="s">
        <v>138</v>
      </c>
      <c r="BW248" t="s">
        <v>138</v>
      </c>
      <c r="BX248" t="s">
        <v>138</v>
      </c>
      <c r="BY248" s="56">
        <v>0</v>
      </c>
      <c r="BZ248" s="56">
        <v>0</v>
      </c>
      <c r="CA248" s="56">
        <v>0</v>
      </c>
      <c r="CB248" s="56">
        <v>0</v>
      </c>
      <c r="CC248" s="56">
        <v>149817.5</v>
      </c>
      <c r="CD248" s="56">
        <v>149817.5</v>
      </c>
      <c r="CE248" s="56">
        <v>149817.5</v>
      </c>
      <c r="CF248" s="56">
        <v>149817.5</v>
      </c>
      <c r="CG248" s="56">
        <v>149817.5</v>
      </c>
      <c r="CH248" s="56">
        <v>112363.125</v>
      </c>
      <c r="CI248" s="35">
        <v>0</v>
      </c>
      <c r="CJ248" s="56">
        <v>0</v>
      </c>
      <c r="CK248" s="56">
        <v>0</v>
      </c>
    </row>
    <row r="249" spans="1:89" ht="13" x14ac:dyDescent="0.3">
      <c r="A249" s="176" t="s">
        <v>405</v>
      </c>
      <c r="B249" s="134">
        <v>104020</v>
      </c>
      <c r="C249" s="135" t="s">
        <v>196</v>
      </c>
      <c r="D249" s="136">
        <v>20448</v>
      </c>
      <c r="E249" s="136">
        <v>44196</v>
      </c>
      <c r="F249" s="135" t="s">
        <v>173</v>
      </c>
      <c r="G249" s="135"/>
      <c r="H249" s="135"/>
      <c r="I249" s="137">
        <v>414</v>
      </c>
      <c r="J249" s="137">
        <v>1</v>
      </c>
      <c r="K249" s="137">
        <v>0</v>
      </c>
      <c r="L249" s="137">
        <v>0</v>
      </c>
      <c r="M249" s="137">
        <v>0</v>
      </c>
      <c r="N249" s="137">
        <v>0</v>
      </c>
      <c r="O249" s="138">
        <v>2</v>
      </c>
      <c r="P249" s="147">
        <v>0</v>
      </c>
      <c r="Q249" s="139">
        <v>1</v>
      </c>
      <c r="R249" s="139">
        <v>0</v>
      </c>
      <c r="S249" s="139">
        <v>0</v>
      </c>
      <c r="T249" s="140"/>
      <c r="U249" s="139">
        <v>0</v>
      </c>
      <c r="V249" s="141"/>
      <c r="W249" s="141">
        <v>1</v>
      </c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31"/>
      <c r="AI249" s="46" t="str">
        <f>IF(YEAR(E249)&lt;2018,YEAR(E249),"")</f>
        <v/>
      </c>
      <c r="AJ249" s="27"/>
      <c r="AK249" s="27"/>
      <c r="AL249" s="27"/>
      <c r="AM249" s="27"/>
      <c r="AN249" s="27"/>
      <c r="AO249" s="27"/>
      <c r="AP249" s="27"/>
      <c r="AQ249" s="29" t="str">
        <f>IF(AND(AD249&lt;&gt;"",AF249="",AG249=""),DATE(YEAR(AD249)+Menu!$E$10,MONTH(AD249)+Menu!$E$11,1),"")</f>
        <v/>
      </c>
      <c r="AR249" s="29" t="str">
        <f t="shared" si="22"/>
        <v/>
      </c>
      <c r="AS249" s="27" t="str">
        <f>IF(AND(AR249&lt;&gt;"",AH249="",AG249=""),DATE(YEAR(AR249)+Menu!$E$13,MONTH(AR249)+Menu!$E$14,1),"")</f>
        <v/>
      </c>
      <c r="AT249" s="27">
        <v>43830</v>
      </c>
      <c r="AU249" s="15" t="s">
        <v>293</v>
      </c>
      <c r="AV249" s="15" t="s">
        <v>293</v>
      </c>
      <c r="AW249" s="16" t="s">
        <v>293</v>
      </c>
      <c r="AX249" s="15" t="s">
        <v>293</v>
      </c>
      <c r="AY249" s="15" t="s">
        <v>293</v>
      </c>
      <c r="AZ249" s="16" t="s">
        <v>293</v>
      </c>
      <c r="BA249" s="16" t="s">
        <v>293</v>
      </c>
      <c r="BB249" s="16" t="s">
        <v>293</v>
      </c>
      <c r="BC249" s="16" t="s">
        <v>293</v>
      </c>
      <c r="BD249" s="16" t="s">
        <v>293</v>
      </c>
      <c r="BE249" s="16" t="s">
        <v>293</v>
      </c>
      <c r="BF249" s="16" t="s">
        <v>293</v>
      </c>
      <c r="BG249" s="16" t="s">
        <v>293</v>
      </c>
      <c r="BH249" s="16" t="s">
        <v>293</v>
      </c>
      <c r="BI249" s="16" t="s">
        <v>293</v>
      </c>
      <c r="BJ249" s="15" t="s">
        <v>293</v>
      </c>
      <c r="BK249" s="15" t="s">
        <v>388</v>
      </c>
      <c r="BL249" s="15" t="s">
        <v>388</v>
      </c>
      <c r="BM249" t="s">
        <v>388</v>
      </c>
      <c r="BN249" t="s">
        <v>138</v>
      </c>
      <c r="BO249" t="s">
        <v>138</v>
      </c>
      <c r="BP249" t="s">
        <v>138</v>
      </c>
      <c r="BQ249" t="s">
        <v>138</v>
      </c>
      <c r="BR249" t="s">
        <v>138</v>
      </c>
      <c r="BS249" t="s">
        <v>138</v>
      </c>
      <c r="BT249" t="s">
        <v>138</v>
      </c>
      <c r="BU249" t="s">
        <v>138</v>
      </c>
      <c r="BV249" t="s">
        <v>138</v>
      </c>
      <c r="BW249" t="s">
        <v>138</v>
      </c>
      <c r="BX249" t="s">
        <v>138</v>
      </c>
      <c r="BY249" s="56">
        <v>0</v>
      </c>
      <c r="BZ249" s="56">
        <v>0</v>
      </c>
      <c r="CA249" s="56">
        <v>0</v>
      </c>
      <c r="CB249" s="56">
        <v>0</v>
      </c>
      <c r="CC249" s="56">
        <v>0</v>
      </c>
      <c r="CD249" s="56">
        <v>0</v>
      </c>
      <c r="CE249" s="56">
        <v>0</v>
      </c>
      <c r="CF249" s="56">
        <v>0</v>
      </c>
      <c r="CG249" s="56">
        <v>0</v>
      </c>
      <c r="CH249" s="56">
        <v>0</v>
      </c>
      <c r="CI249" s="56">
        <v>0</v>
      </c>
      <c r="CJ249" s="56">
        <v>0</v>
      </c>
      <c r="CK249" s="56">
        <v>0</v>
      </c>
    </row>
    <row r="250" spans="1:89" ht="13" x14ac:dyDescent="0.3">
      <c r="A250" s="135" t="s">
        <v>433</v>
      </c>
      <c r="B250" s="134">
        <v>206064</v>
      </c>
      <c r="C250" s="135" t="s">
        <v>200</v>
      </c>
      <c r="D250" s="136">
        <v>28559</v>
      </c>
      <c r="E250" s="136">
        <v>52321</v>
      </c>
      <c r="F250" s="135" t="s">
        <v>173</v>
      </c>
      <c r="G250" s="135"/>
      <c r="H250" s="135"/>
      <c r="I250" s="137">
        <v>808</v>
      </c>
      <c r="J250" s="137">
        <v>0</v>
      </c>
      <c r="K250" s="137">
        <v>0</v>
      </c>
      <c r="L250" s="137">
        <v>0</v>
      </c>
      <c r="M250" s="137">
        <v>1</v>
      </c>
      <c r="N250" s="137">
        <v>1</v>
      </c>
      <c r="O250" s="138">
        <v>0</v>
      </c>
      <c r="P250" s="147">
        <v>0</v>
      </c>
      <c r="Q250" s="139">
        <v>1</v>
      </c>
      <c r="R250" s="139">
        <v>0</v>
      </c>
      <c r="S250" s="139">
        <v>0</v>
      </c>
      <c r="T250" s="140"/>
      <c r="U250" s="139">
        <f>105762*1.225</f>
        <v>129558.45000000001</v>
      </c>
      <c r="V250" s="141">
        <v>2038</v>
      </c>
      <c r="W250" s="141">
        <v>1</v>
      </c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31"/>
      <c r="AI250" s="46"/>
      <c r="AJ250" s="27"/>
      <c r="AK250" s="27"/>
      <c r="AL250" s="27"/>
      <c r="AM250" s="27"/>
      <c r="AN250" s="27"/>
      <c r="AO250" s="27"/>
      <c r="AP250" s="27"/>
      <c r="AQ250" s="29" t="str">
        <f>IF(AND(AD250&lt;&gt;"",AF250="",AG250=""),DATE(YEAR(AD250)+Menu!$E$10,MONTH(AD250)+Menu!$E$11,1),"")</f>
        <v/>
      </c>
      <c r="AR250" s="29" t="str">
        <f t="shared" si="22"/>
        <v/>
      </c>
      <c r="AS250" s="27" t="str">
        <f>IF(AND(AR250&lt;&gt;"",AH250="",AG250=""),DATE(YEAR(AR250)+Menu!$E$13,MONTH(AR250)+Menu!$E$14,1),"")</f>
        <v/>
      </c>
      <c r="AT250" s="27">
        <v>50495</v>
      </c>
      <c r="AU250" s="15"/>
      <c r="AV250" s="15"/>
      <c r="AW250" s="16"/>
      <c r="AX250" s="15"/>
      <c r="AY250" s="15"/>
      <c r="AZ250" s="16"/>
      <c r="BA250" s="16"/>
      <c r="BB250" s="16"/>
      <c r="BC250" s="16" t="s">
        <v>293</v>
      </c>
      <c r="BD250" s="16" t="s">
        <v>293</v>
      </c>
      <c r="BE250" s="16" t="s">
        <v>293</v>
      </c>
      <c r="BF250" s="16" t="s">
        <v>293</v>
      </c>
      <c r="BG250" s="16" t="s">
        <v>293</v>
      </c>
      <c r="BH250" s="16" t="s">
        <v>293</v>
      </c>
      <c r="BI250" s="16" t="s">
        <v>293</v>
      </c>
      <c r="BJ250" s="15" t="s">
        <v>293</v>
      </c>
      <c r="BK250" s="15" t="s">
        <v>388</v>
      </c>
      <c r="BL250" s="15" t="s">
        <v>388</v>
      </c>
      <c r="BM250" t="s">
        <v>388</v>
      </c>
      <c r="BN250" t="s">
        <v>388</v>
      </c>
      <c r="BO250" t="s">
        <v>388</v>
      </c>
      <c r="BP250" t="s">
        <v>388</v>
      </c>
      <c r="BQ250" t="s">
        <v>388</v>
      </c>
      <c r="BR250" t="s">
        <v>388</v>
      </c>
      <c r="BS250" t="s">
        <v>388</v>
      </c>
      <c r="BT250" t="s">
        <v>388</v>
      </c>
      <c r="BU250" t="s">
        <v>388</v>
      </c>
      <c r="BV250" t="s">
        <v>388</v>
      </c>
      <c r="BW250" t="s">
        <v>388</v>
      </c>
      <c r="BX250" t="s">
        <v>388</v>
      </c>
      <c r="BY250" s="56">
        <v>0</v>
      </c>
      <c r="BZ250" s="56">
        <v>0</v>
      </c>
      <c r="CA250" s="56">
        <v>0</v>
      </c>
      <c r="CB250" s="56">
        <v>0</v>
      </c>
      <c r="CC250" s="56">
        <v>0</v>
      </c>
      <c r="CD250" s="56">
        <v>0</v>
      </c>
      <c r="CE250" s="56">
        <v>0</v>
      </c>
      <c r="CF250" s="56">
        <v>0</v>
      </c>
      <c r="CG250" s="56">
        <v>0</v>
      </c>
      <c r="CH250" s="56">
        <v>0</v>
      </c>
      <c r="CI250" s="35">
        <v>0</v>
      </c>
      <c r="CJ250" s="56">
        <v>0</v>
      </c>
      <c r="CK250" s="56">
        <v>0</v>
      </c>
    </row>
    <row r="251" spans="1:89" ht="13" x14ac:dyDescent="0.3">
      <c r="A251" s="135" t="s">
        <v>432</v>
      </c>
      <c r="B251" s="134">
        <v>206302</v>
      </c>
      <c r="C251" s="135" t="s">
        <v>200</v>
      </c>
      <c r="D251" s="136">
        <v>28743</v>
      </c>
      <c r="E251" s="136">
        <v>52504</v>
      </c>
      <c r="F251" s="135" t="s">
        <v>173</v>
      </c>
      <c r="G251" s="135"/>
      <c r="H251" s="135"/>
      <c r="I251" s="137">
        <v>824</v>
      </c>
      <c r="J251" s="137">
        <v>0</v>
      </c>
      <c r="K251" s="137">
        <v>0</v>
      </c>
      <c r="L251" s="137">
        <v>0</v>
      </c>
      <c r="M251" s="137">
        <v>1</v>
      </c>
      <c r="N251" s="137">
        <v>0</v>
      </c>
      <c r="O251" s="138">
        <v>0</v>
      </c>
      <c r="P251" s="147">
        <v>0</v>
      </c>
      <c r="Q251" s="139">
        <v>1</v>
      </c>
      <c r="R251" s="139">
        <v>0</v>
      </c>
      <c r="S251" s="139">
        <v>0</v>
      </c>
      <c r="T251" s="140"/>
      <c r="U251" s="139">
        <f>101388*1.225</f>
        <v>124200.3</v>
      </c>
      <c r="V251" s="141">
        <v>2039</v>
      </c>
      <c r="W251" s="141">
        <v>1</v>
      </c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31"/>
      <c r="AI251" s="46"/>
      <c r="AJ251" s="29"/>
      <c r="AK251" s="29"/>
      <c r="AL251" s="27"/>
      <c r="AM251" s="27"/>
      <c r="AN251" s="15"/>
      <c r="AO251" s="15"/>
      <c r="AP251" s="16"/>
      <c r="AQ251" s="29" t="str">
        <f>IF(AND(AD251&lt;&gt;"",AF251="",AG251=""),DATE(YEAR(AD251)+Menu!$E$10,MONTH(AD251)+Menu!$E$11,1),"")</f>
        <v/>
      </c>
      <c r="AR251" s="29" t="str">
        <f t="shared" si="22"/>
        <v/>
      </c>
      <c r="AS251" s="27" t="str">
        <f>IF(AND(AR251&lt;&gt;"",AH251="",AG251=""),DATE(YEAR(AR251)+Menu!$E$13,MONTH(AR251)+Menu!$E$14,1),"")</f>
        <v/>
      </c>
      <c r="AT251" s="27">
        <v>50921</v>
      </c>
      <c r="AU251" s="15"/>
      <c r="AV251" s="15"/>
      <c r="AW251" s="16"/>
      <c r="AX251" s="15"/>
      <c r="AY251" s="15"/>
      <c r="AZ251" s="16"/>
      <c r="BA251" s="16"/>
      <c r="BB251" s="16"/>
      <c r="BC251" s="16"/>
      <c r="BD251" s="16"/>
      <c r="BE251" s="16"/>
      <c r="BF251" s="16"/>
      <c r="BG251" s="16"/>
      <c r="BH251" s="16" t="s">
        <v>293</v>
      </c>
      <c r="BI251" s="16" t="s">
        <v>293</v>
      </c>
      <c r="BJ251" s="15" t="s">
        <v>293</v>
      </c>
      <c r="BK251" s="15" t="s">
        <v>388</v>
      </c>
      <c r="BL251" s="15" t="s">
        <v>388</v>
      </c>
      <c r="BM251" t="s">
        <v>388</v>
      </c>
      <c r="BN251" t="s">
        <v>388</v>
      </c>
      <c r="BO251" t="s">
        <v>388</v>
      </c>
      <c r="BP251" t="s">
        <v>388</v>
      </c>
      <c r="BQ251" t="s">
        <v>388</v>
      </c>
      <c r="BR251" s="56" t="s">
        <v>388</v>
      </c>
      <c r="BS251" s="56" t="s">
        <v>388</v>
      </c>
      <c r="BT251" s="56" t="s">
        <v>388</v>
      </c>
      <c r="BU251" s="56" t="s">
        <v>388</v>
      </c>
      <c r="BV251" s="56" t="s">
        <v>388</v>
      </c>
      <c r="BW251" s="56" t="s">
        <v>388</v>
      </c>
      <c r="BX251" s="56" t="s">
        <v>388</v>
      </c>
      <c r="BY251" s="56">
        <v>0</v>
      </c>
      <c r="BZ251" s="56">
        <v>0</v>
      </c>
      <c r="CA251" s="56">
        <v>0</v>
      </c>
      <c r="CB251" s="56">
        <v>0</v>
      </c>
      <c r="CC251" s="56">
        <v>0</v>
      </c>
      <c r="CD251" s="56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</row>
    <row r="252" spans="1:89" ht="13" x14ac:dyDescent="0.3">
      <c r="A252" s="135" t="s">
        <v>431</v>
      </c>
      <c r="B252" s="134">
        <v>118873</v>
      </c>
      <c r="C252" s="135" t="s">
        <v>201</v>
      </c>
      <c r="D252" s="136">
        <v>29149</v>
      </c>
      <c r="E252" s="136">
        <v>52900</v>
      </c>
      <c r="F252" s="135" t="s">
        <v>173</v>
      </c>
      <c r="G252" s="135"/>
      <c r="H252" s="135"/>
      <c r="I252" s="137">
        <v>888</v>
      </c>
      <c r="J252" s="137">
        <v>0</v>
      </c>
      <c r="K252" s="137">
        <v>1</v>
      </c>
      <c r="L252" s="137">
        <v>0</v>
      </c>
      <c r="M252" s="137">
        <v>0</v>
      </c>
      <c r="N252" s="137">
        <v>1</v>
      </c>
      <c r="O252" s="138">
        <v>0</v>
      </c>
      <c r="P252" s="147">
        <v>0</v>
      </c>
      <c r="Q252" s="139">
        <v>1</v>
      </c>
      <c r="R252" s="139">
        <v>0</v>
      </c>
      <c r="S252" s="139">
        <v>0</v>
      </c>
      <c r="T252" s="140"/>
      <c r="U252" s="139">
        <f>106473*1.225</f>
        <v>130429.425</v>
      </c>
      <c r="V252" s="141">
        <v>2036</v>
      </c>
      <c r="W252" s="141">
        <v>1</v>
      </c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31"/>
      <c r="AI252" s="46"/>
      <c r="AJ252" s="29"/>
      <c r="AK252" s="29"/>
      <c r="AL252" s="27"/>
      <c r="AM252" s="27"/>
      <c r="AN252" s="15"/>
      <c r="AO252" s="15"/>
      <c r="AP252" s="15"/>
      <c r="AQ252" s="29" t="str">
        <f>IF(AND(AD252&lt;&gt;"",AF252="",AG252=""),DATE(YEAR(AD252)+Menu!$E$10,MONTH(AD252)+Menu!$E$11,1),"")</f>
        <v/>
      </c>
      <c r="AR252" s="29" t="str">
        <f t="shared" si="22"/>
        <v/>
      </c>
      <c r="AS252" s="27" t="str">
        <f>IF(AND(AR252&lt;&gt;"",AH252="",AG252=""),DATE(YEAR(AR252)+Menu!$E$13,MONTH(AR252)+Menu!$E$14,1),"")</f>
        <v/>
      </c>
      <c r="AT252" s="27">
        <v>49765</v>
      </c>
      <c r="AU252" s="15"/>
      <c r="AV252" s="15"/>
      <c r="AW252" s="16"/>
      <c r="AX252" s="15"/>
      <c r="AY252" s="15"/>
      <c r="AZ252" s="16"/>
      <c r="BA252" s="16"/>
      <c r="BB252" s="16"/>
      <c r="BC252" s="16"/>
      <c r="BD252" s="16" t="s">
        <v>293</v>
      </c>
      <c r="BE252" s="16" t="s">
        <v>293</v>
      </c>
      <c r="BF252" s="16" t="s">
        <v>293</v>
      </c>
      <c r="BG252" s="16" t="s">
        <v>293</v>
      </c>
      <c r="BH252" s="16" t="s">
        <v>293</v>
      </c>
      <c r="BI252" s="16" t="s">
        <v>293</v>
      </c>
      <c r="BJ252" s="15" t="s">
        <v>293</v>
      </c>
      <c r="BK252" s="15" t="s">
        <v>388</v>
      </c>
      <c r="BL252" s="15" t="s">
        <v>388</v>
      </c>
      <c r="BM252" t="s">
        <v>388</v>
      </c>
      <c r="BN252" t="s">
        <v>388</v>
      </c>
      <c r="BO252" t="s">
        <v>388</v>
      </c>
      <c r="BP252" t="s">
        <v>388</v>
      </c>
      <c r="BQ252" t="s">
        <v>388</v>
      </c>
      <c r="BR252" s="56" t="s">
        <v>388</v>
      </c>
      <c r="BS252" s="56" t="s">
        <v>388</v>
      </c>
      <c r="BT252" s="56" t="s">
        <v>388</v>
      </c>
      <c r="BU252" s="56" t="s">
        <v>388</v>
      </c>
      <c r="BV252" s="56" t="s">
        <v>388</v>
      </c>
      <c r="BW252" s="56" t="s">
        <v>388</v>
      </c>
      <c r="BX252" s="56" t="s">
        <v>388</v>
      </c>
      <c r="BY252" s="56">
        <v>0</v>
      </c>
      <c r="BZ252" s="56">
        <v>0</v>
      </c>
      <c r="CA252" s="56">
        <v>0</v>
      </c>
      <c r="CB252" s="56">
        <v>0</v>
      </c>
      <c r="CC252" s="56">
        <v>0</v>
      </c>
      <c r="CD252" s="56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</row>
    <row r="253" spans="1:89" ht="13" x14ac:dyDescent="0.3">
      <c r="A253" s="135" t="s">
        <v>425</v>
      </c>
      <c r="B253" s="134" t="s">
        <v>428</v>
      </c>
      <c r="C253" s="135" t="s">
        <v>198</v>
      </c>
      <c r="D253" s="136">
        <v>26204</v>
      </c>
      <c r="E253" s="136">
        <v>49948</v>
      </c>
      <c r="F253" s="135" t="s">
        <v>173</v>
      </c>
      <c r="G253" s="135"/>
      <c r="H253" s="135"/>
      <c r="I253" s="137">
        <v>1047</v>
      </c>
      <c r="J253" s="137">
        <v>0</v>
      </c>
      <c r="K253" s="137">
        <v>0</v>
      </c>
      <c r="L253" s="137">
        <v>1</v>
      </c>
      <c r="M253" s="137">
        <v>0</v>
      </c>
      <c r="N253" s="137">
        <v>0</v>
      </c>
      <c r="O253" s="138">
        <v>0</v>
      </c>
      <c r="P253" s="147">
        <v>0</v>
      </c>
      <c r="Q253" s="139">
        <v>1</v>
      </c>
      <c r="R253" s="139">
        <v>0</v>
      </c>
      <c r="S253" s="139">
        <v>0</v>
      </c>
      <c r="T253" s="140"/>
      <c r="U253" s="139">
        <f>120418*1.225*W253</f>
        <v>147512.05000000002</v>
      </c>
      <c r="V253" s="141">
        <v>2035</v>
      </c>
      <c r="W253" s="141">
        <v>1</v>
      </c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31"/>
      <c r="AI253" s="46"/>
      <c r="AJ253" s="29"/>
      <c r="AK253" s="29"/>
      <c r="AL253" s="27"/>
      <c r="AM253" s="27"/>
      <c r="AN253" s="15"/>
      <c r="AO253" s="15"/>
      <c r="AP253" s="16"/>
      <c r="AQ253" s="29" t="str">
        <f>IF(AND(AD253&lt;&gt;"",AF253="",AG253=""),DATE(YEAR(AD253)+Menu!$E$10,MONTH(AD253)+Menu!$E$11,1),"")</f>
        <v/>
      </c>
      <c r="AR253" s="29" t="str">
        <f t="shared" si="22"/>
        <v/>
      </c>
      <c r="AS253" s="27" t="str">
        <f>IF(AND(AR253&lt;&gt;"",AH253="",AG253=""),DATE(YEAR(AR253)+Menu!$E$13,MONTH(AR253)+Menu!$E$14,1),"")</f>
        <v/>
      </c>
      <c r="AT253" s="27">
        <v>49309</v>
      </c>
      <c r="AU253" s="15"/>
      <c r="AV253" s="15"/>
      <c r="AW253" s="16"/>
      <c r="AX253" s="15"/>
      <c r="AY253" s="15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5"/>
      <c r="BK253" s="15" t="s">
        <v>388</v>
      </c>
      <c r="BL253" s="15" t="s">
        <v>388</v>
      </c>
      <c r="BM253" t="s">
        <v>388</v>
      </c>
      <c r="BN253" t="s">
        <v>388</v>
      </c>
      <c r="BO253" t="s">
        <v>388</v>
      </c>
      <c r="BP253" t="s">
        <v>388</v>
      </c>
      <c r="BQ253" t="s">
        <v>388</v>
      </c>
      <c r="BR253" s="56" t="s">
        <v>388</v>
      </c>
      <c r="BS253" s="56" t="s">
        <v>388</v>
      </c>
      <c r="BT253" s="56" t="s">
        <v>388</v>
      </c>
      <c r="BU253" s="56" t="s">
        <v>388</v>
      </c>
      <c r="BV253" s="56" t="s">
        <v>388</v>
      </c>
      <c r="BW253" s="56" t="s">
        <v>388</v>
      </c>
      <c r="BX253" s="56" t="s">
        <v>388</v>
      </c>
      <c r="BY253" s="56">
        <v>0</v>
      </c>
      <c r="BZ253" s="56">
        <v>0</v>
      </c>
      <c r="CA253" s="56">
        <v>0</v>
      </c>
      <c r="CB253" s="56">
        <v>0</v>
      </c>
      <c r="CC253" s="56">
        <v>0</v>
      </c>
      <c r="CD253" s="56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</row>
    <row r="254" spans="1:89" ht="13" x14ac:dyDescent="0.3">
      <c r="A254" s="135" t="s">
        <v>426</v>
      </c>
      <c r="B254" s="134" t="s">
        <v>429</v>
      </c>
      <c r="C254" s="135" t="s">
        <v>198</v>
      </c>
      <c r="D254" s="136">
        <v>28917</v>
      </c>
      <c r="E254" s="136">
        <v>52687</v>
      </c>
      <c r="F254" s="135" t="s">
        <v>173</v>
      </c>
      <c r="G254" s="135"/>
      <c r="H254" s="135"/>
      <c r="I254" s="137">
        <v>1047</v>
      </c>
      <c r="J254" s="137">
        <v>0</v>
      </c>
      <c r="K254" s="137">
        <v>0</v>
      </c>
      <c r="L254" s="137">
        <v>1</v>
      </c>
      <c r="M254" s="137">
        <v>0</v>
      </c>
      <c r="N254" s="137">
        <v>0</v>
      </c>
      <c r="O254" s="138">
        <v>0</v>
      </c>
      <c r="P254" s="147">
        <v>0</v>
      </c>
      <c r="Q254" s="139">
        <v>1</v>
      </c>
      <c r="R254" s="139">
        <v>0</v>
      </c>
      <c r="S254" s="139">
        <v>0</v>
      </c>
      <c r="T254" s="140"/>
      <c r="U254" s="139">
        <f>91826*1.225*W254</f>
        <v>112486.85</v>
      </c>
      <c r="V254" s="141">
        <v>2035</v>
      </c>
      <c r="W254" s="141">
        <v>1</v>
      </c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31"/>
      <c r="AI254" s="46"/>
      <c r="AJ254" s="29"/>
      <c r="AK254" s="29"/>
      <c r="AL254" s="27"/>
      <c r="AM254" s="27"/>
      <c r="AN254" s="15"/>
      <c r="AO254" s="15"/>
      <c r="AP254" s="16"/>
      <c r="AQ254" s="29" t="str">
        <f>IF(AND(AD254&lt;&gt;"",AF254="",AG254=""),DATE(YEAR(AD254)+Menu!$E$10,MONTH(AD254)+Menu!$E$11,1),"")</f>
        <v/>
      </c>
      <c r="AR254" s="29" t="str">
        <f t="shared" si="22"/>
        <v/>
      </c>
      <c r="AS254" s="27" t="str">
        <f>IF(AND(AR254&lt;&gt;"",AH254="",AG254=""),DATE(YEAR(AR254)+Menu!$E$13,MONTH(AR254)+Menu!$E$14,1),"")</f>
        <v/>
      </c>
      <c r="AT254" s="27">
        <v>49309</v>
      </c>
      <c r="AU254" s="15"/>
      <c r="AV254" s="15"/>
      <c r="AW254" s="16"/>
      <c r="AX254" s="15"/>
      <c r="AY254" s="15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5"/>
      <c r="BK254" s="15" t="s">
        <v>388</v>
      </c>
      <c r="BL254" s="15" t="s">
        <v>388</v>
      </c>
      <c r="BM254" t="s">
        <v>388</v>
      </c>
      <c r="BN254" t="s">
        <v>388</v>
      </c>
      <c r="BO254" t="s">
        <v>388</v>
      </c>
      <c r="BP254" t="s">
        <v>388</v>
      </c>
      <c r="BQ254" t="s">
        <v>388</v>
      </c>
      <c r="BR254" s="56" t="s">
        <v>388</v>
      </c>
      <c r="BS254" s="56" t="s">
        <v>388</v>
      </c>
      <c r="BT254" s="56" t="s">
        <v>388</v>
      </c>
      <c r="BU254" s="56" t="s">
        <v>388</v>
      </c>
      <c r="BV254" s="56" t="s">
        <v>388</v>
      </c>
      <c r="BW254" s="56" t="s">
        <v>388</v>
      </c>
      <c r="BX254" s="56" t="s">
        <v>388</v>
      </c>
      <c r="BY254" s="56">
        <v>0</v>
      </c>
      <c r="BZ254" s="56">
        <v>0</v>
      </c>
      <c r="CA254" s="56">
        <v>0</v>
      </c>
      <c r="CB254" s="56">
        <v>0</v>
      </c>
      <c r="CC254" s="56">
        <v>0</v>
      </c>
      <c r="CD254" s="56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</row>
    <row r="255" spans="1:89" ht="13" x14ac:dyDescent="0.3">
      <c r="A255" s="135" t="s">
        <v>427</v>
      </c>
      <c r="B255" s="134">
        <v>190066</v>
      </c>
      <c r="C255" s="135" t="s">
        <v>198</v>
      </c>
      <c r="D255" s="136">
        <v>28036</v>
      </c>
      <c r="E255" s="136">
        <v>51804</v>
      </c>
      <c r="F255" s="135" t="s">
        <v>173</v>
      </c>
      <c r="G255" s="135"/>
      <c r="H255" s="135"/>
      <c r="I255" s="137">
        <v>1047</v>
      </c>
      <c r="J255" s="137">
        <v>0</v>
      </c>
      <c r="K255" s="137">
        <v>0</v>
      </c>
      <c r="L255" s="137">
        <v>1</v>
      </c>
      <c r="M255" s="137">
        <v>0</v>
      </c>
      <c r="N255" s="137">
        <v>0</v>
      </c>
      <c r="O255" s="138">
        <v>0</v>
      </c>
      <c r="P255" s="147">
        <v>0</v>
      </c>
      <c r="Q255" s="139">
        <v>1</v>
      </c>
      <c r="R255" s="139">
        <v>0</v>
      </c>
      <c r="S255" s="139">
        <v>0</v>
      </c>
      <c r="T255" s="140"/>
      <c r="U255" s="139">
        <f>91234*1.225*W255</f>
        <v>111761.65000000001</v>
      </c>
      <c r="V255" s="141">
        <v>2035</v>
      </c>
      <c r="W255" s="141">
        <v>1</v>
      </c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31"/>
      <c r="AI255" s="46"/>
      <c r="AJ255" s="16"/>
      <c r="AK255" s="16"/>
      <c r="AL255" s="16"/>
      <c r="AM255" s="16"/>
      <c r="AN255" s="16"/>
      <c r="AO255" s="16"/>
      <c r="AP255" s="16"/>
      <c r="AQ255" s="29" t="str">
        <f>IF(AND(AD255&lt;&gt;"",AF255="",AG255=""),DATE(YEAR(AD255)+Menu!$E$10,MONTH(AD255)+Menu!$E$11,1),"")</f>
        <v/>
      </c>
      <c r="AR255" s="29" t="str">
        <f t="shared" si="22"/>
        <v/>
      </c>
      <c r="AS255" s="27" t="str">
        <f>IF(AND(AR255&lt;&gt;"",AH255="",AG255=""),DATE(YEAR(AR255)+Menu!$E$13,MONTH(AR255)+Menu!$E$14,1),"")</f>
        <v/>
      </c>
      <c r="AT255" s="27">
        <v>49309</v>
      </c>
      <c r="AU255" s="15"/>
      <c r="AV255" s="15"/>
      <c r="AW255" s="16"/>
      <c r="AX255" s="15"/>
      <c r="AY255" s="15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5"/>
      <c r="BK255" s="15" t="s">
        <v>388</v>
      </c>
      <c r="BL255" s="15" t="s">
        <v>388</v>
      </c>
      <c r="BM255" s="56" t="s">
        <v>388</v>
      </c>
      <c r="BN255" s="56" t="s">
        <v>388</v>
      </c>
      <c r="BO255" s="56" t="s">
        <v>388</v>
      </c>
      <c r="BP255" s="56" t="s">
        <v>388</v>
      </c>
      <c r="BQ255" s="56" t="s">
        <v>388</v>
      </c>
      <c r="BR255" s="56" t="s">
        <v>388</v>
      </c>
      <c r="BS255" s="56" t="s">
        <v>388</v>
      </c>
      <c r="BT255" s="56" t="s">
        <v>388</v>
      </c>
      <c r="BU255" s="56" t="s">
        <v>388</v>
      </c>
      <c r="BV255" s="56" t="s">
        <v>388</v>
      </c>
      <c r="BW255" s="56" t="s">
        <v>388</v>
      </c>
      <c r="BX255" t="s">
        <v>388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</row>
    <row r="256" spans="1:89" ht="13" x14ac:dyDescent="0.3">
      <c r="A256" s="135" t="s">
        <v>430</v>
      </c>
      <c r="B256" s="134">
        <v>145340</v>
      </c>
      <c r="C256" s="135" t="s">
        <v>201</v>
      </c>
      <c r="D256" s="136">
        <v>25892</v>
      </c>
      <c r="E256" s="136">
        <v>49278</v>
      </c>
      <c r="F256" s="135" t="s">
        <v>172</v>
      </c>
      <c r="G256" s="135"/>
      <c r="H256" s="135"/>
      <c r="I256" s="137">
        <v>1063</v>
      </c>
      <c r="J256" s="137">
        <v>0</v>
      </c>
      <c r="K256" s="137">
        <v>1</v>
      </c>
      <c r="L256" s="137">
        <v>0</v>
      </c>
      <c r="M256" s="137">
        <v>0</v>
      </c>
      <c r="N256" s="137">
        <v>1</v>
      </c>
      <c r="O256" s="138">
        <v>0</v>
      </c>
      <c r="P256" s="147">
        <v>0</v>
      </c>
      <c r="Q256" s="139">
        <v>1</v>
      </c>
      <c r="R256" s="139">
        <v>0</v>
      </c>
      <c r="S256" s="139">
        <v>0</v>
      </c>
      <c r="T256" s="140"/>
      <c r="U256" s="139">
        <f>97029*1.225*W256</f>
        <v>59430.262500000004</v>
      </c>
      <c r="V256" s="141">
        <v>2032</v>
      </c>
      <c r="W256" s="141">
        <v>0.5</v>
      </c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31"/>
      <c r="AI256" s="46"/>
      <c r="AJ256" s="29"/>
      <c r="AK256" s="29"/>
      <c r="AL256" s="27"/>
      <c r="AM256" s="27"/>
      <c r="AN256" s="15"/>
      <c r="AO256" s="15"/>
      <c r="AP256" s="16"/>
      <c r="AQ256" s="29" t="str">
        <f>IF(AND(AD256&lt;&gt;"",AF256="",AG256=""),DATE(YEAR(AD256)+Menu!$E$10,MONTH(AD256)+Menu!$E$11,1),"")</f>
        <v/>
      </c>
      <c r="AR256" s="29" t="str">
        <f t="shared" si="22"/>
        <v/>
      </c>
      <c r="AS256" s="27" t="str">
        <f>IF(AND(AR256&lt;&gt;"",AH256="",AG256=""),DATE(YEAR(AR256)+Menu!$E$13,MONTH(AR256)+Menu!$E$14,1),"")</f>
        <v/>
      </c>
      <c r="AT256" s="27">
        <v>48457</v>
      </c>
      <c r="AU256" s="15"/>
      <c r="AV256" s="15"/>
      <c r="AW256" s="16"/>
      <c r="AX256" s="15"/>
      <c r="AY256" s="15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5"/>
      <c r="BK256" s="15" t="s">
        <v>388</v>
      </c>
      <c r="BL256" s="15" t="s">
        <v>388</v>
      </c>
      <c r="BM256" t="s">
        <v>388</v>
      </c>
      <c r="BN256" t="s">
        <v>388</v>
      </c>
      <c r="BO256" t="s">
        <v>388</v>
      </c>
      <c r="BP256" t="s">
        <v>388</v>
      </c>
      <c r="BQ256" t="s">
        <v>388</v>
      </c>
      <c r="BR256" s="56" t="s">
        <v>388</v>
      </c>
      <c r="BS256" s="56" t="s">
        <v>388</v>
      </c>
      <c r="BT256" s="56" t="s">
        <v>388</v>
      </c>
      <c r="BU256" s="56" t="s">
        <v>388</v>
      </c>
      <c r="BV256" s="56" t="s">
        <v>388</v>
      </c>
      <c r="BW256" s="56" t="s">
        <v>388</v>
      </c>
      <c r="BX256" s="56" t="s">
        <v>388</v>
      </c>
      <c r="BY256" s="56">
        <v>0</v>
      </c>
      <c r="BZ256" s="56">
        <v>0</v>
      </c>
      <c r="CA256" s="56">
        <v>0</v>
      </c>
      <c r="CB256" s="56">
        <v>0</v>
      </c>
      <c r="CC256" s="56">
        <v>0</v>
      </c>
      <c r="CD256" s="56">
        <v>0</v>
      </c>
      <c r="CE256" s="56">
        <v>0</v>
      </c>
      <c r="CF256" s="56">
        <v>0</v>
      </c>
      <c r="CG256" s="56">
        <v>0</v>
      </c>
      <c r="CH256" s="56">
        <v>0</v>
      </c>
      <c r="CI256" s="56">
        <v>0</v>
      </c>
      <c r="CJ256" s="56">
        <v>0</v>
      </c>
      <c r="CK256" s="56">
        <v>0</v>
      </c>
    </row>
    <row r="257" spans="1:89" ht="13" x14ac:dyDescent="0.3">
      <c r="A257" s="194" t="s">
        <v>452</v>
      </c>
      <c r="B257" s="195"/>
      <c r="C257" s="194"/>
      <c r="D257" s="196">
        <v>29952.5</v>
      </c>
      <c r="E257" s="196">
        <v>53328.5</v>
      </c>
      <c r="F257" s="194" t="s">
        <v>172</v>
      </c>
      <c r="G257" s="194">
        <v>2020</v>
      </c>
      <c r="H257" s="194" t="s">
        <v>134</v>
      </c>
      <c r="I257" s="197"/>
      <c r="J257" s="197">
        <v>0</v>
      </c>
      <c r="K257" s="197">
        <v>0</v>
      </c>
      <c r="L257" s="197">
        <v>0</v>
      </c>
      <c r="M257" s="197">
        <v>0</v>
      </c>
      <c r="N257" s="197">
        <v>0</v>
      </c>
      <c r="O257" s="198">
        <v>0</v>
      </c>
      <c r="P257" s="147">
        <v>721188</v>
      </c>
      <c r="Q257" s="199">
        <v>1</v>
      </c>
      <c r="R257" s="199">
        <v>0</v>
      </c>
      <c r="S257" s="199">
        <v>0</v>
      </c>
      <c r="T257" s="200"/>
      <c r="U257" s="199">
        <v>0</v>
      </c>
      <c r="V257" s="201"/>
      <c r="W257" s="201">
        <v>1</v>
      </c>
      <c r="X257" s="202"/>
      <c r="Y257" s="202"/>
      <c r="Z257" s="202"/>
      <c r="AA257" s="202"/>
      <c r="AB257" s="202"/>
      <c r="AC257" s="202"/>
      <c r="AD257" s="202"/>
      <c r="AE257" s="202"/>
      <c r="AF257" s="202" t="s">
        <v>453</v>
      </c>
      <c r="AG257" s="202"/>
      <c r="AH257" s="203"/>
      <c r="AI257" s="204"/>
      <c r="AJ257" s="205"/>
      <c r="AK257" s="205"/>
      <c r="AL257" s="206"/>
      <c r="AM257" s="206"/>
      <c r="AN257" s="207"/>
      <c r="AO257" s="207"/>
      <c r="AP257" s="208"/>
      <c r="AQ257" s="29" t="str">
        <f>IF(AND(AD257&lt;&gt;"",AF257="",AG257=""),DATE(YEAR(AD257)+Menu!$E$10,MONTH(AD257)+Menu!$E$11,1),"")</f>
        <v/>
      </c>
      <c r="AR257" s="29" t="str">
        <f t="shared" si="22"/>
        <v>01.01.2020</v>
      </c>
      <c r="AS257" s="27">
        <f>IF(AND(AR257&lt;&gt;"",AH257="",AG257=""),DATE(YEAR(AR257)+Menu!$E$13,MONTH(AR257)+Menu!$E$14,1),"")</f>
        <v>46296</v>
      </c>
      <c r="AT257" s="206"/>
      <c r="AU257" s="207"/>
      <c r="AV257" s="207"/>
      <c r="AW257" s="208"/>
      <c r="AX257" s="207"/>
      <c r="AY257" s="207"/>
      <c r="AZ257" s="208"/>
      <c r="BA257" s="208"/>
      <c r="BB257" s="208"/>
      <c r="BC257" s="208"/>
      <c r="BD257" s="208"/>
      <c r="BE257" s="208"/>
      <c r="BF257" s="208"/>
      <c r="BG257" s="208"/>
      <c r="BH257" s="208"/>
      <c r="BI257" s="208"/>
      <c r="BJ257" s="207"/>
      <c r="BK257" s="207"/>
      <c r="BL257" s="207"/>
      <c r="BM257" t="s">
        <v>134</v>
      </c>
      <c r="BN257" t="s">
        <v>134</v>
      </c>
      <c r="BO257" t="s">
        <v>134</v>
      </c>
      <c r="BP257" t="s">
        <v>134</v>
      </c>
      <c r="BQ257" t="s">
        <v>134</v>
      </c>
      <c r="BR257" s="56" t="s">
        <v>134</v>
      </c>
      <c r="BS257" s="56" t="s">
        <v>135</v>
      </c>
      <c r="BT257" s="56" t="s">
        <v>135</v>
      </c>
      <c r="BU257" s="56" t="s">
        <v>135</v>
      </c>
      <c r="BV257" s="56" t="s">
        <v>135</v>
      </c>
      <c r="BW257" s="56" t="s">
        <v>135</v>
      </c>
      <c r="BX257" s="56" t="s">
        <v>135</v>
      </c>
      <c r="BY257" s="56"/>
      <c r="BZ257" s="56">
        <v>721188</v>
      </c>
      <c r="CA257" s="56">
        <v>721188</v>
      </c>
      <c r="CB257" s="56">
        <v>721188</v>
      </c>
      <c r="CC257" s="56">
        <v>721188</v>
      </c>
      <c r="CD257" s="56">
        <v>721188</v>
      </c>
      <c r="CE257" s="56">
        <v>721188</v>
      </c>
      <c r="CF257" s="56">
        <v>735147.375</v>
      </c>
      <c r="CG257" s="56">
        <v>790984.875</v>
      </c>
      <c r="CH257" s="56">
        <v>846822.375</v>
      </c>
      <c r="CI257" s="56">
        <v>902659.875</v>
      </c>
      <c r="CJ257" s="56">
        <v>958497.375</v>
      </c>
      <c r="CK257" s="56">
        <v>1000375</v>
      </c>
    </row>
    <row r="259" spans="1:89" x14ac:dyDescent="0.25">
      <c r="BZ259" s="32"/>
    </row>
    <row r="262" spans="1:89" x14ac:dyDescent="0.25">
      <c r="BZ262">
        <v>2020</v>
      </c>
      <c r="CA262" s="32"/>
      <c r="CB262">
        <v>2021</v>
      </c>
    </row>
    <row r="263" spans="1:89" ht="13" x14ac:dyDescent="0.3">
      <c r="BY263" s="239" t="s">
        <v>500</v>
      </c>
      <c r="BZ263" t="s">
        <v>501</v>
      </c>
      <c r="CA263" t="s">
        <v>502</v>
      </c>
    </row>
    <row r="264" spans="1:89" x14ac:dyDescent="0.25">
      <c r="BY264" t="s">
        <v>503</v>
      </c>
      <c r="BZ264" s="32">
        <f>BY6*3/12</f>
        <v>157717.45624999999</v>
      </c>
      <c r="CA264" s="32">
        <f>BZ264+U6</f>
        <v>45975.406249999985</v>
      </c>
      <c r="CB264" s="32">
        <v>0</v>
      </c>
      <c r="CC264" s="32"/>
      <c r="CD264" s="32"/>
      <c r="CE264" s="32"/>
      <c r="CF264" s="32"/>
      <c r="CG264" s="32"/>
      <c r="CH264" s="32"/>
      <c r="CI264" s="32"/>
      <c r="CJ264" s="32"/>
      <c r="CK264" s="32"/>
    </row>
    <row r="265" spans="1:89" x14ac:dyDescent="0.25">
      <c r="Q265" s="185"/>
      <c r="BY265" s="179" t="s">
        <v>319</v>
      </c>
      <c r="BZ265" s="32">
        <v>0</v>
      </c>
      <c r="CA265" s="32">
        <f>U224</f>
        <v>121551.85</v>
      </c>
      <c r="CB265" s="32">
        <f>CA265</f>
        <v>121551.85</v>
      </c>
    </row>
    <row r="266" spans="1:89" x14ac:dyDescent="0.25">
      <c r="BY266" s="179" t="s">
        <v>320</v>
      </c>
      <c r="BZ266" s="32">
        <v>0</v>
      </c>
      <c r="CA266" s="32">
        <f>U225</f>
        <v>170543.27500000002</v>
      </c>
      <c r="CB266" s="32">
        <f>CA266</f>
        <v>170543.27500000002</v>
      </c>
    </row>
    <row r="267" spans="1:89" x14ac:dyDescent="0.25">
      <c r="BY267" s="179" t="s">
        <v>321</v>
      </c>
      <c r="BZ267">
        <v>0</v>
      </c>
      <c r="CA267" s="32">
        <f>U226</f>
        <v>154873.07500000001</v>
      </c>
      <c r="CB267" s="32">
        <f>CA267</f>
        <v>154873.07500000001</v>
      </c>
    </row>
    <row r="271" spans="1:89" ht="13" x14ac:dyDescent="0.3">
      <c r="BY271" s="239" t="s">
        <v>504</v>
      </c>
    </row>
    <row r="272" spans="1:89" x14ac:dyDescent="0.25">
      <c r="BY272" t="s">
        <v>505</v>
      </c>
      <c r="BZ272" s="32">
        <f>BY6-BZ264</f>
        <v>473152.36874999997</v>
      </c>
      <c r="CA272" s="32"/>
    </row>
    <row r="273" spans="77:79" x14ac:dyDescent="0.25">
      <c r="BY273" t="s">
        <v>293</v>
      </c>
      <c r="CA273" s="32">
        <f>-CA265</f>
        <v>-121551.85</v>
      </c>
    </row>
    <row r="274" spans="77:79" x14ac:dyDescent="0.25">
      <c r="CA274" s="32">
        <f>-CA266</f>
        <v>-170543.27500000002</v>
      </c>
    </row>
    <row r="275" spans="77:79" x14ac:dyDescent="0.25">
      <c r="CA275" s="32">
        <f>-CA267</f>
        <v>-154873.07500000001</v>
      </c>
    </row>
    <row r="281" spans="77:79" x14ac:dyDescent="0.25">
      <c r="BZ281" s="32"/>
    </row>
    <row r="284" spans="77:79" x14ac:dyDescent="0.25">
      <c r="BZ284">
        <v>137926</v>
      </c>
    </row>
    <row r="285" spans="77:79" x14ac:dyDescent="0.25">
      <c r="BZ285" s="32">
        <f>-SUM(BZ272:CA275)</f>
        <v>-26184.168749999895</v>
      </c>
    </row>
  </sheetData>
  <autoFilter ref="A1:CL256"/>
  <sortState ref="AD282:AE294">
    <sortCondition ref="AD282:AD294"/>
  </sortState>
  <hyperlinks>
    <hyperlink ref="G59" r:id="rId1" display="http://search.epfl.ch/browseunit.do?unitdn=ou%3dUPGUIDUC1%2cou%3dIBI2%2cou%3dSTI%2co%3dEPFL%2cc%3dch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V228"/>
  <sheetViews>
    <sheetView topLeftCell="A160" zoomScaleNormal="100" workbookViewId="0">
      <selection activeCell="Q192" sqref="Q192"/>
    </sheetView>
  </sheetViews>
  <sheetFormatPr baseColWidth="10" defaultRowHeight="12.5" x14ac:dyDescent="0.25"/>
  <sheetData>
    <row r="1" spans="1:17" ht="13" x14ac:dyDescent="0.3">
      <c r="A1" s="20" t="s">
        <v>174</v>
      </c>
      <c r="F1" s="21"/>
      <c r="G1" s="21"/>
      <c r="H1" s="21"/>
      <c r="I1" s="21"/>
      <c r="J1" s="21"/>
      <c r="K1" s="21"/>
      <c r="L1" s="21"/>
    </row>
    <row r="2" spans="1:17" ht="13" x14ac:dyDescent="0.3">
      <c r="F2" s="12"/>
      <c r="G2" s="12"/>
      <c r="H2" s="12"/>
      <c r="I2" s="12"/>
      <c r="J2" s="12"/>
      <c r="K2" s="12"/>
      <c r="L2" s="12"/>
    </row>
    <row r="3" spans="1:17" ht="13" x14ac:dyDescent="0.3">
      <c r="B3" s="11"/>
      <c r="C3" s="11"/>
      <c r="D3" s="11"/>
      <c r="E3" s="11"/>
      <c r="F3" s="12"/>
      <c r="G3" s="12"/>
      <c r="H3" s="12"/>
      <c r="I3" s="12"/>
      <c r="J3" s="12"/>
      <c r="K3" s="12"/>
      <c r="L3" s="12"/>
    </row>
    <row r="4" spans="1:17" ht="13" x14ac:dyDescent="0.3">
      <c r="B4" s="3">
        <v>2015</v>
      </c>
      <c r="C4" s="3">
        <v>2016</v>
      </c>
      <c r="D4" s="3">
        <v>2017</v>
      </c>
      <c r="E4" s="3">
        <v>2018</v>
      </c>
      <c r="F4" s="3">
        <v>2019</v>
      </c>
      <c r="G4" s="3">
        <v>2020</v>
      </c>
      <c r="H4" s="3">
        <v>2021</v>
      </c>
      <c r="I4" s="3">
        <v>2022</v>
      </c>
      <c r="J4" s="3">
        <v>2023</v>
      </c>
      <c r="K4" s="3">
        <v>2024</v>
      </c>
      <c r="L4" s="3">
        <v>2025</v>
      </c>
      <c r="M4" s="3">
        <v>2026</v>
      </c>
      <c r="N4" s="3">
        <v>2027</v>
      </c>
      <c r="O4" s="3">
        <v>2028</v>
      </c>
      <c r="P4" s="3">
        <v>2029</v>
      </c>
      <c r="Q4" s="3">
        <v>2030</v>
      </c>
    </row>
    <row r="5" spans="1:17" x14ac:dyDescent="0.25">
      <c r="A5" s="4" t="s">
        <v>133</v>
      </c>
      <c r="B5" s="2">
        <f>COUNTIF('Faculty Members_List'!BH$2:BH$258,$A5)</f>
        <v>21</v>
      </c>
      <c r="C5" s="2">
        <f>COUNTIF('Faculty Members_List'!BI$2:BI$258,$A5)</f>
        <v>20</v>
      </c>
      <c r="D5" s="2">
        <f>COUNTIF('Faculty Members_List'!BJ$2:BJ$258,$A5)</f>
        <v>22</v>
      </c>
      <c r="E5" s="2">
        <f>COUNTIF('Faculty Members_List'!BK$2:BK$258,$A5)</f>
        <v>21</v>
      </c>
      <c r="F5" s="2">
        <f>COUNTIF('Faculty Members_List'!BL$2:BL$258,$A5)</f>
        <v>18</v>
      </c>
      <c r="G5" s="2">
        <f>COUNTIF('Faculty Members_List'!BM$2:BM$258,$A5)</f>
        <v>14</v>
      </c>
      <c r="H5" s="2">
        <f>COUNTIF('Faculty Members_List'!BN$2:BN$258,$A5)</f>
        <v>11</v>
      </c>
      <c r="I5" s="2">
        <f>COUNTIF('Faculty Members_List'!BO$2:BO$258,$A5)</f>
        <v>7</v>
      </c>
      <c r="J5" s="2">
        <f>COUNTIF('Faculty Members_List'!BP$2:BP$258,$A5)</f>
        <v>3</v>
      </c>
      <c r="K5" s="2">
        <f>COUNTIF('Faculty Members_List'!BQ$2:BQ$258,$A5)</f>
        <v>2</v>
      </c>
      <c r="L5" s="2">
        <f>COUNTIF('Faculty Members_List'!BR$2:BR$258,$A5)</f>
        <v>0</v>
      </c>
      <c r="M5" s="2">
        <f>COUNTIF('Faculty Members_List'!BS$2:BS$258,$A5)</f>
        <v>0</v>
      </c>
      <c r="N5" s="2">
        <f>COUNTIF('Faculty Members_List'!BT$2:BT$258,$A5)</f>
        <v>0</v>
      </c>
      <c r="O5" s="2">
        <f>COUNTIF('Faculty Members_List'!BU$2:BU$258,$A5)</f>
        <v>0</v>
      </c>
      <c r="P5" s="2">
        <f>COUNTIF('Faculty Members_List'!BV$2:BV$258,$A5)</f>
        <v>0</v>
      </c>
      <c r="Q5" s="2">
        <f>COUNTIF('Faculty Members_List'!BW$2:BW$258,$A5)</f>
        <v>0</v>
      </c>
    </row>
    <row r="6" spans="1:17" x14ac:dyDescent="0.25">
      <c r="A6" s="4" t="s">
        <v>134</v>
      </c>
      <c r="B6" s="2">
        <f>COUNTIF('Faculty Members_List'!BH$2:BH$258,$A6)</f>
        <v>25</v>
      </c>
      <c r="C6" s="2">
        <f>COUNTIF('Faculty Members_List'!BI$2:BI$258,$A6)</f>
        <v>26</v>
      </c>
      <c r="D6" s="2">
        <f>COUNTIF('Faculty Members_List'!BJ$2:BJ$258,$A6)</f>
        <v>27</v>
      </c>
      <c r="E6" s="2">
        <f>COUNTIF('Faculty Members_List'!BK$2:BK$258,$A6)</f>
        <v>27</v>
      </c>
      <c r="F6" s="2">
        <f>COUNTIF('Faculty Members_List'!BL$2:BL$258,$A6)</f>
        <v>27</v>
      </c>
      <c r="G6" s="2">
        <f>COUNTIF('Faculty Members_List'!BM$2:BM$258,$A6)</f>
        <v>24</v>
      </c>
      <c r="H6" s="2">
        <f>COUNTIF('Faculty Members_List'!BN$2:BN$258,$A6)</f>
        <v>24</v>
      </c>
      <c r="I6" s="2">
        <f>COUNTIF('Faculty Members_List'!BO$2:BO$258,$A6)</f>
        <v>23</v>
      </c>
      <c r="J6" s="2">
        <f>COUNTIF('Faculty Members_List'!BP$2:BP$258,$A6)</f>
        <v>25</v>
      </c>
      <c r="K6" s="2">
        <f>COUNTIF('Faculty Members_List'!BQ$2:BQ$258,$A6)</f>
        <v>23</v>
      </c>
      <c r="L6" s="2">
        <f>COUNTIF('Faculty Members_List'!BR$2:BR$258,$A6)</f>
        <v>21</v>
      </c>
      <c r="M6" s="2">
        <f>COUNTIF('Faculty Members_List'!BS$2:BS$258,$A6)</f>
        <v>17</v>
      </c>
      <c r="N6" s="2">
        <f>COUNTIF('Faculty Members_List'!BT$2:BT$258,$A6)</f>
        <v>14</v>
      </c>
      <c r="O6" s="2">
        <f>COUNTIF('Faculty Members_List'!BU$2:BU$258,$A6)</f>
        <v>10</v>
      </c>
      <c r="P6" s="2">
        <f>COUNTIF('Faculty Members_List'!BV$2:BV$258,$A6)</f>
        <v>7</v>
      </c>
      <c r="Q6" s="2">
        <f>COUNTIF('Faculty Members_List'!BW$2:BW$258,$A6)</f>
        <v>2</v>
      </c>
    </row>
    <row r="7" spans="1:17" x14ac:dyDescent="0.25">
      <c r="A7" s="4" t="s">
        <v>135</v>
      </c>
      <c r="B7" s="2">
        <f>COUNTIF('Faculty Members_List'!BH$2:BH$258,$A7)</f>
        <v>41</v>
      </c>
      <c r="C7" s="2">
        <f>COUNTIF('Faculty Members_List'!BI$2:BI$258,$A7)</f>
        <v>40</v>
      </c>
      <c r="D7" s="2">
        <f>COUNTIF('Faculty Members_List'!BJ$2:BJ$258,$A7)</f>
        <v>41</v>
      </c>
      <c r="E7" s="2">
        <f>COUNTIF('Faculty Members_List'!BK$2:BK$258,$A7)</f>
        <v>40</v>
      </c>
      <c r="F7" s="2">
        <f>COUNTIF('Faculty Members_List'!BL$2:BL$258,$A7)</f>
        <v>42</v>
      </c>
      <c r="G7" s="2">
        <f>COUNTIF('Faculty Members_List'!BM$2:BM$258,$A7)</f>
        <v>47</v>
      </c>
      <c r="H7" s="2">
        <f>COUNTIF('Faculty Members_List'!BN$2:BN$258,$A7)</f>
        <v>48</v>
      </c>
      <c r="I7" s="2">
        <f>COUNTIF('Faculty Members_List'!BO$2:BO$258,$A7)</f>
        <v>50</v>
      </c>
      <c r="J7" s="2">
        <f>COUNTIF('Faculty Members_List'!BP$2:BP$258,$A7)</f>
        <v>48</v>
      </c>
      <c r="K7" s="2">
        <f>COUNTIF('Faculty Members_List'!BQ$2:BQ$258,$A7)</f>
        <v>49</v>
      </c>
      <c r="L7" s="2">
        <f>COUNTIF('Faculty Members_List'!BR$2:BR$258,$A7)</f>
        <v>52</v>
      </c>
      <c r="M7" s="2">
        <f>COUNTIF('Faculty Members_List'!BS$2:BS$258,$A7)</f>
        <v>56</v>
      </c>
      <c r="N7" s="2">
        <f>COUNTIF('Faculty Members_List'!BT$2:BT$258,$A7)</f>
        <v>57</v>
      </c>
      <c r="O7" s="2">
        <f>COUNTIF('Faculty Members_List'!BU$2:BU$258,$A7)</f>
        <v>58</v>
      </c>
      <c r="P7" s="2">
        <f>COUNTIF('Faculty Members_List'!BV$2:BV$258,$A7)</f>
        <v>58</v>
      </c>
      <c r="Q7" s="2">
        <f>COUNTIF('Faculty Members_List'!BW$2:BW$258,$A7)</f>
        <v>62</v>
      </c>
    </row>
    <row r="8" spans="1:17" x14ac:dyDescent="0.25">
      <c r="A8" s="5" t="s">
        <v>130</v>
      </c>
      <c r="B8" s="2">
        <f>COUNTIF('Faculty Members_List'!BH$2:BH$258,$A8)</f>
        <v>2</v>
      </c>
      <c r="C8" s="2">
        <f>COUNTIF('Faculty Members_List'!BI$2:BI$258,$A8)</f>
        <v>2</v>
      </c>
      <c r="D8" s="2">
        <f>COUNTIF('Faculty Members_List'!BJ$2:BJ$258,$A8)</f>
        <v>1</v>
      </c>
      <c r="E8" s="2">
        <f>COUNTIF('Faculty Members_List'!BK$2:BK$258,$A8)</f>
        <v>1</v>
      </c>
      <c r="F8" s="2">
        <f>COUNTIF('Faculty Members_List'!BL$2:BL$258,$A8)</f>
        <v>1</v>
      </c>
      <c r="G8" s="2">
        <f>COUNTIF('Faculty Members_List'!BM$2:BM$258,$A8)</f>
        <v>1</v>
      </c>
      <c r="H8" s="2">
        <f>COUNTIF('Faculty Members_List'!BN$2:BN$258,$A8)</f>
        <v>1</v>
      </c>
      <c r="I8" s="2">
        <f>COUNTIF('Faculty Members_List'!BO$2:BO$258,$A8)</f>
        <v>1</v>
      </c>
      <c r="J8" s="2">
        <f>COUNTIF('Faculty Members_List'!BP$2:BP$258,$A8)</f>
        <v>1</v>
      </c>
      <c r="K8" s="2">
        <f>COUNTIF('Faculty Members_List'!BQ$2:BQ$258,$A8)</f>
        <v>1</v>
      </c>
      <c r="L8" s="2">
        <f>COUNTIF('Faculty Members_List'!BR$2:BR$258,$A8)</f>
        <v>1</v>
      </c>
      <c r="M8" s="2">
        <f>COUNTIF('Faculty Members_List'!BS$2:BS$258,$A8)</f>
        <v>1</v>
      </c>
      <c r="N8" s="2">
        <f>COUNTIF('Faculty Members_List'!BT$2:BT$258,$A8)</f>
        <v>1</v>
      </c>
      <c r="O8" s="2">
        <f>COUNTIF('Faculty Members_List'!BU$2:BU$258,$A8)</f>
        <v>1</v>
      </c>
      <c r="P8" s="2">
        <f>COUNTIF('Faculty Members_List'!BV$2:BV$258,$A8)</f>
        <v>1</v>
      </c>
      <c r="Q8" s="2">
        <f>COUNTIF('Faculty Members_List'!BW$2:BW$258,$A8)</f>
        <v>1</v>
      </c>
    </row>
    <row r="9" spans="1:17" x14ac:dyDescent="0.25">
      <c r="A9" s="5" t="s">
        <v>131</v>
      </c>
      <c r="B9" s="2">
        <f>COUNTIF('Faculty Members_List'!BH$2:BH$258,$A9)</f>
        <v>20</v>
      </c>
      <c r="C9" s="2">
        <f>COUNTIF('Faculty Members_List'!BI$2:BI$258,$A9)</f>
        <v>19</v>
      </c>
      <c r="D9" s="2">
        <f>COUNTIF('Faculty Members_List'!BJ$2:BJ$258,$A9)</f>
        <v>18</v>
      </c>
      <c r="E9" s="2">
        <f>COUNTIF('Faculty Members_List'!BK$2:BK$258,$A9)</f>
        <v>17</v>
      </c>
      <c r="F9" s="2">
        <f>COUNTIF('Faculty Members_List'!BL$2:BL$258,$A9)</f>
        <v>15</v>
      </c>
      <c r="G9" s="2">
        <f>COUNTIF('Faculty Members_List'!BM$2:BM$258,$A9)</f>
        <v>15</v>
      </c>
      <c r="H9" s="2">
        <f>COUNTIF('Faculty Members_List'!BN$2:BN$258,$A9)</f>
        <v>14</v>
      </c>
      <c r="I9" s="2">
        <f>COUNTIF('Faculty Members_List'!BO$2:BO$258,$A9)</f>
        <v>13</v>
      </c>
      <c r="J9" s="2">
        <f>COUNTIF('Faculty Members_List'!BP$2:BP$258,$A9)</f>
        <v>10</v>
      </c>
      <c r="K9" s="2">
        <f>COUNTIF('Faculty Members_List'!BQ$2:BQ$258,$A9)</f>
        <v>8</v>
      </c>
      <c r="L9" s="2">
        <f>COUNTIF('Faculty Members_List'!BR$2:BR$258,$A9)</f>
        <v>8</v>
      </c>
      <c r="M9" s="2">
        <f>COUNTIF('Faculty Members_List'!BS$2:BS$258,$A9)</f>
        <v>8</v>
      </c>
      <c r="N9" s="2">
        <f>COUNTIF('Faculty Members_List'!BT$2:BT$258,$A9)</f>
        <v>8</v>
      </c>
      <c r="O9" s="2">
        <f>COUNTIF('Faculty Members_List'!BU$2:BU$258,$A9)</f>
        <v>6</v>
      </c>
      <c r="P9" s="2">
        <f>COUNTIF('Faculty Members_List'!BV$2:BV$258,$A9)</f>
        <v>5</v>
      </c>
      <c r="Q9" s="2">
        <f>COUNTIF('Faculty Members_List'!BW$2:BW$258,$A9)</f>
        <v>4</v>
      </c>
    </row>
    <row r="10" spans="1:17" x14ac:dyDescent="0.25">
      <c r="A10" s="5" t="s">
        <v>132</v>
      </c>
      <c r="B10" s="2">
        <f>COUNTIF('Faculty Members_List'!BH$2:BH$258,$A10)</f>
        <v>5</v>
      </c>
      <c r="C10" s="2">
        <f>COUNTIF('Faculty Members_List'!BI$2:BI$258,$A10)</f>
        <v>5</v>
      </c>
      <c r="D10" s="2">
        <f>COUNTIF('Faculty Members_List'!BJ$2:BJ$258,$A10)</f>
        <v>5</v>
      </c>
      <c r="E10" s="2">
        <f>COUNTIF('Faculty Members_List'!BK$2:BK$258,$A10)</f>
        <v>5</v>
      </c>
      <c r="F10" s="2">
        <f>COUNTIF('Faculty Members_List'!BL$2:BL$258,$A10)</f>
        <v>5</v>
      </c>
      <c r="G10" s="2">
        <f>COUNTIF('Faculty Members_List'!BM$2:BM$258,$A10)</f>
        <v>5</v>
      </c>
      <c r="H10" s="2">
        <f>COUNTIF('Faculty Members_List'!BN$2:BN$258,$A10)</f>
        <v>5</v>
      </c>
      <c r="I10" s="2">
        <f>COUNTIF('Faculty Members_List'!BO$2:BO$258,$A10)</f>
        <v>5</v>
      </c>
      <c r="J10" s="2">
        <f>COUNTIF('Faculty Members_List'!BP$2:BP$258,$A10)</f>
        <v>5</v>
      </c>
      <c r="K10" s="2">
        <f>COUNTIF('Faculty Members_List'!BQ$2:BQ$258,$A10)</f>
        <v>5</v>
      </c>
      <c r="L10" s="2">
        <f>COUNTIF('Faculty Members_List'!BR$2:BR$258,$A10)</f>
        <v>5</v>
      </c>
      <c r="M10" s="2">
        <f>COUNTIF('Faculty Members_List'!BS$2:BS$258,$A10)</f>
        <v>5</v>
      </c>
      <c r="N10" s="2">
        <f>COUNTIF('Faculty Members_List'!BT$2:BT$258,$A10)</f>
        <v>4</v>
      </c>
      <c r="O10" s="2">
        <f>COUNTIF('Faculty Members_List'!BU$2:BU$258,$A10)</f>
        <v>4</v>
      </c>
      <c r="P10" s="2">
        <f>COUNTIF('Faculty Members_List'!BV$2:BV$258,$A10)</f>
        <v>4</v>
      </c>
      <c r="Q10" s="2">
        <f>COUNTIF('Faculty Members_List'!BW$2:BW$258,$A10)</f>
        <v>4</v>
      </c>
    </row>
    <row r="11" spans="1:17" x14ac:dyDescent="0.25">
      <c r="A11" s="5" t="s">
        <v>129</v>
      </c>
      <c r="B11" s="2">
        <f>COUNTIF('Faculty Members_List'!BH$2:BH$258,$A11)</f>
        <v>26</v>
      </c>
      <c r="C11" s="2">
        <f>COUNTIF('Faculty Members_List'!BI$2:BI$258,$A11)</f>
        <v>27</v>
      </c>
      <c r="D11" s="2">
        <f>COUNTIF('Faculty Members_List'!BJ$2:BJ$258,$A11)</f>
        <v>26</v>
      </c>
      <c r="E11" s="2">
        <f>COUNTIF('Faculty Members_List'!BK$2:BK$258,$A11)</f>
        <v>26</v>
      </c>
      <c r="F11" s="2">
        <f>COUNTIF('Faculty Members_List'!BL$2:BL$258,$A11)</f>
        <v>24</v>
      </c>
      <c r="G11" s="2">
        <f>COUNTIF('Faculty Members_List'!BM$2:BM$258,$A11)</f>
        <v>24</v>
      </c>
      <c r="H11" s="2">
        <f>COUNTIF('Faculty Members_List'!BN$2:BN$258,$A11)</f>
        <v>23</v>
      </c>
      <c r="I11" s="2">
        <f>COUNTIF('Faculty Members_List'!BO$2:BO$258,$A11)</f>
        <v>22</v>
      </c>
      <c r="J11" s="2">
        <f>COUNTIF('Faculty Members_List'!BP$2:BP$258,$A11)</f>
        <v>21</v>
      </c>
      <c r="K11" s="2">
        <f>COUNTIF('Faculty Members_List'!BQ$2:BQ$258,$A11)</f>
        <v>21</v>
      </c>
      <c r="L11" s="2">
        <f>COUNTIF('Faculty Members_List'!BR$2:BR$258,$A11)</f>
        <v>20</v>
      </c>
      <c r="M11" s="2">
        <f>COUNTIF('Faculty Members_List'!BS$2:BS$258,$A11)</f>
        <v>18</v>
      </c>
      <c r="N11" s="2">
        <f>COUNTIF('Faculty Members_List'!BT$2:BT$258,$A11)</f>
        <v>16</v>
      </c>
      <c r="O11" s="2">
        <f>COUNTIF('Faculty Members_List'!BU$2:BU$258,$A11)</f>
        <v>15</v>
      </c>
      <c r="P11" s="2">
        <f>COUNTIF('Faculty Members_List'!BV$2:BV$258,$A11)</f>
        <v>15</v>
      </c>
      <c r="Q11" s="2">
        <f>COUNTIF('Faculty Members_List'!BW$2:BW$258,$A11)</f>
        <v>10</v>
      </c>
    </row>
    <row r="12" spans="1:17" x14ac:dyDescent="0.25">
      <c r="A12" s="5" t="s">
        <v>137</v>
      </c>
      <c r="B12" s="2">
        <f>COUNTIF('Faculty Members_List'!BH$2:BH$258,$A12)</f>
        <v>3</v>
      </c>
      <c r="C12" s="2">
        <f>COUNTIF('Faculty Members_List'!BI$2:BI$258,$A12)</f>
        <v>3</v>
      </c>
      <c r="D12" s="2">
        <f>COUNTIF('Faculty Members_List'!BJ$2:BJ$258,$A12)</f>
        <v>3</v>
      </c>
      <c r="E12" s="2">
        <f>COUNTIF('Faculty Members_List'!BK$2:BK$258,$A12)</f>
        <v>3</v>
      </c>
      <c r="F12" s="2">
        <f>COUNTIF('Faculty Members_List'!BL$2:BL$258,$A12)</f>
        <v>3</v>
      </c>
      <c r="G12" s="2">
        <f>COUNTIF('Faculty Members_List'!BM$2:BM$258,$A12)</f>
        <v>3</v>
      </c>
      <c r="H12" s="2">
        <f>COUNTIF('Faculty Members_List'!BN$2:BN$258,$A12)</f>
        <v>3</v>
      </c>
      <c r="I12" s="2">
        <f>COUNTIF('Faculty Members_List'!BO$2:BO$258,$A12)</f>
        <v>3</v>
      </c>
      <c r="J12" s="2">
        <f>COUNTIF('Faculty Members_List'!BP$2:BP$258,$A12)</f>
        <v>3</v>
      </c>
      <c r="K12" s="2">
        <f>COUNTIF('Faculty Members_List'!BQ$2:BQ$258,$A12)</f>
        <v>2</v>
      </c>
      <c r="L12" s="2">
        <f>COUNTIF('Faculty Members_List'!BR$2:BR$258,$A12)</f>
        <v>2</v>
      </c>
      <c r="M12" s="2">
        <f>COUNTIF('Faculty Members_List'!BS$2:BS$258,$A12)</f>
        <v>2</v>
      </c>
      <c r="N12" s="2">
        <f>COUNTIF('Faculty Members_List'!BT$2:BT$258,$A12)</f>
        <v>2</v>
      </c>
      <c r="O12" s="2">
        <f>COUNTIF('Faculty Members_List'!BU$2:BU$258,$A12)</f>
        <v>2</v>
      </c>
      <c r="P12" s="2">
        <f>COUNTIF('Faculty Members_List'!BV$2:BV$258,$A12)</f>
        <v>2</v>
      </c>
      <c r="Q12" s="2">
        <f>COUNTIF('Faculty Members_List'!BW$2:BW$258,$A12)</f>
        <v>2</v>
      </c>
    </row>
    <row r="13" spans="1:17" ht="13" x14ac:dyDescent="0.3">
      <c r="F13" s="12"/>
      <c r="G13" s="12"/>
      <c r="H13" s="12"/>
      <c r="I13" s="12"/>
      <c r="J13" s="12"/>
      <c r="K13" s="12"/>
    </row>
    <row r="14" spans="1:17" ht="13" x14ac:dyDescent="0.3">
      <c r="A14" s="6" t="s">
        <v>154</v>
      </c>
      <c r="B14" s="3">
        <f t="shared" ref="B14:Q14" si="0">SUM(B5:B12)</f>
        <v>143</v>
      </c>
      <c r="C14" s="3">
        <f t="shared" si="0"/>
        <v>142</v>
      </c>
      <c r="D14" s="3">
        <f t="shared" si="0"/>
        <v>143</v>
      </c>
      <c r="E14" s="3">
        <f t="shared" si="0"/>
        <v>140</v>
      </c>
      <c r="F14" s="3">
        <f t="shared" si="0"/>
        <v>135</v>
      </c>
      <c r="G14" s="3">
        <f t="shared" si="0"/>
        <v>133</v>
      </c>
      <c r="H14" s="3">
        <f t="shared" si="0"/>
        <v>129</v>
      </c>
      <c r="I14" s="3">
        <f t="shared" si="0"/>
        <v>124</v>
      </c>
      <c r="J14" s="3">
        <f t="shared" si="0"/>
        <v>116</v>
      </c>
      <c r="K14" s="3">
        <f t="shared" si="0"/>
        <v>111</v>
      </c>
      <c r="L14" s="3">
        <f t="shared" si="0"/>
        <v>109</v>
      </c>
      <c r="M14" s="3">
        <f t="shared" si="0"/>
        <v>107</v>
      </c>
      <c r="N14" s="3">
        <f t="shared" si="0"/>
        <v>102</v>
      </c>
      <c r="O14" s="3">
        <f t="shared" si="0"/>
        <v>96</v>
      </c>
      <c r="P14" s="3">
        <f t="shared" si="0"/>
        <v>92</v>
      </c>
      <c r="Q14" s="3">
        <f t="shared" si="0"/>
        <v>85</v>
      </c>
    </row>
    <row r="15" spans="1:17" ht="13" x14ac:dyDescent="0.3">
      <c r="F15" s="12"/>
      <c r="G15" s="12"/>
      <c r="H15" s="12"/>
      <c r="I15" s="12"/>
      <c r="J15" s="12"/>
      <c r="K15" s="12"/>
      <c r="L15" s="12"/>
    </row>
    <row r="16" spans="1:17" x14ac:dyDescent="0.25">
      <c r="A16" t="s">
        <v>275</v>
      </c>
      <c r="B16" s="1">
        <f>COUNTIFS('Faculty Members_List'!BH$2:BH$258,"PATT",'Faculty Members_List'!BG$2:BG$258,"&lt;&gt;PATT")</f>
        <v>3</v>
      </c>
      <c r="C16" s="1">
        <f>COUNTIFS('Faculty Members_List'!BI$2:BI$258,"PATT",'Faculty Members_List'!BH$2:BH$258,"&lt;&gt;PATT")</f>
        <v>4</v>
      </c>
      <c r="D16" s="1">
        <f>COUNTIFS('Faculty Members_List'!BJ$2:BJ$258,"PATT",'Faculty Members_List'!BI$2:BI$258,"&lt;&gt;PATT")</f>
        <v>4</v>
      </c>
      <c r="E16" s="1">
        <f>COUNTIFS('Faculty Members_List'!BK$2:BK$258,"PATT",'Faculty Members_List'!BJ$2:BJ$258,"&lt;&gt;PATT")</f>
        <v>1</v>
      </c>
      <c r="F16" s="1">
        <f>COUNTIFS('Faculty Members_List'!BL$2:BL$258,"PATT",'Faculty Members_List'!BK$2:BK$258,"&lt;&gt;PATT")</f>
        <v>1</v>
      </c>
      <c r="G16" s="1">
        <f>COUNTIFS('Faculty Members_List'!BM$2:BM$258,"PATT",'Faculty Members_List'!BL$2:BL$258,"&lt;&gt;PATT")</f>
        <v>0</v>
      </c>
      <c r="H16" s="1">
        <f>COUNTIFS('Faculty Members_List'!BN$2:BN$258,"PATT",'Faculty Members_List'!BM$2:BM$258,"&lt;&gt;PATT")</f>
        <v>0</v>
      </c>
      <c r="I16" s="1">
        <f>COUNTIFS('Faculty Members_List'!BO$2:BO$258,"PATT",'Faculty Members_List'!BN$2:BN$258,"&lt;&gt;PATT")</f>
        <v>0</v>
      </c>
      <c r="J16" s="1">
        <f>COUNTIFS('Faculty Members_List'!BP$2:BP$258,"PATT",'Faculty Members_List'!BO$2:BO$258,"&lt;&gt;PATT")</f>
        <v>0</v>
      </c>
      <c r="K16" s="1">
        <f>COUNTIFS('Faculty Members_List'!BQ$2:BQ$258,"PATT",'Faculty Members_List'!BP$2:BP$258,"&lt;&gt;PATT")</f>
        <v>0</v>
      </c>
      <c r="L16" s="1">
        <f>COUNTIFS('Faculty Members_List'!BR$2:BR$258,"PATT",'Faculty Members_List'!BQ$2:BQ$258,"&lt;&gt;PATT")</f>
        <v>0</v>
      </c>
      <c r="M16" s="1">
        <f>COUNTIFS('Faculty Members_List'!BS$2:BS$258,"PATT",'Faculty Members_List'!BR$2:BR$258,"&lt;&gt;PATT")</f>
        <v>0</v>
      </c>
      <c r="N16" s="1">
        <f>COUNTIFS('Faculty Members_List'!BT$2:BT$258,"PATT",'Faculty Members_List'!BS$2:BS$258,"&lt;&gt;PATT")</f>
        <v>0</v>
      </c>
      <c r="O16" s="1">
        <f>COUNTIFS('Faculty Members_List'!BU$2:BU$258,"PATT",'Faculty Members_List'!BT$2:BT$258,"&lt;&gt;PATT")</f>
        <v>0</v>
      </c>
      <c r="P16" s="1">
        <f>COUNTIFS('Faculty Members_List'!BV$2:BV$258,"PATT",'Faculty Members_List'!BU$2:BU$258,"&lt;&gt;PATT")</f>
        <v>0</v>
      </c>
      <c r="Q16" s="1">
        <f>COUNTIFS('Faculty Members_List'!BW$2:BW$258,"PATT",'Faculty Members_List'!BV$2:BV$258,"&lt;&gt;PATT")</f>
        <v>0</v>
      </c>
    </row>
    <row r="17" spans="1:17" ht="13" x14ac:dyDescent="0.3">
      <c r="F17" s="12"/>
      <c r="G17" s="12"/>
      <c r="H17" s="12"/>
      <c r="I17" s="12"/>
      <c r="J17" s="12"/>
      <c r="K17" s="12"/>
      <c r="L17" s="12"/>
    </row>
    <row r="18" spans="1:17" x14ac:dyDescent="0.25">
      <c r="A18" s="7" t="s">
        <v>161</v>
      </c>
      <c r="B18" s="7">
        <f t="shared" ref="B18:Q18" si="1">SUM(B7)</f>
        <v>41</v>
      </c>
      <c r="C18" s="7">
        <f t="shared" si="1"/>
        <v>40</v>
      </c>
      <c r="D18" s="7">
        <f t="shared" si="1"/>
        <v>41</v>
      </c>
      <c r="E18" s="7">
        <f t="shared" si="1"/>
        <v>40</v>
      </c>
      <c r="F18" s="7">
        <f t="shared" si="1"/>
        <v>42</v>
      </c>
      <c r="G18" s="7">
        <f t="shared" si="1"/>
        <v>47</v>
      </c>
      <c r="H18" s="7">
        <f t="shared" si="1"/>
        <v>48</v>
      </c>
      <c r="I18" s="7">
        <f t="shared" si="1"/>
        <v>50</v>
      </c>
      <c r="J18" s="7">
        <f t="shared" si="1"/>
        <v>48</v>
      </c>
      <c r="K18" s="7">
        <f t="shared" si="1"/>
        <v>49</v>
      </c>
      <c r="L18" s="7">
        <f t="shared" si="1"/>
        <v>52</v>
      </c>
      <c r="M18" s="7">
        <f t="shared" si="1"/>
        <v>56</v>
      </c>
      <c r="N18" s="7">
        <f t="shared" si="1"/>
        <v>57</v>
      </c>
      <c r="O18" s="7">
        <f t="shared" si="1"/>
        <v>58</v>
      </c>
      <c r="P18" s="7">
        <f t="shared" si="1"/>
        <v>58</v>
      </c>
      <c r="Q18" s="7">
        <f t="shared" si="1"/>
        <v>62</v>
      </c>
    </row>
    <row r="19" spans="1:17" x14ac:dyDescent="0.25">
      <c r="A19" s="8" t="s">
        <v>162</v>
      </c>
      <c r="B19" s="8">
        <f t="shared" ref="B19:Q19" si="2">SUM(B6)</f>
        <v>25</v>
      </c>
      <c r="C19" s="8">
        <f t="shared" si="2"/>
        <v>26</v>
      </c>
      <c r="D19" s="8">
        <f t="shared" si="2"/>
        <v>27</v>
      </c>
      <c r="E19" s="8">
        <f t="shared" si="2"/>
        <v>27</v>
      </c>
      <c r="F19" s="8">
        <f t="shared" si="2"/>
        <v>27</v>
      </c>
      <c r="G19" s="8">
        <f t="shared" si="2"/>
        <v>24</v>
      </c>
      <c r="H19" s="8">
        <f t="shared" si="2"/>
        <v>24</v>
      </c>
      <c r="I19" s="8">
        <f t="shared" si="2"/>
        <v>23</v>
      </c>
      <c r="J19" s="8">
        <f t="shared" si="2"/>
        <v>25</v>
      </c>
      <c r="K19" s="8">
        <f t="shared" si="2"/>
        <v>23</v>
      </c>
      <c r="L19" s="8">
        <f t="shared" si="2"/>
        <v>21</v>
      </c>
      <c r="M19" s="8">
        <f t="shared" si="2"/>
        <v>17</v>
      </c>
      <c r="N19" s="8">
        <f t="shared" si="2"/>
        <v>14</v>
      </c>
      <c r="O19" s="8">
        <f t="shared" si="2"/>
        <v>10</v>
      </c>
      <c r="P19" s="8">
        <f t="shared" si="2"/>
        <v>7</v>
      </c>
      <c r="Q19" s="8">
        <f t="shared" si="2"/>
        <v>2</v>
      </c>
    </row>
    <row r="20" spans="1:17" x14ac:dyDescent="0.25">
      <c r="A20" s="9" t="s">
        <v>163</v>
      </c>
      <c r="B20" s="9">
        <f t="shared" ref="B20:Q20" si="3">SUM(B5)</f>
        <v>21</v>
      </c>
      <c r="C20" s="9">
        <f t="shared" si="3"/>
        <v>20</v>
      </c>
      <c r="D20" s="9">
        <f t="shared" si="3"/>
        <v>22</v>
      </c>
      <c r="E20" s="9">
        <f t="shared" si="3"/>
        <v>21</v>
      </c>
      <c r="F20" s="9">
        <f t="shared" si="3"/>
        <v>18</v>
      </c>
      <c r="G20" s="9">
        <f t="shared" si="3"/>
        <v>14</v>
      </c>
      <c r="H20" s="9">
        <f t="shared" si="3"/>
        <v>11</v>
      </c>
      <c r="I20" s="9">
        <f t="shared" si="3"/>
        <v>7</v>
      </c>
      <c r="J20" s="9">
        <f t="shared" si="3"/>
        <v>3</v>
      </c>
      <c r="K20" s="9">
        <f t="shared" si="3"/>
        <v>2</v>
      </c>
      <c r="L20" s="9">
        <f t="shared" si="3"/>
        <v>0</v>
      </c>
      <c r="M20" s="9">
        <f t="shared" si="3"/>
        <v>0</v>
      </c>
      <c r="N20" s="9">
        <f t="shared" si="3"/>
        <v>0</v>
      </c>
      <c r="O20" s="9">
        <f t="shared" si="3"/>
        <v>0</v>
      </c>
      <c r="P20" s="9">
        <f t="shared" si="3"/>
        <v>0</v>
      </c>
      <c r="Q20" s="9">
        <f t="shared" si="3"/>
        <v>0</v>
      </c>
    </row>
    <row r="21" spans="1:17" x14ac:dyDescent="0.25">
      <c r="A21" t="s">
        <v>130</v>
      </c>
      <c r="B21">
        <f t="shared" ref="B21:Q21" si="4">B8</f>
        <v>2</v>
      </c>
      <c r="C21">
        <f t="shared" si="4"/>
        <v>2</v>
      </c>
      <c r="D21">
        <f t="shared" si="4"/>
        <v>1</v>
      </c>
      <c r="E21">
        <f t="shared" si="4"/>
        <v>1</v>
      </c>
      <c r="F21">
        <f t="shared" si="4"/>
        <v>1</v>
      </c>
      <c r="G21">
        <f t="shared" si="4"/>
        <v>1</v>
      </c>
      <c r="H21">
        <f t="shared" si="4"/>
        <v>1</v>
      </c>
      <c r="I21">
        <f t="shared" si="4"/>
        <v>1</v>
      </c>
      <c r="J21">
        <f t="shared" si="4"/>
        <v>1</v>
      </c>
      <c r="K21">
        <f t="shared" si="4"/>
        <v>1</v>
      </c>
      <c r="L21">
        <f t="shared" si="4"/>
        <v>1</v>
      </c>
      <c r="M21">
        <f t="shared" si="4"/>
        <v>1</v>
      </c>
      <c r="N21">
        <f t="shared" si="4"/>
        <v>1</v>
      </c>
      <c r="O21">
        <f t="shared" si="4"/>
        <v>1</v>
      </c>
      <c r="P21">
        <f t="shared" si="4"/>
        <v>1</v>
      </c>
      <c r="Q21">
        <f t="shared" si="4"/>
        <v>1</v>
      </c>
    </row>
    <row r="22" spans="1:17" x14ac:dyDescent="0.25">
      <c r="A22" t="s">
        <v>255</v>
      </c>
      <c r="B22">
        <f t="shared" ref="B22:Q22" si="5">SUM(B9:B10)</f>
        <v>25</v>
      </c>
      <c r="C22">
        <f t="shared" si="5"/>
        <v>24</v>
      </c>
      <c r="D22">
        <f t="shared" si="5"/>
        <v>23</v>
      </c>
      <c r="E22">
        <f t="shared" si="5"/>
        <v>22</v>
      </c>
      <c r="F22">
        <f t="shared" si="5"/>
        <v>20</v>
      </c>
      <c r="G22">
        <f t="shared" si="5"/>
        <v>20</v>
      </c>
      <c r="H22">
        <f t="shared" si="5"/>
        <v>19</v>
      </c>
      <c r="I22">
        <f t="shared" si="5"/>
        <v>18</v>
      </c>
      <c r="J22">
        <f t="shared" si="5"/>
        <v>15</v>
      </c>
      <c r="K22">
        <f t="shared" si="5"/>
        <v>13</v>
      </c>
      <c r="L22">
        <f t="shared" si="5"/>
        <v>13</v>
      </c>
      <c r="M22">
        <f t="shared" si="5"/>
        <v>13</v>
      </c>
      <c r="N22">
        <f t="shared" si="5"/>
        <v>12</v>
      </c>
      <c r="O22">
        <f t="shared" si="5"/>
        <v>10</v>
      </c>
      <c r="P22">
        <f t="shared" si="5"/>
        <v>9</v>
      </c>
      <c r="Q22">
        <f t="shared" si="5"/>
        <v>8</v>
      </c>
    </row>
    <row r="23" spans="1:17" x14ac:dyDescent="0.25">
      <c r="A23" t="s">
        <v>254</v>
      </c>
      <c r="B23">
        <f t="shared" ref="B23:Q23" si="6">SUM(B11:B12)</f>
        <v>29</v>
      </c>
      <c r="C23">
        <f t="shared" si="6"/>
        <v>30</v>
      </c>
      <c r="D23">
        <f t="shared" si="6"/>
        <v>29</v>
      </c>
      <c r="E23">
        <f t="shared" si="6"/>
        <v>29</v>
      </c>
      <c r="F23">
        <f t="shared" si="6"/>
        <v>27</v>
      </c>
      <c r="G23">
        <f t="shared" si="6"/>
        <v>27</v>
      </c>
      <c r="H23">
        <f t="shared" si="6"/>
        <v>26</v>
      </c>
      <c r="I23">
        <f t="shared" si="6"/>
        <v>25</v>
      </c>
      <c r="J23">
        <f t="shared" si="6"/>
        <v>24</v>
      </c>
      <c r="K23">
        <f t="shared" si="6"/>
        <v>23</v>
      </c>
      <c r="L23">
        <f t="shared" si="6"/>
        <v>22</v>
      </c>
      <c r="M23">
        <f t="shared" si="6"/>
        <v>20</v>
      </c>
      <c r="N23">
        <f t="shared" si="6"/>
        <v>18</v>
      </c>
      <c r="O23">
        <f t="shared" si="6"/>
        <v>17</v>
      </c>
      <c r="P23">
        <f t="shared" si="6"/>
        <v>17</v>
      </c>
      <c r="Q23">
        <f t="shared" si="6"/>
        <v>12</v>
      </c>
    </row>
    <row r="24" spans="1:17" ht="13" x14ac:dyDescent="0.3">
      <c r="A24" s="6" t="s">
        <v>164</v>
      </c>
      <c r="B24" s="3">
        <f t="shared" ref="B24:Q24" si="7">SUM(B18:B23)</f>
        <v>143</v>
      </c>
      <c r="C24" s="3">
        <f t="shared" si="7"/>
        <v>142</v>
      </c>
      <c r="D24" s="3">
        <f t="shared" si="7"/>
        <v>143</v>
      </c>
      <c r="E24" s="3">
        <f t="shared" si="7"/>
        <v>140</v>
      </c>
      <c r="F24" s="3">
        <f t="shared" si="7"/>
        <v>135</v>
      </c>
      <c r="G24" s="3">
        <f t="shared" si="7"/>
        <v>133</v>
      </c>
      <c r="H24" s="3">
        <f t="shared" si="7"/>
        <v>129</v>
      </c>
      <c r="I24" s="3">
        <f t="shared" si="7"/>
        <v>124</v>
      </c>
      <c r="J24" s="3">
        <f t="shared" si="7"/>
        <v>116</v>
      </c>
      <c r="K24" s="3">
        <f t="shared" si="7"/>
        <v>111</v>
      </c>
      <c r="L24" s="3">
        <f t="shared" si="7"/>
        <v>109</v>
      </c>
      <c r="M24" s="3">
        <f t="shared" si="7"/>
        <v>107</v>
      </c>
      <c r="N24" s="3">
        <f t="shared" si="7"/>
        <v>102</v>
      </c>
      <c r="O24" s="3">
        <f t="shared" si="7"/>
        <v>96</v>
      </c>
      <c r="P24" s="3">
        <f t="shared" si="7"/>
        <v>92</v>
      </c>
      <c r="Q24" s="3">
        <f t="shared" si="7"/>
        <v>85</v>
      </c>
    </row>
    <row r="25" spans="1:17" ht="13" x14ac:dyDescent="0.3">
      <c r="F25" s="12"/>
      <c r="G25" s="12"/>
      <c r="H25" s="12"/>
      <c r="I25" s="12"/>
      <c r="J25" s="12"/>
      <c r="K25" s="12"/>
      <c r="L25" s="12"/>
    </row>
    <row r="26" spans="1:17" ht="13" x14ac:dyDescent="0.3">
      <c r="F26" s="12"/>
      <c r="G26" s="12"/>
      <c r="H26" s="12"/>
      <c r="I26" s="12"/>
      <c r="J26" s="12"/>
      <c r="K26" s="12"/>
      <c r="L26" s="12"/>
    </row>
    <row r="27" spans="1:17" ht="13" x14ac:dyDescent="0.3">
      <c r="F27" s="12"/>
      <c r="G27" s="12"/>
      <c r="H27" s="12"/>
      <c r="I27" s="12"/>
      <c r="J27" s="12"/>
      <c r="K27" s="12"/>
      <c r="L27" s="12"/>
    </row>
    <row r="28" spans="1:17" ht="13" x14ac:dyDescent="0.3">
      <c r="A28" t="s">
        <v>175</v>
      </c>
      <c r="F28" s="12"/>
      <c r="G28" s="12"/>
      <c r="H28" s="12"/>
      <c r="I28" s="12"/>
      <c r="J28" s="12"/>
      <c r="K28" s="12"/>
      <c r="L28" s="12"/>
    </row>
    <row r="29" spans="1:17" ht="13" x14ac:dyDescent="0.3">
      <c r="F29" s="12"/>
      <c r="G29" s="12"/>
      <c r="H29" s="12"/>
      <c r="I29" s="12"/>
      <c r="J29" s="12"/>
      <c r="K29" s="12"/>
      <c r="L29" s="12"/>
    </row>
    <row r="30" spans="1:17" ht="13" x14ac:dyDescent="0.3">
      <c r="B30" s="3">
        <v>2015</v>
      </c>
      <c r="C30" s="3">
        <v>2016</v>
      </c>
      <c r="D30" s="3">
        <v>2017</v>
      </c>
      <c r="E30" s="3">
        <v>2018</v>
      </c>
      <c r="F30" s="3">
        <v>2019</v>
      </c>
      <c r="G30" s="3">
        <v>2020</v>
      </c>
      <c r="H30" s="3">
        <v>2021</v>
      </c>
      <c r="I30" s="3">
        <v>2022</v>
      </c>
      <c r="J30" s="3">
        <v>2023</v>
      </c>
      <c r="K30" s="3">
        <v>2024</v>
      </c>
      <c r="L30" s="3">
        <v>2025</v>
      </c>
      <c r="M30" s="3">
        <v>2026</v>
      </c>
      <c r="N30" s="3">
        <v>2027</v>
      </c>
      <c r="O30" s="3">
        <v>2028</v>
      </c>
      <c r="P30" s="3">
        <v>2029</v>
      </c>
      <c r="Q30" s="3">
        <v>2030</v>
      </c>
    </row>
    <row r="31" spans="1:17" x14ac:dyDescent="0.25">
      <c r="A31" s="4" t="s">
        <v>133</v>
      </c>
      <c r="B31" s="2">
        <f>COUNTIFS('Faculty Members_List'!BH$2:BH$258,$A31,'Faculty Members_List'!$F$2:$F$258,"F")</f>
        <v>6</v>
      </c>
      <c r="C31" s="2">
        <f>COUNTIFS('Faculty Members_List'!BI$2:BI$258,$A31,'Faculty Members_List'!$F$2:$F$258,"F")</f>
        <v>7</v>
      </c>
      <c r="D31" s="2">
        <f>COUNTIFS('Faculty Members_List'!BJ$2:BJ$258,$A31,'Faculty Members_List'!$F$2:$F$258,"F")</f>
        <v>8</v>
      </c>
      <c r="E31" s="2">
        <f>COUNTIFS('Faculty Members_List'!BK$2:BK$258,$A31,'Faculty Members_List'!$F$2:$F$258,"F")</f>
        <v>7</v>
      </c>
      <c r="F31" s="2">
        <f>COUNTIFS('Faculty Members_List'!BL$2:BL$258,$A31,'Faculty Members_List'!$F$2:$F$258,"F")</f>
        <v>5</v>
      </c>
      <c r="G31" s="2">
        <f>COUNTIFS('Faculty Members_List'!BM$2:BM$258,$A31,'Faculty Members_List'!$F$2:$F$258,"F")</f>
        <v>5</v>
      </c>
      <c r="H31" s="2">
        <f>COUNTIFS('Faculty Members_List'!BN$2:BN$258,$A31,'Faculty Members_List'!$F$2:$F$258,"F")</f>
        <v>4</v>
      </c>
      <c r="I31" s="2">
        <f>COUNTIFS('Faculty Members_List'!BO$2:BO$258,$A31,'Faculty Members_List'!$F$2:$F$258,"F")</f>
        <v>2</v>
      </c>
      <c r="J31" s="2">
        <f>COUNTIFS('Faculty Members_List'!BP$2:BP$258,$A31,'Faculty Members_List'!$F$2:$F$258,"F")</f>
        <v>1</v>
      </c>
      <c r="K31" s="2">
        <f>COUNTIFS('Faculty Members_List'!BQ$2:BQ$258,$A31,'Faculty Members_List'!$F$2:$F$258,"F")</f>
        <v>1</v>
      </c>
      <c r="L31" s="2">
        <f>COUNTIFS('Faculty Members_List'!BR$2:BR$258,$A31,'Faculty Members_List'!$F$2:$F$258,"F")</f>
        <v>0</v>
      </c>
      <c r="M31" s="2">
        <f>COUNTIFS('Faculty Members_List'!BS$2:BS$258,$A31,'Faculty Members_List'!$F$2:$F$258,"F")</f>
        <v>0</v>
      </c>
      <c r="N31" s="2">
        <f>COUNTIFS('Faculty Members_List'!BT$2:BT$258,$A31,'Faculty Members_List'!$F$2:$F$258,"F")</f>
        <v>0</v>
      </c>
      <c r="O31" s="2">
        <f>COUNTIFS('Faculty Members_List'!BU$2:BU$258,$A31,'Faculty Members_List'!$F$2:$F$258,"F")</f>
        <v>0</v>
      </c>
      <c r="P31" s="2">
        <f>COUNTIFS('Faculty Members_List'!BV$2:BV$258,$A31,'Faculty Members_List'!$F$2:$F$258,"F")</f>
        <v>0</v>
      </c>
      <c r="Q31" s="2">
        <f>COUNTIFS('Faculty Members_List'!BW$2:BW$258,$A31,'Faculty Members_List'!$F$2:$F$258,"F")</f>
        <v>0</v>
      </c>
    </row>
    <row r="32" spans="1:17" x14ac:dyDescent="0.25">
      <c r="A32" s="4" t="s">
        <v>134</v>
      </c>
      <c r="B32" s="2">
        <f>COUNTIFS('Faculty Members_List'!BH$2:BH$258,$A32,'Faculty Members_List'!$F$2:$F$258,"F")</f>
        <v>5</v>
      </c>
      <c r="C32" s="2">
        <f>COUNTIFS('Faculty Members_List'!BI$2:BI$258,$A32,'Faculty Members_List'!$F$2:$F$258,"F")</f>
        <v>6</v>
      </c>
      <c r="D32" s="2">
        <f>COUNTIFS('Faculty Members_List'!BJ$2:BJ$258,$A32,'Faculty Members_List'!$F$2:$F$258,"F")</f>
        <v>6</v>
      </c>
      <c r="E32" s="2">
        <f>COUNTIFS('Faculty Members_List'!BK$2:BK$258,$A32,'Faculty Members_List'!$F$2:$F$258,"F")</f>
        <v>7</v>
      </c>
      <c r="F32" s="2">
        <f>COUNTIFS('Faculty Members_List'!BL$2:BL$258,$A32,'Faculty Members_List'!$F$2:$F$258,"F")</f>
        <v>8</v>
      </c>
      <c r="G32" s="2">
        <f>COUNTIFS('Faculty Members_List'!BM$2:BM$258,$A32,'Faculty Members_List'!$F$2:$F$258,"F")</f>
        <v>8</v>
      </c>
      <c r="H32" s="2">
        <f>COUNTIFS('Faculty Members_List'!BN$2:BN$258,$A32,'Faculty Members_List'!$F$2:$F$258,"F")</f>
        <v>8</v>
      </c>
      <c r="I32" s="2">
        <f>COUNTIFS('Faculty Members_List'!BO$2:BO$258,$A32,'Faculty Members_List'!$F$2:$F$258,"F")</f>
        <v>9</v>
      </c>
      <c r="J32" s="2">
        <f>COUNTIFS('Faculty Members_List'!BP$2:BP$258,$A32,'Faculty Members_List'!$F$2:$F$258,"F")</f>
        <v>10</v>
      </c>
      <c r="K32" s="2">
        <f>COUNTIFS('Faculty Members_List'!BQ$2:BQ$258,$A32,'Faculty Members_List'!$F$2:$F$258,"F")</f>
        <v>9</v>
      </c>
      <c r="L32" s="2">
        <f>COUNTIFS('Faculty Members_List'!BR$2:BR$258,$A32,'Faculty Members_List'!$F$2:$F$258,"F")</f>
        <v>7</v>
      </c>
      <c r="M32" s="2">
        <f>COUNTIFS('Faculty Members_List'!BS$2:BS$258,$A32,'Faculty Members_List'!$F$2:$F$258,"F")</f>
        <v>5</v>
      </c>
      <c r="N32" s="2">
        <f>COUNTIFS('Faculty Members_List'!BT$2:BT$258,$A32,'Faculty Members_List'!$F$2:$F$258,"F")</f>
        <v>5</v>
      </c>
      <c r="O32" s="2">
        <f>COUNTIFS('Faculty Members_List'!BU$2:BU$258,$A32,'Faculty Members_List'!$F$2:$F$258,"F")</f>
        <v>4</v>
      </c>
      <c r="P32" s="2">
        <f>COUNTIFS('Faculty Members_List'!BV$2:BV$258,$A32,'Faculty Members_List'!$F$2:$F$258,"F")</f>
        <v>2</v>
      </c>
      <c r="Q32" s="2">
        <f>COUNTIFS('Faculty Members_List'!BW$2:BW$258,$A32,'Faculty Members_List'!$F$2:$F$258,"F")</f>
        <v>1</v>
      </c>
    </row>
    <row r="33" spans="1:17" x14ac:dyDescent="0.25">
      <c r="A33" s="4" t="s">
        <v>135</v>
      </c>
      <c r="B33" s="2">
        <f>COUNTIFS('Faculty Members_List'!BH$2:BH$258,$A33,'Faculty Members_List'!$F$2:$F$258,"F")</f>
        <v>4</v>
      </c>
      <c r="C33" s="2">
        <f>COUNTIFS('Faculty Members_List'!BI$2:BI$258,$A33,'Faculty Members_List'!$F$2:$F$258,"F")</f>
        <v>3</v>
      </c>
      <c r="D33" s="2">
        <f>COUNTIFS('Faculty Members_List'!BJ$2:BJ$258,$A33,'Faculty Members_List'!$F$2:$F$258,"F")</f>
        <v>4</v>
      </c>
      <c r="E33" s="2">
        <f>COUNTIFS('Faculty Members_List'!BK$2:BK$258,$A33,'Faculty Members_List'!$F$2:$F$258,"F")</f>
        <v>4</v>
      </c>
      <c r="F33" s="2">
        <f>COUNTIFS('Faculty Members_List'!BL$2:BL$258,$A33,'Faculty Members_List'!$F$2:$F$258,"F")</f>
        <v>6</v>
      </c>
      <c r="G33" s="2">
        <f>COUNTIFS('Faculty Members_List'!BM$2:BM$258,$A33,'Faculty Members_List'!$F$2:$F$258,"F")</f>
        <v>6</v>
      </c>
      <c r="H33" s="2">
        <f>COUNTIFS('Faculty Members_List'!BN$2:BN$258,$A33,'Faculty Members_List'!$F$2:$F$258,"F")</f>
        <v>7</v>
      </c>
      <c r="I33" s="2">
        <f>COUNTIFS('Faculty Members_List'!BO$2:BO$258,$A33,'Faculty Members_List'!$F$2:$F$258,"F")</f>
        <v>8</v>
      </c>
      <c r="J33" s="2">
        <f>COUNTIFS('Faculty Members_List'!BP$2:BP$258,$A33,'Faculty Members_List'!$F$2:$F$258,"F")</f>
        <v>7</v>
      </c>
      <c r="K33" s="2">
        <f>COUNTIFS('Faculty Members_List'!BQ$2:BQ$258,$A33,'Faculty Members_List'!$F$2:$F$258,"F")</f>
        <v>8</v>
      </c>
      <c r="L33" s="2">
        <f>COUNTIFS('Faculty Members_List'!BR$2:BR$258,$A33,'Faculty Members_List'!$F$2:$F$258,"F")</f>
        <v>11</v>
      </c>
      <c r="M33" s="2">
        <f>COUNTIFS('Faculty Members_List'!BS$2:BS$258,$A33,'Faculty Members_List'!$F$2:$F$258,"F")</f>
        <v>13</v>
      </c>
      <c r="N33" s="2">
        <f>COUNTIFS('Faculty Members_List'!BT$2:BT$258,$A33,'Faculty Members_List'!$F$2:$F$258,"F")</f>
        <v>13</v>
      </c>
      <c r="O33" s="2">
        <f>COUNTIFS('Faculty Members_List'!BU$2:BU$258,$A33,'Faculty Members_List'!$F$2:$F$258,"F")</f>
        <v>14</v>
      </c>
      <c r="P33" s="2">
        <f>COUNTIFS('Faculty Members_List'!BV$2:BV$258,$A33,'Faculty Members_List'!$F$2:$F$258,"F")</f>
        <v>15</v>
      </c>
      <c r="Q33" s="2">
        <f>COUNTIFS('Faculty Members_List'!BW$2:BW$258,$A33,'Faculty Members_List'!$F$2:$F$258,"F")</f>
        <v>16</v>
      </c>
    </row>
    <row r="34" spans="1:17" x14ac:dyDescent="0.25">
      <c r="A34" s="5" t="s">
        <v>130</v>
      </c>
      <c r="B34" s="2">
        <f>COUNTIFS('Faculty Members_List'!BH$2:BH$258,$A34,'Faculty Members_List'!$F$2:$F$258,"F")</f>
        <v>0</v>
      </c>
      <c r="C34" s="2">
        <f>COUNTIFS('Faculty Members_List'!BI$2:BI$258,$A34,'Faculty Members_List'!$F$2:$F$258,"F")</f>
        <v>0</v>
      </c>
      <c r="D34" s="2">
        <f>COUNTIFS('Faculty Members_List'!BJ$2:BJ$258,$A34,'Faculty Members_List'!$F$2:$F$258,"F")</f>
        <v>0</v>
      </c>
      <c r="E34" s="2">
        <f>COUNTIFS('Faculty Members_List'!BK$2:BK$258,$A34,'Faculty Members_List'!$F$2:$F$258,"F")</f>
        <v>0</v>
      </c>
      <c r="F34" s="2">
        <f>COUNTIFS('Faculty Members_List'!BL$2:BL$258,$A34,'Faculty Members_List'!$F$2:$F$258,"F")</f>
        <v>0</v>
      </c>
      <c r="G34" s="2">
        <f>COUNTIFS('Faculty Members_List'!BM$2:BM$258,$A34,'Faculty Members_List'!$F$2:$F$258,"F")</f>
        <v>0</v>
      </c>
      <c r="H34" s="2">
        <f>COUNTIFS('Faculty Members_List'!BN$2:BN$258,$A34,'Faculty Members_List'!$F$2:$F$258,"F")</f>
        <v>0</v>
      </c>
      <c r="I34" s="2">
        <f>COUNTIFS('Faculty Members_List'!BO$2:BO$258,$A34,'Faculty Members_List'!$F$2:$F$258,"F")</f>
        <v>0</v>
      </c>
      <c r="J34" s="2">
        <f>COUNTIFS('Faculty Members_List'!BP$2:BP$258,$A34,'Faculty Members_List'!$F$2:$F$258,"F")</f>
        <v>0</v>
      </c>
      <c r="K34" s="2">
        <f>COUNTIFS('Faculty Members_List'!BQ$2:BQ$258,$A34,'Faculty Members_List'!$F$2:$F$258,"F")</f>
        <v>0</v>
      </c>
      <c r="L34" s="2">
        <f>COUNTIFS('Faculty Members_List'!BR$2:BR$258,$A34,'Faculty Members_List'!$F$2:$F$258,"F")</f>
        <v>0</v>
      </c>
      <c r="M34" s="2">
        <f>COUNTIFS('Faculty Members_List'!BS$2:BS$258,$A34,'Faculty Members_List'!$F$2:$F$258,"F")</f>
        <v>0</v>
      </c>
      <c r="N34" s="2">
        <f>COUNTIFS('Faculty Members_List'!BT$2:BT$258,$A34,'Faculty Members_List'!$F$2:$F$258,"F")</f>
        <v>0</v>
      </c>
      <c r="O34" s="2">
        <f>COUNTIFS('Faculty Members_List'!BU$2:BU$258,$A34,'Faculty Members_List'!$F$2:$F$258,"F")</f>
        <v>0</v>
      </c>
      <c r="P34" s="2">
        <f>COUNTIFS('Faculty Members_List'!BV$2:BV$258,$A34,'Faculty Members_List'!$F$2:$F$258,"F")</f>
        <v>0</v>
      </c>
      <c r="Q34" s="2">
        <f>COUNTIFS('Faculty Members_List'!BW$2:BW$258,$A34,'Faculty Members_List'!$F$2:$F$258,"F")</f>
        <v>0</v>
      </c>
    </row>
    <row r="35" spans="1:17" x14ac:dyDescent="0.25">
      <c r="A35" s="5" t="s">
        <v>131</v>
      </c>
      <c r="B35" s="2">
        <f>COUNTIFS('Faculty Members_List'!BH$2:BH$258,$A35,'Faculty Members_List'!$F$2:$F$258,"F")</f>
        <v>3</v>
      </c>
      <c r="C35" s="2">
        <f>COUNTIFS('Faculty Members_List'!BI$2:BI$258,$A35,'Faculty Members_List'!$F$2:$F$258,"F")</f>
        <v>3</v>
      </c>
      <c r="D35" s="2">
        <f>COUNTIFS('Faculty Members_List'!BJ$2:BJ$258,$A35,'Faculty Members_List'!$F$2:$F$258,"F")</f>
        <v>2</v>
      </c>
      <c r="E35" s="2">
        <f>COUNTIFS('Faculty Members_List'!BK$2:BK$258,$A35,'Faculty Members_List'!$F$2:$F$258,"F")</f>
        <v>2</v>
      </c>
      <c r="F35" s="2">
        <f>COUNTIFS('Faculty Members_List'!BL$2:BL$258,$A35,'Faculty Members_List'!$F$2:$F$258,"F")</f>
        <v>2</v>
      </c>
      <c r="G35" s="2">
        <f>COUNTIFS('Faculty Members_List'!BM$2:BM$258,$A35,'Faculty Members_List'!$F$2:$F$258,"F")</f>
        <v>2</v>
      </c>
      <c r="H35" s="2">
        <f>COUNTIFS('Faculty Members_List'!BN$2:BN$258,$A35,'Faculty Members_List'!$F$2:$F$258,"F")</f>
        <v>2</v>
      </c>
      <c r="I35" s="2">
        <f>COUNTIFS('Faculty Members_List'!BO$2:BO$258,$A35,'Faculty Members_List'!$F$2:$F$258,"F")</f>
        <v>1</v>
      </c>
      <c r="J35" s="2">
        <f>COUNTIFS('Faculty Members_List'!BP$2:BP$258,$A35,'Faculty Members_List'!$F$2:$F$258,"F")</f>
        <v>1</v>
      </c>
      <c r="K35" s="2">
        <f>COUNTIFS('Faculty Members_List'!BQ$2:BQ$258,$A35,'Faculty Members_List'!$F$2:$F$258,"F")</f>
        <v>1</v>
      </c>
      <c r="L35" s="2">
        <f>COUNTIFS('Faculty Members_List'!BR$2:BR$258,$A35,'Faculty Members_List'!$F$2:$F$258,"F")</f>
        <v>1</v>
      </c>
      <c r="M35" s="2">
        <f>COUNTIFS('Faculty Members_List'!BS$2:BS$258,$A35,'Faculty Members_List'!$F$2:$F$258,"F")</f>
        <v>1</v>
      </c>
      <c r="N35" s="2">
        <f>COUNTIFS('Faculty Members_List'!BT$2:BT$258,$A35,'Faculty Members_List'!$F$2:$F$258,"F")</f>
        <v>1</v>
      </c>
      <c r="O35" s="2">
        <f>COUNTIFS('Faculty Members_List'!BU$2:BU$258,$A35,'Faculty Members_List'!$F$2:$F$258,"F")</f>
        <v>0</v>
      </c>
      <c r="P35" s="2">
        <f>COUNTIFS('Faculty Members_List'!BV$2:BV$258,$A35,'Faculty Members_List'!$F$2:$F$258,"F")</f>
        <v>0</v>
      </c>
      <c r="Q35" s="2">
        <f>COUNTIFS('Faculty Members_List'!BW$2:BW$258,$A35,'Faculty Members_List'!$F$2:$F$258,"F")</f>
        <v>0</v>
      </c>
    </row>
    <row r="36" spans="1:17" x14ac:dyDescent="0.25">
      <c r="A36" s="5" t="s">
        <v>132</v>
      </c>
      <c r="B36" s="2">
        <f>COUNTIFS('Faculty Members_List'!BH$2:BH$258,$A36,'Faculty Members_List'!$F$2:$F$258,"F")</f>
        <v>1</v>
      </c>
      <c r="C36" s="2">
        <f>COUNTIFS('Faculty Members_List'!BI$2:BI$258,$A36,'Faculty Members_List'!$F$2:$F$258,"F")</f>
        <v>1</v>
      </c>
      <c r="D36" s="2">
        <f>COUNTIFS('Faculty Members_List'!BJ$2:BJ$258,$A36,'Faculty Members_List'!$F$2:$F$258,"F")</f>
        <v>1</v>
      </c>
      <c r="E36" s="2">
        <f>COUNTIFS('Faculty Members_List'!BK$2:BK$258,$A36,'Faculty Members_List'!$F$2:$F$258,"F")</f>
        <v>1</v>
      </c>
      <c r="F36" s="2">
        <f>COUNTIFS('Faculty Members_List'!BL$2:BL$258,$A36,'Faculty Members_List'!$F$2:$F$258,"F")</f>
        <v>1</v>
      </c>
      <c r="G36" s="2">
        <f>COUNTIFS('Faculty Members_List'!BM$2:BM$258,$A36,'Faculty Members_List'!$F$2:$F$258,"F")</f>
        <v>1</v>
      </c>
      <c r="H36" s="2">
        <f>COUNTIFS('Faculty Members_List'!BN$2:BN$258,$A36,'Faculty Members_List'!$F$2:$F$258,"F")</f>
        <v>1</v>
      </c>
      <c r="I36" s="2">
        <f>COUNTIFS('Faculty Members_List'!BO$2:BO$258,$A36,'Faculty Members_List'!$F$2:$F$258,"F")</f>
        <v>1</v>
      </c>
      <c r="J36" s="2">
        <f>COUNTIFS('Faculty Members_List'!BP$2:BP$258,$A36,'Faculty Members_List'!$F$2:$F$258,"F")</f>
        <v>1</v>
      </c>
      <c r="K36" s="2">
        <f>COUNTIFS('Faculty Members_List'!BQ$2:BQ$258,$A36,'Faculty Members_List'!$F$2:$F$258,"F")</f>
        <v>1</v>
      </c>
      <c r="L36" s="2">
        <f>COUNTIFS('Faculty Members_List'!BR$2:BR$258,$A36,'Faculty Members_List'!$F$2:$F$258,"F")</f>
        <v>1</v>
      </c>
      <c r="M36" s="2">
        <f>COUNTIFS('Faculty Members_List'!BS$2:BS$258,$A36,'Faculty Members_List'!$F$2:$F$258,"F")</f>
        <v>1</v>
      </c>
      <c r="N36" s="2">
        <f>COUNTIFS('Faculty Members_List'!BT$2:BT$258,$A36,'Faculty Members_List'!$F$2:$F$258,"F")</f>
        <v>1</v>
      </c>
      <c r="O36" s="2">
        <f>COUNTIFS('Faculty Members_List'!BU$2:BU$258,$A36,'Faculty Members_List'!$F$2:$F$258,"F")</f>
        <v>1</v>
      </c>
      <c r="P36" s="2">
        <f>COUNTIFS('Faculty Members_List'!BV$2:BV$258,$A36,'Faculty Members_List'!$F$2:$F$258,"F")</f>
        <v>1</v>
      </c>
      <c r="Q36" s="2">
        <f>COUNTIFS('Faculty Members_List'!BW$2:BW$258,$A36,'Faculty Members_List'!$F$2:$F$258,"F")</f>
        <v>1</v>
      </c>
    </row>
    <row r="37" spans="1:17" x14ac:dyDescent="0.25">
      <c r="A37" s="5" t="s">
        <v>129</v>
      </c>
      <c r="B37" s="2">
        <f>COUNTIFS('Faculty Members_List'!BH$2:BH$258,$A37,'Faculty Members_List'!$F$2:$F$258,"F")</f>
        <v>2</v>
      </c>
      <c r="C37" s="2">
        <f>COUNTIFS('Faculty Members_List'!BI$2:BI$258,$A37,'Faculty Members_List'!$F$2:$F$258,"F")</f>
        <v>1</v>
      </c>
      <c r="D37" s="2">
        <f>COUNTIFS('Faculty Members_List'!BJ$2:BJ$258,$A37,'Faculty Members_List'!$F$2:$F$258,"F")</f>
        <v>1</v>
      </c>
      <c r="E37" s="2">
        <f>COUNTIFS('Faculty Members_List'!BK$2:BK$258,$A37,'Faculty Members_List'!$F$2:$F$258,"F")</f>
        <v>1</v>
      </c>
      <c r="F37" s="2">
        <f>COUNTIFS('Faculty Members_List'!BL$2:BL$258,$A37,'Faculty Members_List'!$F$2:$F$258,"F")</f>
        <v>1</v>
      </c>
      <c r="G37" s="2">
        <f>COUNTIFS('Faculty Members_List'!BM$2:BM$258,$A37,'Faculty Members_List'!$F$2:$F$258,"F")</f>
        <v>1</v>
      </c>
      <c r="H37" s="2">
        <f>COUNTIFS('Faculty Members_List'!BN$2:BN$258,$A37,'Faculty Members_List'!$F$2:$F$258,"F")</f>
        <v>1</v>
      </c>
      <c r="I37" s="2">
        <f>COUNTIFS('Faculty Members_List'!BO$2:BO$258,$A37,'Faculty Members_List'!$F$2:$F$258,"F")</f>
        <v>1</v>
      </c>
      <c r="J37" s="2">
        <f>COUNTIFS('Faculty Members_List'!BP$2:BP$258,$A37,'Faculty Members_List'!$F$2:$F$258,"F")</f>
        <v>1</v>
      </c>
      <c r="K37" s="2">
        <f>COUNTIFS('Faculty Members_List'!BQ$2:BQ$258,$A37,'Faculty Members_List'!$F$2:$F$258,"F")</f>
        <v>1</v>
      </c>
      <c r="L37" s="2">
        <f>COUNTIFS('Faculty Members_List'!BR$2:BR$258,$A37,'Faculty Members_List'!$F$2:$F$258,"F")</f>
        <v>1</v>
      </c>
      <c r="M37" s="2">
        <f>COUNTIFS('Faculty Members_List'!BS$2:BS$258,$A37,'Faculty Members_List'!$F$2:$F$258,"F")</f>
        <v>1</v>
      </c>
      <c r="N37" s="2">
        <f>COUNTIFS('Faculty Members_List'!BT$2:BT$258,$A37,'Faculty Members_List'!$F$2:$F$258,"F")</f>
        <v>1</v>
      </c>
      <c r="O37" s="2">
        <f>COUNTIFS('Faculty Members_List'!BU$2:BU$258,$A37,'Faculty Members_List'!$F$2:$F$258,"F")</f>
        <v>1</v>
      </c>
      <c r="P37" s="2">
        <f>COUNTIFS('Faculty Members_List'!BV$2:BV$258,$A37,'Faculty Members_List'!$F$2:$F$258,"F")</f>
        <v>1</v>
      </c>
      <c r="Q37" s="2">
        <f>COUNTIFS('Faculty Members_List'!BW$2:BW$258,$A37,'Faculty Members_List'!$F$2:$F$258,"F")</f>
        <v>1</v>
      </c>
    </row>
    <row r="38" spans="1:17" x14ac:dyDescent="0.25">
      <c r="A38" s="5" t="s">
        <v>137</v>
      </c>
      <c r="B38" s="2">
        <f>COUNTIFS('Faculty Members_List'!BH$2:BH$258,$A38,'Faculty Members_List'!$F$2:$F$258,"F")</f>
        <v>0</v>
      </c>
      <c r="C38" s="2">
        <f>COUNTIFS('Faculty Members_List'!BI$2:BI$258,$A38,'Faculty Members_List'!$F$2:$F$258,"F")</f>
        <v>0</v>
      </c>
      <c r="D38" s="2">
        <f>COUNTIFS('Faculty Members_List'!BJ$2:BJ$258,$A38,'Faculty Members_List'!$F$2:$F$258,"F")</f>
        <v>0</v>
      </c>
      <c r="E38" s="2">
        <f>COUNTIFS('Faculty Members_List'!BK$2:BK$258,$A38,'Faculty Members_List'!$F$2:$F$258,"F")</f>
        <v>0</v>
      </c>
      <c r="F38" s="2">
        <f>COUNTIFS('Faculty Members_List'!BL$2:BL$258,$A38,'Faculty Members_List'!$F$2:$F$258,"F")</f>
        <v>0</v>
      </c>
      <c r="G38" s="2">
        <f>COUNTIFS('Faculty Members_List'!BM$2:BM$258,$A38,'Faculty Members_List'!$F$2:$F$258,"F")</f>
        <v>0</v>
      </c>
      <c r="H38" s="2">
        <f>COUNTIFS('Faculty Members_List'!BN$2:BN$258,$A38,'Faculty Members_List'!$F$2:$F$258,"F")</f>
        <v>0</v>
      </c>
      <c r="I38" s="2">
        <f>COUNTIFS('Faculty Members_List'!BO$2:BO$258,$A38,'Faculty Members_List'!$F$2:$F$258,"F")</f>
        <v>0</v>
      </c>
      <c r="J38" s="2">
        <f>COUNTIFS('Faculty Members_List'!BP$2:BP$258,$A38,'Faculty Members_List'!$F$2:$F$258,"F")</f>
        <v>0</v>
      </c>
      <c r="K38" s="2">
        <f>COUNTIFS('Faculty Members_List'!BQ$2:BQ$258,$A38,'Faculty Members_List'!$F$2:$F$258,"F")</f>
        <v>0</v>
      </c>
      <c r="L38" s="2">
        <f>COUNTIFS('Faculty Members_List'!BR$2:BR$258,$A38,'Faculty Members_List'!$F$2:$F$258,"F")</f>
        <v>0</v>
      </c>
      <c r="M38" s="2">
        <f>COUNTIFS('Faculty Members_List'!BS$2:BS$258,$A38,'Faculty Members_List'!$F$2:$F$258,"F")</f>
        <v>0</v>
      </c>
      <c r="N38" s="2">
        <f>COUNTIFS('Faculty Members_List'!BT$2:BT$258,$A38,'Faculty Members_List'!$F$2:$F$258,"F")</f>
        <v>0</v>
      </c>
      <c r="O38" s="2">
        <f>COUNTIFS('Faculty Members_List'!BU$2:BU$258,$A38,'Faculty Members_List'!$F$2:$F$258,"F")</f>
        <v>0</v>
      </c>
      <c r="P38" s="2">
        <f>COUNTIFS('Faculty Members_List'!BV$2:BV$258,$A38,'Faculty Members_List'!$F$2:$F$258,"F")</f>
        <v>0</v>
      </c>
      <c r="Q38" s="2">
        <f>COUNTIFS('Faculty Members_List'!BW$2:BW$258,$A38,'Faculty Members_List'!$F$2:$F$258,"F")</f>
        <v>0</v>
      </c>
    </row>
    <row r="39" spans="1:17" ht="13" x14ac:dyDescent="0.3">
      <c r="F39" s="12"/>
      <c r="G39" s="12"/>
      <c r="H39" s="12"/>
      <c r="I39" s="12"/>
      <c r="J39" s="12"/>
      <c r="K39" s="12"/>
    </row>
    <row r="40" spans="1:17" ht="13" x14ac:dyDescent="0.3">
      <c r="A40" s="6" t="s">
        <v>154</v>
      </c>
      <c r="B40" s="3">
        <f>SUM(B31:B38)</f>
        <v>21</v>
      </c>
      <c r="C40" s="3">
        <f>SUM(C31:C38)</f>
        <v>21</v>
      </c>
      <c r="D40" s="3">
        <f>SUM(D31:D38)</f>
        <v>22</v>
      </c>
      <c r="E40" s="3">
        <f>SUM(E31:E38)</f>
        <v>22</v>
      </c>
      <c r="F40" s="3">
        <f t="shared" ref="F40:Q40" si="8">SUM(F31:F38)</f>
        <v>23</v>
      </c>
      <c r="G40" s="3">
        <f t="shared" si="8"/>
        <v>23</v>
      </c>
      <c r="H40" s="3">
        <f t="shared" si="8"/>
        <v>23</v>
      </c>
      <c r="I40" s="3">
        <f t="shared" si="8"/>
        <v>22</v>
      </c>
      <c r="J40" s="3">
        <f t="shared" si="8"/>
        <v>21</v>
      </c>
      <c r="K40" s="3">
        <f t="shared" si="8"/>
        <v>21</v>
      </c>
      <c r="L40" s="3">
        <f t="shared" si="8"/>
        <v>21</v>
      </c>
      <c r="M40" s="3">
        <f t="shared" si="8"/>
        <v>21</v>
      </c>
      <c r="N40" s="3">
        <f t="shared" si="8"/>
        <v>21</v>
      </c>
      <c r="O40" s="3">
        <f t="shared" si="8"/>
        <v>20</v>
      </c>
      <c r="P40" s="3">
        <f t="shared" si="8"/>
        <v>19</v>
      </c>
      <c r="Q40" s="3">
        <f t="shared" si="8"/>
        <v>19</v>
      </c>
    </row>
    <row r="41" spans="1:17" ht="13" x14ac:dyDescent="0.3">
      <c r="F41" s="12"/>
      <c r="G41" s="12"/>
      <c r="H41" s="12"/>
      <c r="I41" s="12"/>
      <c r="J41" s="12"/>
      <c r="K41" s="12"/>
    </row>
    <row r="42" spans="1:17" ht="13" x14ac:dyDescent="0.3">
      <c r="F42" s="12"/>
      <c r="G42" s="12"/>
      <c r="H42" s="12"/>
      <c r="I42" s="12"/>
      <c r="J42" s="12"/>
      <c r="K42" s="12"/>
      <c r="L42" s="12"/>
    </row>
    <row r="43" spans="1:17" ht="13" x14ac:dyDescent="0.3">
      <c r="F43" s="12"/>
      <c r="G43" s="12"/>
      <c r="H43" s="12"/>
      <c r="I43" s="12"/>
      <c r="J43" s="12"/>
      <c r="K43" s="12"/>
      <c r="L43" s="12"/>
    </row>
    <row r="44" spans="1:17" ht="13" x14ac:dyDescent="0.3">
      <c r="A44" t="s">
        <v>176</v>
      </c>
      <c r="F44" s="12"/>
      <c r="G44" s="12"/>
      <c r="H44" s="12"/>
      <c r="I44" s="12"/>
      <c r="J44" s="12"/>
      <c r="K44" s="12"/>
      <c r="L44" s="12"/>
    </row>
    <row r="45" spans="1:17" ht="13" x14ac:dyDescent="0.3">
      <c r="F45" s="12"/>
      <c r="G45" s="12"/>
      <c r="H45" s="12"/>
      <c r="I45" s="12"/>
      <c r="J45" s="12"/>
      <c r="K45" s="12"/>
      <c r="L45" s="12"/>
    </row>
    <row r="46" spans="1:17" ht="13" x14ac:dyDescent="0.3">
      <c r="B46" s="3">
        <v>2015</v>
      </c>
      <c r="C46" s="3">
        <v>2016</v>
      </c>
      <c r="D46" s="3">
        <v>2017</v>
      </c>
      <c r="E46" s="3">
        <v>2018</v>
      </c>
      <c r="F46" s="3">
        <v>2019</v>
      </c>
      <c r="G46" s="3">
        <v>2020</v>
      </c>
      <c r="H46" s="3">
        <v>2021</v>
      </c>
      <c r="I46" s="3">
        <v>2022</v>
      </c>
      <c r="J46" s="3">
        <v>2023</v>
      </c>
      <c r="K46" s="3">
        <v>2024</v>
      </c>
      <c r="L46" s="3">
        <v>2025</v>
      </c>
      <c r="M46" s="3">
        <v>2026</v>
      </c>
      <c r="N46" s="3">
        <v>2027</v>
      </c>
      <c r="O46" s="3">
        <v>2028</v>
      </c>
      <c r="P46" s="3">
        <v>2029</v>
      </c>
      <c r="Q46" s="3">
        <v>2030</v>
      </c>
    </row>
    <row r="47" spans="1:17" x14ac:dyDescent="0.25">
      <c r="A47" s="4" t="s">
        <v>133</v>
      </c>
      <c r="B47" s="2">
        <f>COUNTIFS('Faculty Members_List'!BH$2:BH$258,$A31,'Faculty Members_List'!$F$2:$F$258,"H")</f>
        <v>15</v>
      </c>
      <c r="C47" s="2">
        <f>COUNTIFS('Faculty Members_List'!BI$2:BI$258,$A31,'Faculty Members_List'!$F$2:$F$258,"H")</f>
        <v>13</v>
      </c>
      <c r="D47" s="2">
        <f>COUNTIFS('Faculty Members_List'!BJ$2:BJ$258,$A31,'Faculty Members_List'!$F$2:$F$258,"H")</f>
        <v>14</v>
      </c>
      <c r="E47" s="2">
        <f>COUNTIFS('Faculty Members_List'!BK$2:BK$258,$A31,'Faculty Members_List'!$F$2:$F$258,"H")</f>
        <v>14</v>
      </c>
      <c r="F47" s="2">
        <f>COUNTIFS('Faculty Members_List'!BL$2:BL$258,$A31,'Faculty Members_List'!$F$2:$F$258,"H")</f>
        <v>13</v>
      </c>
      <c r="G47" s="2">
        <f>COUNTIFS('Faculty Members_List'!BM$2:BM$258,$A31,'Faculty Members_List'!$F$2:$F$258,"H")</f>
        <v>9</v>
      </c>
      <c r="H47" s="2">
        <f>COUNTIFS('Faculty Members_List'!BN$2:BN$258,$A31,'Faculty Members_List'!$F$2:$F$258,"H")</f>
        <v>7</v>
      </c>
      <c r="I47" s="2">
        <f>COUNTIFS('Faculty Members_List'!BO$2:BO$258,$A31,'Faculty Members_List'!$F$2:$F$258,"H")</f>
        <v>5</v>
      </c>
      <c r="J47" s="2">
        <f>COUNTIFS('Faculty Members_List'!BP$2:BP$258,$A31,'Faculty Members_List'!$F$2:$F$258,"H")</f>
        <v>2</v>
      </c>
      <c r="K47" s="2">
        <f>COUNTIFS('Faculty Members_List'!BQ$2:BQ$258,$A31,'Faculty Members_List'!$F$2:$F$258,"H")</f>
        <v>1</v>
      </c>
      <c r="L47" s="2">
        <f>COUNTIFS('Faculty Members_List'!BR$2:BR$258,$A31,'Faculty Members_List'!$F$2:$F$258,"H")</f>
        <v>0</v>
      </c>
      <c r="M47" s="2">
        <f>COUNTIFS('Faculty Members_List'!BS$2:BS$258,$A31,'Faculty Members_List'!$F$2:$F$258,"H")</f>
        <v>0</v>
      </c>
      <c r="N47" s="2">
        <f>COUNTIFS('Faculty Members_List'!BT$2:BT$258,$A31,'Faculty Members_List'!$F$2:$F$258,"H")</f>
        <v>0</v>
      </c>
      <c r="O47" s="2">
        <f>COUNTIFS('Faculty Members_List'!BU$2:BU$258,$A31,'Faculty Members_List'!$F$2:$F$258,"H")</f>
        <v>0</v>
      </c>
      <c r="P47" s="2">
        <f>COUNTIFS('Faculty Members_List'!BV$2:BV$258,$A31,'Faculty Members_List'!$F$2:$F$258,"H")</f>
        <v>0</v>
      </c>
      <c r="Q47" s="2">
        <f>COUNTIFS('Faculty Members_List'!BW$2:BW$258,$A31,'Faculty Members_List'!$F$2:$F$258,"H")</f>
        <v>0</v>
      </c>
    </row>
    <row r="48" spans="1:17" x14ac:dyDescent="0.25">
      <c r="A48" s="4" t="s">
        <v>134</v>
      </c>
      <c r="B48" s="2">
        <f>COUNTIFS('Faculty Members_List'!BH$2:BH$258,$A32,'Faculty Members_List'!$F$2:$F$258,"H")</f>
        <v>20</v>
      </c>
      <c r="C48" s="2">
        <f>COUNTIFS('Faculty Members_List'!BI$2:BI$258,$A32,'Faculty Members_List'!$F$2:$F$258,"H")</f>
        <v>20</v>
      </c>
      <c r="D48" s="2">
        <f>COUNTIFS('Faculty Members_List'!BJ$2:BJ$258,$A32,'Faculty Members_List'!$F$2:$F$258,"H")</f>
        <v>21</v>
      </c>
      <c r="E48" s="2">
        <f>COUNTIFS('Faculty Members_List'!BK$2:BK$258,$A32,'Faculty Members_List'!$F$2:$F$258,"H")</f>
        <v>20</v>
      </c>
      <c r="F48" s="2">
        <f>COUNTIFS('Faculty Members_List'!BL$2:BL$258,$A32,'Faculty Members_List'!$F$2:$F$258,"H")</f>
        <v>19</v>
      </c>
      <c r="G48" s="2">
        <f>COUNTIFS('Faculty Members_List'!BM$2:BM$258,$A32,'Faculty Members_List'!$F$2:$F$258,"H")</f>
        <v>16</v>
      </c>
      <c r="H48" s="2">
        <f>COUNTIFS('Faculty Members_List'!BN$2:BN$258,$A32,'Faculty Members_List'!$F$2:$F$258,"H")</f>
        <v>16</v>
      </c>
      <c r="I48" s="2">
        <f>COUNTIFS('Faculty Members_List'!BO$2:BO$258,$A32,'Faculty Members_List'!$F$2:$F$258,"H")</f>
        <v>14</v>
      </c>
      <c r="J48" s="2">
        <f>COUNTIFS('Faculty Members_List'!BP$2:BP$258,$A32,'Faculty Members_List'!$F$2:$F$258,"H")</f>
        <v>15</v>
      </c>
      <c r="K48" s="2">
        <f>COUNTIFS('Faculty Members_List'!BQ$2:BQ$258,$A32,'Faculty Members_List'!$F$2:$F$258,"H")</f>
        <v>14</v>
      </c>
      <c r="L48" s="2">
        <f>COUNTIFS('Faculty Members_List'!BR$2:BR$258,$A32,'Faculty Members_List'!$F$2:$F$258,"H")</f>
        <v>14</v>
      </c>
      <c r="M48" s="2">
        <f>COUNTIFS('Faculty Members_List'!BS$2:BS$258,$A32,'Faculty Members_List'!$F$2:$F$258,"H")</f>
        <v>12</v>
      </c>
      <c r="N48" s="2">
        <f>COUNTIFS('Faculty Members_List'!BT$2:BT$258,$A32,'Faculty Members_List'!$F$2:$F$258,"H")</f>
        <v>9</v>
      </c>
      <c r="O48" s="2">
        <f>COUNTIFS('Faculty Members_List'!BU$2:BU$258,$A32,'Faculty Members_List'!$F$2:$F$258,"H")</f>
        <v>6</v>
      </c>
      <c r="P48" s="2">
        <f>COUNTIFS('Faculty Members_List'!BV$2:BV$258,$A32,'Faculty Members_List'!$F$2:$F$258,"H")</f>
        <v>5</v>
      </c>
      <c r="Q48" s="2">
        <f>COUNTIFS('Faculty Members_List'!BW$2:BW$258,$A32,'Faculty Members_List'!$F$2:$F$258,"H")</f>
        <v>1</v>
      </c>
    </row>
    <row r="49" spans="1:17" x14ac:dyDescent="0.25">
      <c r="A49" s="4" t="s">
        <v>135</v>
      </c>
      <c r="B49" s="2">
        <f>COUNTIFS('Faculty Members_List'!BH$2:BH$258,$A33,'Faculty Members_List'!$F$2:$F$258,"H")</f>
        <v>37</v>
      </c>
      <c r="C49" s="2">
        <f>COUNTIFS('Faculty Members_List'!BI$2:BI$258,$A33,'Faculty Members_List'!$F$2:$F$258,"H")</f>
        <v>37</v>
      </c>
      <c r="D49" s="2">
        <f>COUNTIFS('Faculty Members_List'!BJ$2:BJ$258,$A33,'Faculty Members_List'!$F$2:$F$258,"H")</f>
        <v>37</v>
      </c>
      <c r="E49" s="2">
        <f>COUNTIFS('Faculty Members_List'!BK$2:BK$258,$A33,'Faculty Members_List'!$F$2:$F$258,"H")</f>
        <v>36</v>
      </c>
      <c r="F49" s="2">
        <f>COUNTIFS('Faculty Members_List'!BL$2:BL$258,$A33,'Faculty Members_List'!$F$2:$F$258,"H")</f>
        <v>36</v>
      </c>
      <c r="G49" s="2">
        <f>COUNTIFS('Faculty Members_List'!BM$2:BM$258,$A33,'Faculty Members_List'!$F$2:$F$258,"H")</f>
        <v>41</v>
      </c>
      <c r="H49" s="2">
        <f>COUNTIFS('Faculty Members_List'!BN$2:BN$258,$A33,'Faculty Members_List'!$F$2:$F$258,"H")</f>
        <v>41</v>
      </c>
      <c r="I49" s="2">
        <f>COUNTIFS('Faculty Members_List'!BO$2:BO$258,$A33,'Faculty Members_List'!$F$2:$F$258,"H")</f>
        <v>42</v>
      </c>
      <c r="J49" s="2">
        <f>COUNTIFS('Faculty Members_List'!BP$2:BP$258,$A33,'Faculty Members_List'!$F$2:$F$258,"H")</f>
        <v>41</v>
      </c>
      <c r="K49" s="2">
        <f>COUNTIFS('Faculty Members_List'!BQ$2:BQ$258,$A33,'Faculty Members_List'!$F$2:$F$258,"H")</f>
        <v>41</v>
      </c>
      <c r="L49" s="2">
        <f>COUNTIFS('Faculty Members_List'!BR$2:BR$258,$A33,'Faculty Members_List'!$F$2:$F$258,"H")</f>
        <v>41</v>
      </c>
      <c r="M49" s="2">
        <f>COUNTIFS('Faculty Members_List'!BS$2:BS$258,$A33,'Faculty Members_List'!$F$2:$F$258,"H")</f>
        <v>43</v>
      </c>
      <c r="N49" s="2">
        <f>COUNTIFS('Faculty Members_List'!BT$2:BT$258,$A33,'Faculty Members_List'!$F$2:$F$258,"H")</f>
        <v>44</v>
      </c>
      <c r="O49" s="2">
        <f>COUNTIFS('Faculty Members_List'!BU$2:BU$258,$A33,'Faculty Members_List'!$F$2:$F$258,"H")</f>
        <v>44</v>
      </c>
      <c r="P49" s="2">
        <f>COUNTIFS('Faculty Members_List'!BV$2:BV$258,$A33,'Faculty Members_List'!$F$2:$F$258,"H")</f>
        <v>43</v>
      </c>
      <c r="Q49" s="2">
        <f>COUNTIFS('Faculty Members_List'!BW$2:BW$258,$A33,'Faculty Members_List'!$F$2:$F$258,"H")</f>
        <v>46</v>
      </c>
    </row>
    <row r="50" spans="1:17" x14ac:dyDescent="0.25">
      <c r="A50" s="5" t="s">
        <v>130</v>
      </c>
      <c r="B50" s="2">
        <f>COUNTIFS('Faculty Members_List'!BH$2:BH$258,$A34,'Faculty Members_List'!$F$2:$F$258,"H")</f>
        <v>2</v>
      </c>
      <c r="C50" s="2">
        <f>COUNTIFS('Faculty Members_List'!BI$2:BI$258,$A34,'Faculty Members_List'!$F$2:$F$258,"H")</f>
        <v>2</v>
      </c>
      <c r="D50" s="2">
        <f>COUNTIFS('Faculty Members_List'!BJ$2:BJ$258,$A34,'Faculty Members_List'!$F$2:$F$258,"H")</f>
        <v>1</v>
      </c>
      <c r="E50" s="2">
        <f>COUNTIFS('Faculty Members_List'!BK$2:BK$258,$A34,'Faculty Members_List'!$F$2:$F$258,"H")</f>
        <v>1</v>
      </c>
      <c r="F50" s="2">
        <f>COUNTIFS('Faculty Members_List'!BL$2:BL$258,$A34,'Faculty Members_List'!$F$2:$F$258,"H")</f>
        <v>1</v>
      </c>
      <c r="G50" s="2">
        <f>COUNTIFS('Faculty Members_List'!BM$2:BM$258,$A34,'Faculty Members_List'!$F$2:$F$258,"H")</f>
        <v>1</v>
      </c>
      <c r="H50" s="2">
        <f>COUNTIFS('Faculty Members_List'!BN$2:BN$258,$A34,'Faculty Members_List'!$F$2:$F$258,"H")</f>
        <v>1</v>
      </c>
      <c r="I50" s="2">
        <f>COUNTIFS('Faculty Members_List'!BO$2:BO$258,$A34,'Faculty Members_List'!$F$2:$F$258,"H")</f>
        <v>1</v>
      </c>
      <c r="J50" s="2">
        <f>COUNTIFS('Faculty Members_List'!BP$2:BP$258,$A34,'Faculty Members_List'!$F$2:$F$258,"H")</f>
        <v>1</v>
      </c>
      <c r="K50" s="2">
        <f>COUNTIFS('Faculty Members_List'!BQ$2:BQ$258,$A34,'Faculty Members_List'!$F$2:$F$258,"H")</f>
        <v>1</v>
      </c>
      <c r="L50" s="2">
        <f>COUNTIFS('Faculty Members_List'!BR$2:BR$258,$A34,'Faculty Members_List'!$F$2:$F$258,"H")</f>
        <v>1</v>
      </c>
      <c r="M50" s="2">
        <f>COUNTIFS('Faculty Members_List'!BS$2:BS$258,$A34,'Faculty Members_List'!$F$2:$F$258,"H")</f>
        <v>1</v>
      </c>
      <c r="N50" s="2">
        <f>COUNTIFS('Faculty Members_List'!BT$2:BT$258,$A34,'Faculty Members_List'!$F$2:$F$258,"H")</f>
        <v>1</v>
      </c>
      <c r="O50" s="2">
        <f>COUNTIFS('Faculty Members_List'!BU$2:BU$258,$A34,'Faculty Members_List'!$F$2:$F$258,"H")</f>
        <v>1</v>
      </c>
      <c r="P50" s="2">
        <f>COUNTIFS('Faculty Members_List'!BV$2:BV$258,$A34,'Faculty Members_List'!$F$2:$F$258,"H")</f>
        <v>1</v>
      </c>
      <c r="Q50" s="2">
        <f>COUNTIFS('Faculty Members_List'!BW$2:BW$258,$A34,'Faculty Members_List'!$F$2:$F$258,"H")</f>
        <v>1</v>
      </c>
    </row>
    <row r="51" spans="1:17" x14ac:dyDescent="0.25">
      <c r="A51" s="5" t="s">
        <v>131</v>
      </c>
      <c r="B51" s="2">
        <f>COUNTIFS('Faculty Members_List'!BH$2:BH$258,$A35,'Faculty Members_List'!$F$2:$F$258,"H")</f>
        <v>17</v>
      </c>
      <c r="C51" s="2">
        <f>COUNTIFS('Faculty Members_List'!BI$2:BI$258,$A35,'Faculty Members_List'!$F$2:$F$258,"H")</f>
        <v>16</v>
      </c>
      <c r="D51" s="2">
        <f>COUNTIFS('Faculty Members_List'!BJ$2:BJ$258,$A35,'Faculty Members_List'!$F$2:$F$258,"H")</f>
        <v>16</v>
      </c>
      <c r="E51" s="2">
        <f>COUNTIFS('Faculty Members_List'!BK$2:BK$258,$A35,'Faculty Members_List'!$F$2:$F$258,"H")</f>
        <v>15</v>
      </c>
      <c r="F51" s="2">
        <f>COUNTIFS('Faculty Members_List'!BL$2:BL$258,$A35,'Faculty Members_List'!$F$2:$F$258,"H")</f>
        <v>13</v>
      </c>
      <c r="G51" s="2">
        <f>COUNTIFS('Faculty Members_List'!BM$2:BM$258,$A35,'Faculty Members_List'!$F$2:$F$258,"H")</f>
        <v>13</v>
      </c>
      <c r="H51" s="2">
        <f>COUNTIFS('Faculty Members_List'!BN$2:BN$258,$A35,'Faculty Members_List'!$F$2:$F$258,"H")</f>
        <v>12</v>
      </c>
      <c r="I51" s="2">
        <f>COUNTIFS('Faculty Members_List'!BO$2:BO$258,$A35,'Faculty Members_List'!$F$2:$F$258,"H")</f>
        <v>12</v>
      </c>
      <c r="J51" s="2">
        <f>COUNTIFS('Faculty Members_List'!BP$2:BP$258,$A35,'Faculty Members_List'!$F$2:$F$258,"H")</f>
        <v>9</v>
      </c>
      <c r="K51" s="2">
        <f>COUNTIFS('Faculty Members_List'!BQ$2:BQ$258,$A35,'Faculty Members_List'!$F$2:$F$258,"H")</f>
        <v>7</v>
      </c>
      <c r="L51" s="2">
        <f>COUNTIFS('Faculty Members_List'!BR$2:BR$258,$A35,'Faculty Members_List'!$F$2:$F$258,"H")</f>
        <v>7</v>
      </c>
      <c r="M51" s="2">
        <f>COUNTIFS('Faculty Members_List'!BS$2:BS$258,$A35,'Faculty Members_List'!$F$2:$F$258,"H")</f>
        <v>7</v>
      </c>
      <c r="N51" s="2">
        <f>COUNTIFS('Faculty Members_List'!BT$2:BT$258,$A35,'Faculty Members_List'!$F$2:$F$258,"H")</f>
        <v>7</v>
      </c>
      <c r="O51" s="2">
        <f>COUNTIFS('Faculty Members_List'!BU$2:BU$258,$A35,'Faculty Members_List'!$F$2:$F$258,"H")</f>
        <v>6</v>
      </c>
      <c r="P51" s="2">
        <f>COUNTIFS('Faculty Members_List'!BV$2:BV$258,$A35,'Faculty Members_List'!$F$2:$F$258,"H")</f>
        <v>5</v>
      </c>
      <c r="Q51" s="2">
        <f>COUNTIFS('Faculty Members_List'!BW$2:BW$258,$A35,'Faculty Members_List'!$F$2:$F$258,"H")</f>
        <v>4</v>
      </c>
    </row>
    <row r="52" spans="1:17" x14ac:dyDescent="0.25">
      <c r="A52" s="5" t="s">
        <v>132</v>
      </c>
      <c r="B52" s="2">
        <f>COUNTIFS('Faculty Members_List'!BH$2:BH$258,$A36,'Faculty Members_List'!$F$2:$F$258,"H")</f>
        <v>4</v>
      </c>
      <c r="C52" s="2">
        <f>COUNTIFS('Faculty Members_List'!BI$2:BI$258,$A36,'Faculty Members_List'!$F$2:$F$258,"H")</f>
        <v>4</v>
      </c>
      <c r="D52" s="2">
        <f>COUNTIFS('Faculty Members_List'!BJ$2:BJ$258,$A36,'Faculty Members_List'!$F$2:$F$258,"H")</f>
        <v>4</v>
      </c>
      <c r="E52" s="2">
        <f>COUNTIFS('Faculty Members_List'!BK$2:BK$258,$A36,'Faculty Members_List'!$F$2:$F$258,"H")</f>
        <v>4</v>
      </c>
      <c r="F52" s="2">
        <f>COUNTIFS('Faculty Members_List'!BL$2:BL$258,$A36,'Faculty Members_List'!$F$2:$F$258,"H")</f>
        <v>4</v>
      </c>
      <c r="G52" s="2">
        <f>COUNTIFS('Faculty Members_List'!BM$2:BM$258,$A36,'Faculty Members_List'!$F$2:$F$258,"H")</f>
        <v>4</v>
      </c>
      <c r="H52" s="2">
        <f>COUNTIFS('Faculty Members_List'!BN$2:BN$258,$A36,'Faculty Members_List'!$F$2:$F$258,"H")</f>
        <v>4</v>
      </c>
      <c r="I52" s="2">
        <f>COUNTIFS('Faculty Members_List'!BO$2:BO$258,$A36,'Faculty Members_List'!$F$2:$F$258,"H")</f>
        <v>4</v>
      </c>
      <c r="J52" s="2">
        <f>COUNTIFS('Faculty Members_List'!BP$2:BP$258,$A36,'Faculty Members_List'!$F$2:$F$258,"H")</f>
        <v>4</v>
      </c>
      <c r="K52" s="2">
        <f>COUNTIFS('Faculty Members_List'!BQ$2:BQ$258,$A36,'Faculty Members_List'!$F$2:$F$258,"H")</f>
        <v>4</v>
      </c>
      <c r="L52" s="2">
        <f>COUNTIFS('Faculty Members_List'!BR$2:BR$258,$A36,'Faculty Members_List'!$F$2:$F$258,"H")</f>
        <v>4</v>
      </c>
      <c r="M52" s="2">
        <f>COUNTIFS('Faculty Members_List'!BS$2:BS$258,$A36,'Faculty Members_List'!$F$2:$F$258,"H")</f>
        <v>4</v>
      </c>
      <c r="N52" s="2">
        <f>COUNTIFS('Faculty Members_List'!BT$2:BT$258,$A36,'Faculty Members_List'!$F$2:$F$258,"H")</f>
        <v>3</v>
      </c>
      <c r="O52" s="2">
        <f>COUNTIFS('Faculty Members_List'!BU$2:BU$258,$A36,'Faculty Members_List'!$F$2:$F$258,"H")</f>
        <v>3</v>
      </c>
      <c r="P52" s="2">
        <f>COUNTIFS('Faculty Members_List'!BV$2:BV$258,$A36,'Faculty Members_List'!$F$2:$F$258,"H")</f>
        <v>3</v>
      </c>
      <c r="Q52" s="2">
        <f>COUNTIFS('Faculty Members_List'!BW$2:BW$258,$A36,'Faculty Members_List'!$F$2:$F$258,"H")</f>
        <v>3</v>
      </c>
    </row>
    <row r="53" spans="1:17" x14ac:dyDescent="0.25">
      <c r="A53" s="5" t="s">
        <v>129</v>
      </c>
      <c r="B53" s="2">
        <f>COUNTIFS('Faculty Members_List'!BH$2:BH$258,$A37,'Faculty Members_List'!$F$2:$F$258,"H")</f>
        <v>24</v>
      </c>
      <c r="C53" s="2">
        <f>COUNTIFS('Faculty Members_List'!BI$2:BI$258,$A37,'Faculty Members_List'!$F$2:$F$258,"H")</f>
        <v>26</v>
      </c>
      <c r="D53" s="2">
        <f>COUNTIFS('Faculty Members_List'!BJ$2:BJ$258,$A37,'Faculty Members_List'!$F$2:$F$258,"H")</f>
        <v>25</v>
      </c>
      <c r="E53" s="2">
        <f>COUNTIFS('Faculty Members_List'!BK$2:BK$258,$A37,'Faculty Members_List'!$F$2:$F$258,"H")</f>
        <v>25</v>
      </c>
      <c r="F53" s="2">
        <f>COUNTIFS('Faculty Members_List'!BL$2:BL$258,$A37,'Faculty Members_List'!$F$2:$F$258,"H")</f>
        <v>23</v>
      </c>
      <c r="G53" s="2">
        <f>COUNTIFS('Faculty Members_List'!BM$2:BM$258,$A37,'Faculty Members_List'!$F$2:$F$258,"H")</f>
        <v>23</v>
      </c>
      <c r="H53" s="2">
        <f>COUNTIFS('Faculty Members_List'!BN$2:BN$258,$A37,'Faculty Members_List'!$F$2:$F$258,"H")</f>
        <v>22</v>
      </c>
      <c r="I53" s="2">
        <f>COUNTIFS('Faculty Members_List'!BO$2:BO$258,$A37,'Faculty Members_List'!$F$2:$F$258,"H")</f>
        <v>21</v>
      </c>
      <c r="J53" s="2">
        <f>COUNTIFS('Faculty Members_List'!BP$2:BP$258,$A37,'Faculty Members_List'!$F$2:$F$258,"H")</f>
        <v>20</v>
      </c>
      <c r="K53" s="2">
        <f>COUNTIFS('Faculty Members_List'!BQ$2:BQ$258,$A37,'Faculty Members_List'!$F$2:$F$258,"H")</f>
        <v>20</v>
      </c>
      <c r="L53" s="2">
        <f>COUNTIFS('Faculty Members_List'!BR$2:BR$258,$A37,'Faculty Members_List'!$F$2:$F$258,"H")</f>
        <v>19</v>
      </c>
      <c r="M53" s="2">
        <f>COUNTIFS('Faculty Members_List'!BS$2:BS$258,$A37,'Faculty Members_List'!$F$2:$F$258,"H")</f>
        <v>17</v>
      </c>
      <c r="N53" s="2">
        <f>COUNTIFS('Faculty Members_List'!BT$2:BT$258,$A37,'Faculty Members_List'!$F$2:$F$258,"H")</f>
        <v>15</v>
      </c>
      <c r="O53" s="2">
        <f>COUNTIFS('Faculty Members_List'!BU$2:BU$258,$A37,'Faculty Members_List'!$F$2:$F$258,"H")</f>
        <v>14</v>
      </c>
      <c r="P53" s="2">
        <f>COUNTIFS('Faculty Members_List'!BV$2:BV$258,$A37,'Faculty Members_List'!$F$2:$F$258,"H")</f>
        <v>14</v>
      </c>
      <c r="Q53" s="2">
        <f>COUNTIFS('Faculty Members_List'!BW$2:BW$258,$A37,'Faculty Members_List'!$F$2:$F$258,"H")</f>
        <v>9</v>
      </c>
    </row>
    <row r="54" spans="1:17" x14ac:dyDescent="0.25">
      <c r="A54" s="5" t="s">
        <v>137</v>
      </c>
      <c r="B54" s="2">
        <f>COUNTIFS('Faculty Members_List'!BH$2:BH$258,$A38,'Faculty Members_List'!$F$2:$F$258,"H")</f>
        <v>3</v>
      </c>
      <c r="C54" s="2">
        <f>COUNTIFS('Faculty Members_List'!BI$2:BI$258,$A38,'Faculty Members_List'!$F$2:$F$258,"H")</f>
        <v>3</v>
      </c>
      <c r="D54" s="2">
        <f>COUNTIFS('Faculty Members_List'!BJ$2:BJ$258,$A38,'Faculty Members_List'!$F$2:$F$258,"H")</f>
        <v>3</v>
      </c>
      <c r="E54" s="2">
        <f>COUNTIFS('Faculty Members_List'!BK$2:BK$258,$A38,'Faculty Members_List'!$F$2:$F$258,"H")</f>
        <v>3</v>
      </c>
      <c r="F54" s="2">
        <f>COUNTIFS('Faculty Members_List'!BL$2:BL$258,$A38,'Faculty Members_List'!$F$2:$F$258,"H")</f>
        <v>3</v>
      </c>
      <c r="G54" s="2">
        <f>COUNTIFS('Faculty Members_List'!BM$2:BM$258,$A38,'Faculty Members_List'!$F$2:$F$258,"H")</f>
        <v>3</v>
      </c>
      <c r="H54" s="2">
        <f>COUNTIFS('Faculty Members_List'!BN$2:BN$258,$A38,'Faculty Members_List'!$F$2:$F$258,"H")</f>
        <v>3</v>
      </c>
      <c r="I54" s="2">
        <f>COUNTIFS('Faculty Members_List'!BO$2:BO$258,$A38,'Faculty Members_List'!$F$2:$F$258,"H")</f>
        <v>3</v>
      </c>
      <c r="J54" s="2">
        <f>COUNTIFS('Faculty Members_List'!BP$2:BP$258,$A38,'Faculty Members_List'!$F$2:$F$258,"H")</f>
        <v>3</v>
      </c>
      <c r="K54" s="2">
        <f>COUNTIFS('Faculty Members_List'!BQ$2:BQ$258,$A38,'Faculty Members_List'!$F$2:$F$258,"H")</f>
        <v>2</v>
      </c>
      <c r="L54" s="2">
        <f>COUNTIFS('Faculty Members_List'!BR$2:BR$258,$A38,'Faculty Members_List'!$F$2:$F$258,"H")</f>
        <v>2</v>
      </c>
      <c r="M54" s="2">
        <f>COUNTIFS('Faculty Members_List'!BS$2:BS$258,$A38,'Faculty Members_List'!$F$2:$F$258,"H")</f>
        <v>2</v>
      </c>
      <c r="N54" s="2">
        <f>COUNTIFS('Faculty Members_List'!BT$2:BT$258,$A38,'Faculty Members_List'!$F$2:$F$258,"H")</f>
        <v>2</v>
      </c>
      <c r="O54" s="2">
        <f>COUNTIFS('Faculty Members_List'!BU$2:BU$258,$A38,'Faculty Members_List'!$F$2:$F$258,"H")</f>
        <v>2</v>
      </c>
      <c r="P54" s="2">
        <f>COUNTIFS('Faculty Members_List'!BV$2:BV$258,$A38,'Faculty Members_List'!$F$2:$F$258,"H")</f>
        <v>2</v>
      </c>
      <c r="Q54" s="2">
        <f>COUNTIFS('Faculty Members_List'!BW$2:BW$258,$A38,'Faculty Members_List'!$F$2:$F$258,"H")</f>
        <v>2</v>
      </c>
    </row>
    <row r="55" spans="1:17" ht="13" x14ac:dyDescent="0.3">
      <c r="F55" s="12"/>
      <c r="G55" s="12"/>
      <c r="H55" s="12"/>
      <c r="I55" s="12"/>
      <c r="J55" s="12"/>
      <c r="K55" s="12"/>
      <c r="L55" s="12"/>
    </row>
    <row r="56" spans="1:17" ht="13" x14ac:dyDescent="0.3">
      <c r="A56" s="6" t="s">
        <v>154</v>
      </c>
      <c r="B56" s="3">
        <f>SUM(B47:B54)</f>
        <v>122</v>
      </c>
      <c r="C56" s="3">
        <f>SUM(C47:C54)</f>
        <v>121</v>
      </c>
      <c r="D56" s="3">
        <f>SUM(D47:D54)</f>
        <v>121</v>
      </c>
      <c r="E56" s="3">
        <f t="shared" ref="E56:Q56" si="9">SUM(E47:E54)</f>
        <v>118</v>
      </c>
      <c r="F56" s="3">
        <f t="shared" si="9"/>
        <v>112</v>
      </c>
      <c r="G56" s="3">
        <f t="shared" si="9"/>
        <v>110</v>
      </c>
      <c r="H56" s="3">
        <f t="shared" si="9"/>
        <v>106</v>
      </c>
      <c r="I56" s="3">
        <f t="shared" si="9"/>
        <v>102</v>
      </c>
      <c r="J56" s="3">
        <f t="shared" si="9"/>
        <v>95</v>
      </c>
      <c r="K56" s="3">
        <f t="shared" si="9"/>
        <v>90</v>
      </c>
      <c r="L56" s="3">
        <f t="shared" si="9"/>
        <v>88</v>
      </c>
      <c r="M56" s="3">
        <f t="shared" si="9"/>
        <v>86</v>
      </c>
      <c r="N56" s="3">
        <f t="shared" si="9"/>
        <v>81</v>
      </c>
      <c r="O56" s="3">
        <f t="shared" si="9"/>
        <v>76</v>
      </c>
      <c r="P56" s="3">
        <f t="shared" si="9"/>
        <v>73</v>
      </c>
      <c r="Q56" s="3">
        <f t="shared" si="9"/>
        <v>66</v>
      </c>
    </row>
    <row r="57" spans="1:17" ht="13" x14ac:dyDescent="0.3">
      <c r="F57" s="12"/>
      <c r="G57" s="12"/>
      <c r="H57" s="12"/>
      <c r="I57" s="12"/>
      <c r="J57" s="12"/>
      <c r="K57" s="12"/>
      <c r="L57" s="12"/>
    </row>
    <row r="58" spans="1:17" ht="13" x14ac:dyDescent="0.3">
      <c r="F58" s="12"/>
      <c r="G58" s="12"/>
      <c r="H58" s="12"/>
      <c r="I58" s="12"/>
      <c r="J58" s="12"/>
      <c r="K58" s="12"/>
      <c r="L58" s="12"/>
    </row>
    <row r="59" spans="1:17" ht="13" x14ac:dyDescent="0.3">
      <c r="F59" s="12"/>
      <c r="G59" s="12"/>
      <c r="H59" s="12"/>
      <c r="I59" s="12"/>
      <c r="J59" s="12"/>
      <c r="K59" s="12"/>
      <c r="L59" s="12"/>
    </row>
    <row r="60" spans="1:17" ht="13" x14ac:dyDescent="0.3">
      <c r="B60" s="3">
        <v>2015</v>
      </c>
      <c r="C60" s="3">
        <v>2016</v>
      </c>
      <c r="D60" s="3">
        <v>2017</v>
      </c>
      <c r="E60" s="3">
        <v>2018</v>
      </c>
      <c r="F60" s="3">
        <v>2019</v>
      </c>
      <c r="G60" s="3">
        <v>2020</v>
      </c>
      <c r="H60" s="3">
        <v>2021</v>
      </c>
      <c r="I60" s="3">
        <v>2022</v>
      </c>
      <c r="J60" s="3">
        <v>2023</v>
      </c>
      <c r="K60" s="3">
        <v>2024</v>
      </c>
      <c r="L60" s="3">
        <v>2025</v>
      </c>
      <c r="M60" s="3">
        <v>2026</v>
      </c>
      <c r="N60" s="3">
        <v>2027</v>
      </c>
      <c r="O60" s="3">
        <v>2028</v>
      </c>
      <c r="P60" s="3">
        <v>2029</v>
      </c>
      <c r="Q60" s="3">
        <v>2030</v>
      </c>
    </row>
    <row r="61" spans="1:17" x14ac:dyDescent="0.25">
      <c r="A61" t="s">
        <v>179</v>
      </c>
      <c r="B61">
        <f>SUM(B5:B7)</f>
        <v>87</v>
      </c>
      <c r="C61">
        <f>SUM(C5:C7)</f>
        <v>86</v>
      </c>
      <c r="D61">
        <f t="shared" ref="D61:Q61" si="10">SUM(D5:D7)</f>
        <v>90</v>
      </c>
      <c r="E61">
        <f t="shared" si="10"/>
        <v>88</v>
      </c>
      <c r="F61">
        <f t="shared" si="10"/>
        <v>87</v>
      </c>
      <c r="G61">
        <f t="shared" si="10"/>
        <v>85</v>
      </c>
      <c r="H61">
        <f t="shared" si="10"/>
        <v>83</v>
      </c>
      <c r="I61">
        <f t="shared" si="10"/>
        <v>80</v>
      </c>
      <c r="J61">
        <f t="shared" si="10"/>
        <v>76</v>
      </c>
      <c r="K61">
        <f t="shared" si="10"/>
        <v>74</v>
      </c>
      <c r="L61">
        <f t="shared" si="10"/>
        <v>73</v>
      </c>
      <c r="M61">
        <f t="shared" si="10"/>
        <v>73</v>
      </c>
      <c r="N61">
        <f t="shared" si="10"/>
        <v>71</v>
      </c>
      <c r="O61">
        <f t="shared" si="10"/>
        <v>68</v>
      </c>
      <c r="P61">
        <f t="shared" si="10"/>
        <v>65</v>
      </c>
      <c r="Q61">
        <f t="shared" si="10"/>
        <v>64</v>
      </c>
    </row>
    <row r="62" spans="1:17" x14ac:dyDescent="0.25">
      <c r="A62" t="s">
        <v>180</v>
      </c>
      <c r="B62">
        <f>SUM(B31:B33)</f>
        <v>15</v>
      </c>
      <c r="C62">
        <f>SUM(C31:C33)</f>
        <v>16</v>
      </c>
      <c r="D62">
        <f>SUM(D31:D33)</f>
        <v>18</v>
      </c>
      <c r="E62">
        <f>SUM(E31:E33)</f>
        <v>18</v>
      </c>
      <c r="F62">
        <f t="shared" ref="F62:Q62" si="11">SUM(F31:F33)</f>
        <v>19</v>
      </c>
      <c r="G62">
        <f t="shared" si="11"/>
        <v>19</v>
      </c>
      <c r="H62">
        <f t="shared" si="11"/>
        <v>19</v>
      </c>
      <c r="I62">
        <f t="shared" si="11"/>
        <v>19</v>
      </c>
      <c r="J62">
        <f t="shared" si="11"/>
        <v>18</v>
      </c>
      <c r="K62">
        <f t="shared" si="11"/>
        <v>18</v>
      </c>
      <c r="L62">
        <f t="shared" si="11"/>
        <v>18</v>
      </c>
      <c r="M62">
        <f t="shared" si="11"/>
        <v>18</v>
      </c>
      <c r="N62">
        <f t="shared" si="11"/>
        <v>18</v>
      </c>
      <c r="O62">
        <f t="shared" si="11"/>
        <v>18</v>
      </c>
      <c r="P62">
        <f t="shared" si="11"/>
        <v>17</v>
      </c>
      <c r="Q62">
        <f t="shared" si="11"/>
        <v>17</v>
      </c>
    </row>
    <row r="63" spans="1:17" x14ac:dyDescent="0.25">
      <c r="A63" t="s">
        <v>186</v>
      </c>
      <c r="B63" s="10">
        <f>B62/B61</f>
        <v>0.17241379310344829</v>
      </c>
      <c r="C63" s="10">
        <f>C62/C61</f>
        <v>0.18604651162790697</v>
      </c>
      <c r="D63" s="10">
        <f t="shared" ref="D63:Q63" si="12">D62/D61</f>
        <v>0.2</v>
      </c>
      <c r="E63" s="10">
        <f t="shared" si="12"/>
        <v>0.20454545454545456</v>
      </c>
      <c r="F63" s="10">
        <f t="shared" si="12"/>
        <v>0.21839080459770116</v>
      </c>
      <c r="G63" s="10">
        <f t="shared" si="12"/>
        <v>0.22352941176470589</v>
      </c>
      <c r="H63" s="10">
        <f t="shared" si="12"/>
        <v>0.2289156626506024</v>
      </c>
      <c r="I63" s="10">
        <f t="shared" si="12"/>
        <v>0.23749999999999999</v>
      </c>
      <c r="J63" s="10">
        <f t="shared" si="12"/>
        <v>0.23684210526315788</v>
      </c>
      <c r="K63" s="10">
        <f t="shared" si="12"/>
        <v>0.24324324324324326</v>
      </c>
      <c r="L63" s="10">
        <f t="shared" si="12"/>
        <v>0.24657534246575341</v>
      </c>
      <c r="M63" s="10">
        <f t="shared" si="12"/>
        <v>0.24657534246575341</v>
      </c>
      <c r="N63" s="10">
        <f t="shared" si="12"/>
        <v>0.25352112676056338</v>
      </c>
      <c r="O63" s="10">
        <f t="shared" si="12"/>
        <v>0.26470588235294118</v>
      </c>
      <c r="P63" s="10">
        <f t="shared" si="12"/>
        <v>0.26153846153846155</v>
      </c>
      <c r="Q63" s="10">
        <f t="shared" si="12"/>
        <v>0.265625</v>
      </c>
    </row>
    <row r="64" spans="1:17" x14ac:dyDescent="0.25">
      <c r="A64" t="s">
        <v>187</v>
      </c>
      <c r="B64" s="10">
        <f t="shared" ref="B64:Q64" si="13">B31/SUM(B31,B47)</f>
        <v>0.2857142857142857</v>
      </c>
      <c r="C64" s="10">
        <f t="shared" si="13"/>
        <v>0.35</v>
      </c>
      <c r="D64" s="10">
        <f t="shared" si="13"/>
        <v>0.36363636363636365</v>
      </c>
      <c r="E64" s="10">
        <f t="shared" si="13"/>
        <v>0.33333333333333331</v>
      </c>
      <c r="F64" s="10">
        <f t="shared" si="13"/>
        <v>0.27777777777777779</v>
      </c>
      <c r="G64" s="10">
        <f t="shared" si="13"/>
        <v>0.35714285714285715</v>
      </c>
      <c r="H64" s="10">
        <f t="shared" si="13"/>
        <v>0.36363636363636365</v>
      </c>
      <c r="I64" s="10">
        <f t="shared" si="13"/>
        <v>0.2857142857142857</v>
      </c>
      <c r="J64" s="10">
        <f t="shared" si="13"/>
        <v>0.33333333333333331</v>
      </c>
      <c r="K64" s="10">
        <f t="shared" si="13"/>
        <v>0.5</v>
      </c>
      <c r="L64" s="10" t="e">
        <f t="shared" si="13"/>
        <v>#DIV/0!</v>
      </c>
      <c r="M64" s="10" t="e">
        <f t="shared" si="13"/>
        <v>#DIV/0!</v>
      </c>
      <c r="N64" s="10" t="e">
        <f t="shared" si="13"/>
        <v>#DIV/0!</v>
      </c>
      <c r="O64" s="10" t="e">
        <f t="shared" si="13"/>
        <v>#DIV/0!</v>
      </c>
      <c r="P64" s="10" t="e">
        <f t="shared" si="13"/>
        <v>#DIV/0!</v>
      </c>
      <c r="Q64" s="10" t="e">
        <f t="shared" si="13"/>
        <v>#DIV/0!</v>
      </c>
    </row>
    <row r="65" spans="1:17" ht="13" x14ac:dyDescent="0.3">
      <c r="F65" s="12"/>
      <c r="G65" s="12"/>
      <c r="H65" s="12"/>
      <c r="I65" s="12"/>
      <c r="J65" s="12"/>
      <c r="K65" s="12"/>
      <c r="L65" s="12"/>
    </row>
    <row r="66" spans="1:17" ht="13" x14ac:dyDescent="0.3">
      <c r="F66" s="12"/>
      <c r="G66" s="12"/>
      <c r="H66" s="12"/>
      <c r="I66" s="12"/>
      <c r="J66" s="12"/>
      <c r="K66" s="12"/>
      <c r="L66" s="12"/>
    </row>
    <row r="67" spans="1:17" ht="13" x14ac:dyDescent="0.3">
      <c r="B67" s="3">
        <v>2015</v>
      </c>
      <c r="C67" s="3">
        <v>2016</v>
      </c>
      <c r="D67" s="3">
        <v>2017</v>
      </c>
      <c r="E67" s="3">
        <v>2018</v>
      </c>
      <c r="F67" s="3">
        <v>2019</v>
      </c>
      <c r="G67" s="3">
        <v>2020</v>
      </c>
      <c r="H67" s="3">
        <v>2021</v>
      </c>
      <c r="I67" s="3">
        <v>2022</v>
      </c>
      <c r="J67" s="3">
        <v>2023</v>
      </c>
      <c r="K67" s="3">
        <v>2024</v>
      </c>
      <c r="L67" s="3">
        <v>2025</v>
      </c>
      <c r="M67" s="3">
        <v>2026</v>
      </c>
      <c r="N67" s="3">
        <v>2027</v>
      </c>
      <c r="O67" s="3">
        <v>2028</v>
      </c>
      <c r="P67" s="3">
        <v>2029</v>
      </c>
      <c r="Q67" s="3">
        <v>2030</v>
      </c>
    </row>
    <row r="68" spans="1:17" x14ac:dyDescent="0.25">
      <c r="A68" t="s">
        <v>179</v>
      </c>
      <c r="B68" s="2">
        <f t="shared" ref="B68:Q68" si="14">SUM(B18:B20)</f>
        <v>87</v>
      </c>
      <c r="C68" s="2">
        <f t="shared" si="14"/>
        <v>86</v>
      </c>
      <c r="D68" s="2">
        <f t="shared" si="14"/>
        <v>90</v>
      </c>
      <c r="E68" s="2">
        <f t="shared" si="14"/>
        <v>88</v>
      </c>
      <c r="F68" s="2">
        <f t="shared" si="14"/>
        <v>87</v>
      </c>
      <c r="G68" s="2">
        <f t="shared" si="14"/>
        <v>85</v>
      </c>
      <c r="H68" s="2">
        <f t="shared" si="14"/>
        <v>83</v>
      </c>
      <c r="I68" s="2">
        <f t="shared" si="14"/>
        <v>80</v>
      </c>
      <c r="J68" s="2">
        <f t="shared" si="14"/>
        <v>76</v>
      </c>
      <c r="K68" s="2">
        <f t="shared" si="14"/>
        <v>74</v>
      </c>
      <c r="L68" s="2">
        <f t="shared" si="14"/>
        <v>73</v>
      </c>
      <c r="M68" s="2">
        <f t="shared" si="14"/>
        <v>73</v>
      </c>
      <c r="N68" s="2">
        <f t="shared" si="14"/>
        <v>71</v>
      </c>
      <c r="O68" s="2">
        <f t="shared" si="14"/>
        <v>68</v>
      </c>
      <c r="P68" s="2">
        <f t="shared" si="14"/>
        <v>65</v>
      </c>
      <c r="Q68" s="2">
        <f t="shared" si="14"/>
        <v>64</v>
      </c>
    </row>
    <row r="69" spans="1:17" x14ac:dyDescent="0.25">
      <c r="A69" t="s">
        <v>208</v>
      </c>
      <c r="B69" s="2">
        <f t="shared" ref="B69:Q69" si="15">SUM(B21:B23)</f>
        <v>56</v>
      </c>
      <c r="C69" s="2">
        <f t="shared" si="15"/>
        <v>56</v>
      </c>
      <c r="D69" s="2">
        <f t="shared" si="15"/>
        <v>53</v>
      </c>
      <c r="E69" s="2">
        <f t="shared" si="15"/>
        <v>52</v>
      </c>
      <c r="F69" s="2">
        <f t="shared" si="15"/>
        <v>48</v>
      </c>
      <c r="G69" s="2">
        <f t="shared" si="15"/>
        <v>48</v>
      </c>
      <c r="H69" s="2">
        <f t="shared" si="15"/>
        <v>46</v>
      </c>
      <c r="I69" s="2">
        <f t="shared" si="15"/>
        <v>44</v>
      </c>
      <c r="J69" s="2">
        <f t="shared" si="15"/>
        <v>40</v>
      </c>
      <c r="K69" s="2">
        <f t="shared" si="15"/>
        <v>37</v>
      </c>
      <c r="L69" s="2">
        <f t="shared" si="15"/>
        <v>36</v>
      </c>
      <c r="M69" s="2">
        <f t="shared" si="15"/>
        <v>34</v>
      </c>
      <c r="N69" s="2">
        <f t="shared" si="15"/>
        <v>31</v>
      </c>
      <c r="O69" s="2">
        <f t="shared" si="15"/>
        <v>28</v>
      </c>
      <c r="P69" s="2">
        <f t="shared" si="15"/>
        <v>27</v>
      </c>
      <c r="Q69" s="2">
        <f t="shared" si="15"/>
        <v>21</v>
      </c>
    </row>
    <row r="70" spans="1:17" x14ac:dyDescent="0.25">
      <c r="A70" t="s">
        <v>207</v>
      </c>
      <c r="B70" s="2">
        <f>SUM(B18:B23)</f>
        <v>143</v>
      </c>
      <c r="C70" s="2">
        <f>SUM(C18:C23)</f>
        <v>142</v>
      </c>
      <c r="D70" s="2">
        <f>SUM(D18:D23)</f>
        <v>143</v>
      </c>
      <c r="E70" s="2">
        <f t="shared" ref="E70:Q70" si="16">SUM(E18:E23)</f>
        <v>140</v>
      </c>
      <c r="F70" s="2">
        <f t="shared" si="16"/>
        <v>135</v>
      </c>
      <c r="G70" s="2">
        <f t="shared" si="16"/>
        <v>133</v>
      </c>
      <c r="H70" s="2">
        <f t="shared" si="16"/>
        <v>129</v>
      </c>
      <c r="I70" s="2">
        <f t="shared" si="16"/>
        <v>124</v>
      </c>
      <c r="J70" s="2">
        <f t="shared" si="16"/>
        <v>116</v>
      </c>
      <c r="K70" s="2">
        <f t="shared" si="16"/>
        <v>111</v>
      </c>
      <c r="L70" s="2">
        <f t="shared" si="16"/>
        <v>109</v>
      </c>
      <c r="M70" s="2">
        <f t="shared" si="16"/>
        <v>107</v>
      </c>
      <c r="N70" s="2">
        <f t="shared" si="16"/>
        <v>102</v>
      </c>
      <c r="O70" s="2">
        <f t="shared" si="16"/>
        <v>96</v>
      </c>
      <c r="P70" s="2">
        <f t="shared" si="16"/>
        <v>92</v>
      </c>
      <c r="Q70" s="2">
        <f t="shared" si="16"/>
        <v>85</v>
      </c>
    </row>
    <row r="71" spans="1:17" ht="13" x14ac:dyDescent="0.3">
      <c r="F71" s="12"/>
      <c r="G71" s="12"/>
      <c r="H71" s="12"/>
      <c r="I71" s="12"/>
      <c r="J71" s="12"/>
      <c r="K71" s="12"/>
    </row>
    <row r="72" spans="1:17" ht="13" x14ac:dyDescent="0.3">
      <c r="F72" s="12"/>
      <c r="G72" s="12"/>
      <c r="H72" s="12"/>
      <c r="I72" s="12"/>
      <c r="J72" s="12"/>
      <c r="K72" s="12"/>
      <c r="L72" s="12"/>
    </row>
    <row r="73" spans="1:17" ht="13" x14ac:dyDescent="0.3">
      <c r="F73" s="12"/>
      <c r="G73" s="12"/>
      <c r="H73" s="12"/>
      <c r="I73" s="12"/>
      <c r="J73" s="12"/>
      <c r="K73" s="12"/>
      <c r="L73" s="12"/>
    </row>
    <row r="74" spans="1:17" ht="13" x14ac:dyDescent="0.3">
      <c r="F74" s="12"/>
      <c r="G74" s="12"/>
      <c r="H74" s="12"/>
      <c r="I74" s="12"/>
      <c r="J74" s="12"/>
      <c r="K74" s="12"/>
      <c r="L74" s="12"/>
    </row>
    <row r="75" spans="1:17" ht="13" x14ac:dyDescent="0.3">
      <c r="F75" s="12"/>
      <c r="G75" s="12"/>
      <c r="H75" s="12"/>
      <c r="I75" s="12"/>
      <c r="J75" s="12"/>
      <c r="K75" s="12"/>
      <c r="L75" s="12"/>
    </row>
    <row r="76" spans="1:17" ht="13" x14ac:dyDescent="0.3">
      <c r="A76" t="s">
        <v>196</v>
      </c>
      <c r="B76" t="s">
        <v>225</v>
      </c>
      <c r="F76" s="12"/>
      <c r="G76" s="12"/>
      <c r="H76" s="12"/>
      <c r="I76" s="12"/>
      <c r="J76" s="12"/>
      <c r="K76" s="12"/>
    </row>
    <row r="77" spans="1:17" ht="13" x14ac:dyDescent="0.3">
      <c r="F77" s="12"/>
      <c r="G77" s="12"/>
      <c r="H77" s="12"/>
      <c r="I77" s="12"/>
      <c r="J77" s="12"/>
      <c r="K77" s="12"/>
      <c r="L77" s="12"/>
    </row>
    <row r="78" spans="1:17" ht="13" x14ac:dyDescent="0.3">
      <c r="B78" s="3">
        <v>2015</v>
      </c>
      <c r="C78" s="3">
        <v>2016</v>
      </c>
      <c r="D78" s="3">
        <v>2017</v>
      </c>
      <c r="E78" s="3">
        <v>2018</v>
      </c>
      <c r="F78" s="3">
        <v>2019</v>
      </c>
      <c r="G78" s="3">
        <v>2020</v>
      </c>
      <c r="H78" s="3">
        <v>2021</v>
      </c>
      <c r="I78" s="3">
        <v>2022</v>
      </c>
      <c r="J78" s="3">
        <v>2023</v>
      </c>
      <c r="K78" s="3">
        <v>2024</v>
      </c>
      <c r="L78" s="3">
        <v>2025</v>
      </c>
      <c r="M78" s="3">
        <v>2026</v>
      </c>
      <c r="N78" s="3">
        <v>2027</v>
      </c>
      <c r="O78" s="3">
        <v>2028</v>
      </c>
      <c r="P78" s="3">
        <v>2029</v>
      </c>
      <c r="Q78" s="3">
        <v>2030</v>
      </c>
    </row>
    <row r="79" spans="1:17" x14ac:dyDescent="0.25">
      <c r="A79" s="4" t="s">
        <v>133</v>
      </c>
      <c r="B79" s="2">
        <f>COUNTIFS('Faculty Members_List'!BH$2:BH$258,$A79,'Faculty Members_List'!$J$2:$J$258,1)</f>
        <v>6</v>
      </c>
      <c r="C79" s="2">
        <f>COUNTIFS('Faculty Members_List'!BI$2:BI$258,$A79,'Faculty Members_List'!$J$2:$J$258,1)</f>
        <v>5</v>
      </c>
      <c r="D79" s="2">
        <f>COUNTIFS('Faculty Members_List'!BJ$2:BJ$258,$A79,'Faculty Members_List'!$J$2:$J$258,1)</f>
        <v>6</v>
      </c>
      <c r="E79" s="2">
        <f>COUNTIFS('Faculty Members_List'!BK$2:BK$258,$A79,'Faculty Members_List'!$J$2:$J$258,1)</f>
        <v>4</v>
      </c>
      <c r="F79" s="2">
        <f>COUNTIFS('Faculty Members_List'!BL$2:BL$258,$A79,'Faculty Members_List'!$J$2:$J$258,1)</f>
        <v>3</v>
      </c>
      <c r="G79" s="2">
        <f>COUNTIFS('Faculty Members_List'!BM$2:BM$258,$A79,'Faculty Members_List'!$J$2:$J$258,1)</f>
        <v>2</v>
      </c>
      <c r="H79" s="2">
        <f>COUNTIFS('Faculty Members_List'!BN$2:BN$258,$A79,'Faculty Members_List'!$J$2:$J$258,1)</f>
        <v>1</v>
      </c>
      <c r="I79" s="2">
        <f>COUNTIFS('Faculty Members_List'!BO$2:BO$258,$A79,'Faculty Members_List'!$J$2:$J$258,1)</f>
        <v>1</v>
      </c>
      <c r="J79" s="2">
        <f>COUNTIFS('Faculty Members_List'!BP$2:BP$258,$A79,'Faculty Members_List'!$J$2:$J$258,1)</f>
        <v>0</v>
      </c>
      <c r="K79" s="2">
        <f>COUNTIFS('Faculty Members_List'!BQ$2:BQ$258,$A79,'Faculty Members_List'!$J$2:$J$258,1)</f>
        <v>0</v>
      </c>
      <c r="L79" s="2">
        <f>COUNTIFS('Faculty Members_List'!BR$2:BR$258,$A79,'Faculty Members_List'!$J$2:$J$258,1)</f>
        <v>0</v>
      </c>
      <c r="M79" s="2">
        <f>COUNTIFS('Faculty Members_List'!BS$2:BS$258,$A79,'Faculty Members_List'!$J$2:$J$258,1)</f>
        <v>0</v>
      </c>
      <c r="N79" s="2">
        <f>COUNTIFS('Faculty Members_List'!BT$2:BT$258,$A79,'Faculty Members_List'!$J$2:$J$258,1)</f>
        <v>0</v>
      </c>
      <c r="O79" s="2">
        <f>COUNTIFS('Faculty Members_List'!BU$2:BU$258,$A79,'Faculty Members_List'!$J$2:$J$258,1)</f>
        <v>0</v>
      </c>
      <c r="P79" s="2">
        <f>COUNTIFS('Faculty Members_List'!BV$2:BV$258,$A79,'Faculty Members_List'!$J$2:$J$258,1)</f>
        <v>0</v>
      </c>
      <c r="Q79" s="2">
        <f>COUNTIFS('Faculty Members_List'!BW$2:BW$258,$A79,'Faculty Members_List'!$J$2:$J$258,1)</f>
        <v>0</v>
      </c>
    </row>
    <row r="80" spans="1:17" x14ac:dyDescent="0.25">
      <c r="A80" s="4" t="s">
        <v>134</v>
      </c>
      <c r="B80" s="2">
        <f>COUNTIFS('Faculty Members_List'!BH$2:BH$258,$A80,'Faculty Members_List'!$J$2:$J$258,1)</f>
        <v>5</v>
      </c>
      <c r="C80" s="2">
        <f>COUNTIFS('Faculty Members_List'!BI$2:BI$258,$A80,'Faculty Members_List'!$J$2:$J$258,1)</f>
        <v>6</v>
      </c>
      <c r="D80" s="2">
        <f>COUNTIFS('Faculty Members_List'!BJ$2:BJ$258,$A80,'Faculty Members_List'!$J$2:$J$258,1)</f>
        <v>5</v>
      </c>
      <c r="E80" s="2">
        <f>COUNTIFS('Faculty Members_List'!BK$2:BK$258,$A80,'Faculty Members_List'!$J$2:$J$258,1)</f>
        <v>7</v>
      </c>
      <c r="F80" s="2">
        <f>COUNTIFS('Faculty Members_List'!BL$2:BL$258,$A80,'Faculty Members_List'!$J$2:$J$258,1)</f>
        <v>8</v>
      </c>
      <c r="G80" s="2">
        <f>COUNTIFS('Faculty Members_List'!BM$2:BM$258,$A80,'Faculty Members_List'!$J$2:$J$258,1)</f>
        <v>5</v>
      </c>
      <c r="H80" s="2">
        <f>COUNTIFS('Faculty Members_List'!BN$2:BN$258,$A80,'Faculty Members_List'!$J$2:$J$258,1)</f>
        <v>6</v>
      </c>
      <c r="I80" s="2">
        <f>COUNTIFS('Faculty Members_List'!BO$2:BO$258,$A80,'Faculty Members_List'!$J$2:$J$258,1)</f>
        <v>6</v>
      </c>
      <c r="J80" s="2">
        <f>COUNTIFS('Faculty Members_List'!BP$2:BP$258,$A80,'Faculty Members_List'!$J$2:$J$258,1)</f>
        <v>6</v>
      </c>
      <c r="K80" s="2">
        <f>COUNTIFS('Faculty Members_List'!BQ$2:BQ$258,$A80,'Faculty Members_List'!$J$2:$J$258,1)</f>
        <v>6</v>
      </c>
      <c r="L80" s="2">
        <f>COUNTIFS('Faculty Members_List'!BR$2:BR$258,$A80,'Faculty Members_List'!$J$2:$J$258,1)</f>
        <v>3</v>
      </c>
      <c r="M80" s="2">
        <f>COUNTIFS('Faculty Members_List'!BS$2:BS$258,$A80,'Faculty Members_List'!$J$2:$J$258,1)</f>
        <v>3</v>
      </c>
      <c r="N80" s="2">
        <f>COUNTIFS('Faculty Members_List'!BT$2:BT$258,$A80,'Faculty Members_List'!$J$2:$J$258,1)</f>
        <v>2</v>
      </c>
      <c r="O80" s="2">
        <f>COUNTIFS('Faculty Members_List'!BU$2:BU$258,$A80,'Faculty Members_List'!$J$2:$J$258,1)</f>
        <v>1</v>
      </c>
      <c r="P80" s="2">
        <f>COUNTIFS('Faculty Members_List'!BV$2:BV$258,$A80,'Faculty Members_List'!$J$2:$J$258,1)</f>
        <v>1</v>
      </c>
      <c r="Q80" s="2">
        <f>COUNTIFS('Faculty Members_List'!BW$2:BW$258,$A80,'Faculty Members_List'!$J$2:$J$258,1)</f>
        <v>0</v>
      </c>
    </row>
    <row r="81" spans="1:17" x14ac:dyDescent="0.25">
      <c r="A81" s="4" t="s">
        <v>135</v>
      </c>
      <c r="B81" s="2">
        <f>COUNTIFS('Faculty Members_List'!BH$2:BH$258,$A81,'Faculty Members_List'!$J$2:$J$258,1)</f>
        <v>8</v>
      </c>
      <c r="C81" s="2">
        <f>COUNTIFS('Faculty Members_List'!BI$2:BI$258,$A81,'Faculty Members_List'!$J$2:$J$258,1)</f>
        <v>7</v>
      </c>
      <c r="D81" s="2">
        <f>COUNTIFS('Faculty Members_List'!BJ$2:BJ$258,$A81,'Faculty Members_List'!$J$2:$J$258,1)</f>
        <v>8</v>
      </c>
      <c r="E81" s="2">
        <f>COUNTIFS('Faculty Members_List'!BK$2:BK$258,$A81,'Faculty Members_List'!$J$2:$J$258,1)</f>
        <v>8</v>
      </c>
      <c r="F81" s="2">
        <f>COUNTIFS('Faculty Members_List'!BL$2:BL$258,$A81,'Faculty Members_List'!$J$2:$J$258,1)</f>
        <v>8</v>
      </c>
      <c r="G81" s="2">
        <f>COUNTIFS('Faculty Members_List'!BM$2:BM$258,$A81,'Faculty Members_List'!$J$2:$J$258,1)</f>
        <v>12</v>
      </c>
      <c r="H81" s="2">
        <f>COUNTIFS('Faculty Members_List'!BN$2:BN$258,$A81,'Faculty Members_List'!$J$2:$J$258,1)</f>
        <v>10</v>
      </c>
      <c r="I81" s="2">
        <f>COUNTIFS('Faculty Members_List'!BO$2:BO$258,$A81,'Faculty Members_List'!$J$2:$J$258,1)</f>
        <v>10</v>
      </c>
      <c r="J81" s="2">
        <f>COUNTIFS('Faculty Members_List'!BP$2:BP$258,$A81,'Faculty Members_List'!$J$2:$J$258,1)</f>
        <v>11</v>
      </c>
      <c r="K81" s="2">
        <f>COUNTIFS('Faculty Members_List'!BQ$2:BQ$258,$A81,'Faculty Members_List'!$J$2:$J$258,1)</f>
        <v>11</v>
      </c>
      <c r="L81" s="2">
        <f>COUNTIFS('Faculty Members_List'!BR$2:BR$258,$A81,'Faculty Members_List'!$J$2:$J$258,1)</f>
        <v>13</v>
      </c>
      <c r="M81" s="2">
        <f>COUNTIFS('Faculty Members_List'!BS$2:BS$258,$A81,'Faculty Members_List'!$J$2:$J$258,1)</f>
        <v>13</v>
      </c>
      <c r="N81" s="2">
        <f>COUNTIFS('Faculty Members_List'!BT$2:BT$258,$A81,'Faculty Members_List'!$J$2:$J$258,1)</f>
        <v>14</v>
      </c>
      <c r="O81" s="2">
        <f>COUNTIFS('Faculty Members_List'!BU$2:BU$258,$A81,'Faculty Members_List'!$J$2:$J$258,1)</f>
        <v>14</v>
      </c>
      <c r="P81" s="2">
        <f>COUNTIFS('Faculty Members_List'!BV$2:BV$258,$A81,'Faculty Members_List'!$J$2:$J$258,1)</f>
        <v>14</v>
      </c>
      <c r="Q81" s="2">
        <f>COUNTIFS('Faculty Members_List'!BW$2:BW$258,$A81,'Faculty Members_List'!$J$2:$J$258,1)</f>
        <v>14</v>
      </c>
    </row>
    <row r="82" spans="1:17" x14ac:dyDescent="0.25">
      <c r="A82" s="5" t="s">
        <v>130</v>
      </c>
      <c r="B82" s="2">
        <f>COUNTIFS('Faculty Members_List'!BH$2:BH$258,$A82,'Faculty Members_List'!$J$2:$J$258,1)</f>
        <v>0</v>
      </c>
      <c r="C82" s="2">
        <f>COUNTIFS('Faculty Members_List'!BI$2:BI$258,$A82,'Faculty Members_List'!$J$2:$J$258,1)</f>
        <v>0</v>
      </c>
      <c r="D82" s="2">
        <f>COUNTIFS('Faculty Members_List'!BJ$2:BJ$258,$A82,'Faculty Members_List'!$J$2:$J$258,1)</f>
        <v>0</v>
      </c>
      <c r="E82" s="2">
        <f>COUNTIFS('Faculty Members_List'!BK$2:BK$258,$A82,'Faculty Members_List'!$J$2:$J$258,1)</f>
        <v>0</v>
      </c>
      <c r="F82" s="2">
        <f>COUNTIFS('Faculty Members_List'!BL$2:BL$258,$A82,'Faculty Members_List'!$J$2:$J$258,1)</f>
        <v>0</v>
      </c>
      <c r="G82" s="2">
        <f>COUNTIFS('Faculty Members_List'!BM$2:BM$258,$A82,'Faculty Members_List'!$J$2:$J$258,1)</f>
        <v>0</v>
      </c>
      <c r="H82" s="2">
        <f>COUNTIFS('Faculty Members_List'!BN$2:BN$258,$A82,'Faculty Members_List'!$J$2:$J$258,1)</f>
        <v>0</v>
      </c>
      <c r="I82" s="2">
        <f>COUNTIFS('Faculty Members_List'!BO$2:BO$258,$A82,'Faculty Members_List'!$J$2:$J$258,1)</f>
        <v>0</v>
      </c>
      <c r="J82" s="2">
        <f>COUNTIFS('Faculty Members_List'!BP$2:BP$258,$A82,'Faculty Members_List'!$J$2:$J$258,1)</f>
        <v>0</v>
      </c>
      <c r="K82" s="2">
        <f>COUNTIFS('Faculty Members_List'!BQ$2:BQ$258,$A82,'Faculty Members_List'!$J$2:$J$258,1)</f>
        <v>0</v>
      </c>
      <c r="L82" s="2">
        <f>COUNTIFS('Faculty Members_List'!BR$2:BR$258,$A82,'Faculty Members_List'!$J$2:$J$258,1)</f>
        <v>0</v>
      </c>
      <c r="M82" s="2">
        <f>COUNTIFS('Faculty Members_List'!BS$2:BS$258,$A82,'Faculty Members_List'!$J$2:$J$258,1)</f>
        <v>0</v>
      </c>
      <c r="N82" s="2">
        <f>COUNTIFS('Faculty Members_List'!BT$2:BT$258,$A82,'Faculty Members_List'!$J$2:$J$258,1)</f>
        <v>0</v>
      </c>
      <c r="O82" s="2">
        <f>COUNTIFS('Faculty Members_List'!BU$2:BU$258,$A82,'Faculty Members_List'!$J$2:$J$258,1)</f>
        <v>0</v>
      </c>
      <c r="P82" s="2">
        <f>COUNTIFS('Faculty Members_List'!BV$2:BV$258,$A82,'Faculty Members_List'!$J$2:$J$258,1)</f>
        <v>0</v>
      </c>
      <c r="Q82" s="2">
        <f>COUNTIFS('Faculty Members_List'!BW$2:BW$258,$A82,'Faculty Members_List'!$J$2:$J$258,1)</f>
        <v>0</v>
      </c>
    </row>
    <row r="83" spans="1:17" x14ac:dyDescent="0.25">
      <c r="A83" s="5" t="s">
        <v>131</v>
      </c>
      <c r="B83" s="2">
        <f>COUNTIFS('Faculty Members_List'!BH$2:BH$258,$A83,'Faculty Members_List'!$J$2:$J$258,1)</f>
        <v>6</v>
      </c>
      <c r="C83" s="2">
        <f>COUNTIFS('Faculty Members_List'!BI$2:BI$258,$A83,'Faculty Members_List'!$J$2:$J$258,1)</f>
        <v>6</v>
      </c>
      <c r="D83" s="2">
        <f>COUNTIFS('Faculty Members_List'!BJ$2:BJ$258,$A83,'Faculty Members_List'!$J$2:$J$258,1)</f>
        <v>6</v>
      </c>
      <c r="E83" s="2">
        <f>COUNTIFS('Faculty Members_List'!BK$2:BK$258,$A83,'Faculty Members_List'!$J$2:$J$258,1)</f>
        <v>6</v>
      </c>
      <c r="F83" s="2">
        <f>COUNTIFS('Faculty Members_List'!BL$2:BL$258,$A83,'Faculty Members_List'!$J$2:$J$258,1)</f>
        <v>6</v>
      </c>
      <c r="G83" s="2">
        <f>COUNTIFS('Faculty Members_List'!BM$2:BM$258,$A83,'Faculty Members_List'!$J$2:$J$258,1)</f>
        <v>6</v>
      </c>
      <c r="H83" s="2">
        <f>COUNTIFS('Faculty Members_List'!BN$2:BN$258,$A83,'Faculty Members_List'!$J$2:$J$258,1)</f>
        <v>5</v>
      </c>
      <c r="I83" s="2">
        <f>COUNTIFS('Faculty Members_List'!BO$2:BO$258,$A83,'Faculty Members_List'!$J$2:$J$258,1)</f>
        <v>4</v>
      </c>
      <c r="J83" s="2">
        <f>COUNTIFS('Faculty Members_List'!BP$2:BP$258,$A83,'Faculty Members_List'!$J$2:$J$258,1)</f>
        <v>4</v>
      </c>
      <c r="K83" s="2">
        <f>COUNTIFS('Faculty Members_List'!BQ$2:BQ$258,$A83,'Faculty Members_List'!$J$2:$J$258,1)</f>
        <v>3</v>
      </c>
      <c r="L83" s="2">
        <f>COUNTIFS('Faculty Members_List'!BR$2:BR$258,$A83,'Faculty Members_List'!$J$2:$J$258,1)</f>
        <v>3</v>
      </c>
      <c r="M83" s="2">
        <f>COUNTIFS('Faculty Members_List'!BS$2:BS$258,$A83,'Faculty Members_List'!$J$2:$J$258,1)</f>
        <v>3</v>
      </c>
      <c r="N83" s="2">
        <f>COUNTIFS('Faculty Members_List'!BT$2:BT$258,$A83,'Faculty Members_List'!$J$2:$J$258,1)</f>
        <v>3</v>
      </c>
      <c r="O83" s="2">
        <f>COUNTIFS('Faculty Members_List'!BU$2:BU$258,$A83,'Faculty Members_List'!$J$2:$J$258,1)</f>
        <v>1</v>
      </c>
      <c r="P83" s="2">
        <f>COUNTIFS('Faculty Members_List'!BV$2:BV$258,$A83,'Faculty Members_List'!$J$2:$J$258,1)</f>
        <v>1</v>
      </c>
      <c r="Q83" s="2">
        <f>COUNTIFS('Faculty Members_List'!BW$2:BW$258,$A83,'Faculty Members_List'!$J$2:$J$258,1)</f>
        <v>1</v>
      </c>
    </row>
    <row r="84" spans="1:17" x14ac:dyDescent="0.25">
      <c r="A84" s="5" t="s">
        <v>132</v>
      </c>
      <c r="B84" s="2">
        <f>COUNTIFS('Faculty Members_List'!BH$2:BH$258,$A84,'Faculty Members_List'!$J$2:$J$258,1)</f>
        <v>2</v>
      </c>
      <c r="C84" s="2">
        <f>COUNTIFS('Faculty Members_List'!BI$2:BI$258,$A84,'Faculty Members_List'!$J$2:$J$258,1)</f>
        <v>2</v>
      </c>
      <c r="D84" s="2">
        <f>COUNTIFS('Faculty Members_List'!BJ$2:BJ$258,$A84,'Faculty Members_List'!$J$2:$J$258,1)</f>
        <v>2</v>
      </c>
      <c r="E84" s="2">
        <f>COUNTIFS('Faculty Members_List'!BK$2:BK$258,$A84,'Faculty Members_List'!$J$2:$J$258,1)</f>
        <v>2</v>
      </c>
      <c r="F84" s="2">
        <f>COUNTIFS('Faculty Members_List'!BL$2:BL$258,$A84,'Faculty Members_List'!$J$2:$J$258,1)</f>
        <v>2</v>
      </c>
      <c r="G84" s="2">
        <f>COUNTIFS('Faculty Members_List'!BM$2:BM$258,$A84,'Faculty Members_List'!$J$2:$J$258,1)</f>
        <v>2</v>
      </c>
      <c r="H84" s="2">
        <f>COUNTIFS('Faculty Members_List'!BN$2:BN$258,$A84,'Faculty Members_List'!$J$2:$J$258,1)</f>
        <v>2</v>
      </c>
      <c r="I84" s="2">
        <f>COUNTIFS('Faculty Members_List'!BO$2:BO$258,$A84,'Faculty Members_List'!$J$2:$J$258,1)</f>
        <v>2</v>
      </c>
      <c r="J84" s="2">
        <f>COUNTIFS('Faculty Members_List'!BP$2:BP$258,$A84,'Faculty Members_List'!$J$2:$J$258,1)</f>
        <v>2</v>
      </c>
      <c r="K84" s="2">
        <f>COUNTIFS('Faculty Members_List'!BQ$2:BQ$258,$A84,'Faculty Members_List'!$J$2:$J$258,1)</f>
        <v>2</v>
      </c>
      <c r="L84" s="2">
        <f>COUNTIFS('Faculty Members_List'!BR$2:BR$258,$A84,'Faculty Members_List'!$J$2:$J$258,1)</f>
        <v>2</v>
      </c>
      <c r="M84" s="2">
        <f>COUNTIFS('Faculty Members_List'!BS$2:BS$258,$A84,'Faculty Members_List'!$J$2:$J$258,1)</f>
        <v>2</v>
      </c>
      <c r="N84" s="2">
        <f>COUNTIFS('Faculty Members_List'!BT$2:BT$258,$A84,'Faculty Members_List'!$J$2:$J$258,1)</f>
        <v>2</v>
      </c>
      <c r="O84" s="2">
        <f>COUNTIFS('Faculty Members_List'!BU$2:BU$258,$A84,'Faculty Members_List'!$J$2:$J$258,1)</f>
        <v>2</v>
      </c>
      <c r="P84" s="2">
        <f>COUNTIFS('Faculty Members_List'!BV$2:BV$258,$A84,'Faculty Members_List'!$J$2:$J$258,1)</f>
        <v>2</v>
      </c>
      <c r="Q84" s="2">
        <f>COUNTIFS('Faculty Members_List'!BW$2:BW$258,$A84,'Faculty Members_List'!$J$2:$J$258,1)</f>
        <v>2</v>
      </c>
    </row>
    <row r="85" spans="1:17" x14ac:dyDescent="0.25">
      <c r="A85" s="5" t="s">
        <v>129</v>
      </c>
      <c r="B85" s="2">
        <f>COUNTIFS('Faculty Members_List'!BH$2:BH$258,$A85,'Faculty Members_List'!$J$2:$J$258,1)</f>
        <v>9</v>
      </c>
      <c r="C85" s="2">
        <f>COUNTIFS('Faculty Members_List'!BI$2:BI$258,$A85,'Faculty Members_List'!$J$2:$J$258,1)</f>
        <v>9</v>
      </c>
      <c r="D85" s="2">
        <f>COUNTIFS('Faculty Members_List'!BJ$2:BJ$258,$A85,'Faculty Members_List'!$J$2:$J$258,1)</f>
        <v>8</v>
      </c>
      <c r="E85" s="2">
        <f>COUNTIFS('Faculty Members_List'!BK$2:BK$258,$A85,'Faculty Members_List'!$J$2:$J$258,1)</f>
        <v>8</v>
      </c>
      <c r="F85" s="2">
        <f>COUNTIFS('Faculty Members_List'!BL$2:BL$258,$A85,'Faculty Members_List'!$J$2:$J$258,1)</f>
        <v>8</v>
      </c>
      <c r="G85" s="2">
        <f>COUNTIFS('Faculty Members_List'!BM$2:BM$258,$A85,'Faculty Members_List'!$J$2:$J$258,1)</f>
        <v>8</v>
      </c>
      <c r="H85" s="2">
        <f>COUNTIFS('Faculty Members_List'!BN$2:BN$258,$A85,'Faculty Members_List'!$J$2:$J$258,1)</f>
        <v>8</v>
      </c>
      <c r="I85" s="2">
        <f>COUNTIFS('Faculty Members_List'!BO$2:BO$258,$A85,'Faculty Members_List'!$J$2:$J$258,1)</f>
        <v>8</v>
      </c>
      <c r="J85" s="2">
        <f>COUNTIFS('Faculty Members_List'!BP$2:BP$258,$A85,'Faculty Members_List'!$J$2:$J$258,1)</f>
        <v>7</v>
      </c>
      <c r="K85" s="2">
        <f>COUNTIFS('Faculty Members_List'!BQ$2:BQ$258,$A85,'Faculty Members_List'!$J$2:$J$258,1)</f>
        <v>7</v>
      </c>
      <c r="L85" s="2">
        <f>COUNTIFS('Faculty Members_List'!BR$2:BR$258,$A85,'Faculty Members_List'!$J$2:$J$258,1)</f>
        <v>6</v>
      </c>
      <c r="M85" s="2">
        <f>COUNTIFS('Faculty Members_List'!BS$2:BS$258,$A85,'Faculty Members_List'!$J$2:$J$258,1)</f>
        <v>6</v>
      </c>
      <c r="N85" s="2">
        <f>COUNTIFS('Faculty Members_List'!BT$2:BT$258,$A85,'Faculty Members_List'!$J$2:$J$258,1)</f>
        <v>4</v>
      </c>
      <c r="O85" s="2">
        <f>COUNTIFS('Faculty Members_List'!BU$2:BU$258,$A85,'Faculty Members_List'!$J$2:$J$258,1)</f>
        <v>4</v>
      </c>
      <c r="P85" s="2">
        <f>COUNTIFS('Faculty Members_List'!BV$2:BV$258,$A85,'Faculty Members_List'!$J$2:$J$258,1)</f>
        <v>4</v>
      </c>
      <c r="Q85" s="2">
        <f>COUNTIFS('Faculty Members_List'!BW$2:BW$258,$A85,'Faculty Members_List'!$J$2:$J$258,1)</f>
        <v>2</v>
      </c>
    </row>
    <row r="86" spans="1:17" x14ac:dyDescent="0.25">
      <c r="A86" s="5" t="s">
        <v>137</v>
      </c>
      <c r="B86" s="2">
        <f>COUNTIFS('Faculty Members_List'!BH$2:BH$258,$A86,'Faculty Members_List'!$J$2:$J$258,1)</f>
        <v>2</v>
      </c>
      <c r="C86" s="2">
        <f>COUNTIFS('Faculty Members_List'!BI$2:BI$258,$A86,'Faculty Members_List'!$J$2:$J$258,1)</f>
        <v>2</v>
      </c>
      <c r="D86" s="2">
        <f>COUNTIFS('Faculty Members_List'!BJ$2:BJ$258,$A86,'Faculty Members_List'!$J$2:$J$258,1)</f>
        <v>2</v>
      </c>
      <c r="E86" s="2">
        <f>COUNTIFS('Faculty Members_List'!BK$2:BK$258,$A86,'Faculty Members_List'!$J$2:$J$258,1)</f>
        <v>2</v>
      </c>
      <c r="F86" s="2">
        <f>COUNTIFS('Faculty Members_List'!BL$2:BL$258,$A86,'Faculty Members_List'!$J$2:$J$258,1)</f>
        <v>2</v>
      </c>
      <c r="G86" s="2">
        <f>COUNTIFS('Faculty Members_List'!BM$2:BM$258,$A86,'Faculty Members_List'!$J$2:$J$258,1)</f>
        <v>2</v>
      </c>
      <c r="H86" s="2">
        <f>COUNTIFS('Faculty Members_List'!BN$2:BN$258,$A86,'Faculty Members_List'!$J$2:$J$258,1)</f>
        <v>2</v>
      </c>
      <c r="I86" s="2">
        <f>COUNTIFS('Faculty Members_List'!BO$2:BO$258,$A86,'Faculty Members_List'!$J$2:$J$258,1)</f>
        <v>2</v>
      </c>
      <c r="J86" s="2">
        <f>COUNTIFS('Faculty Members_List'!BP$2:BP$258,$A86,'Faculty Members_List'!$J$2:$J$258,1)</f>
        <v>2</v>
      </c>
      <c r="K86" s="2">
        <f>COUNTIFS('Faculty Members_List'!BQ$2:BQ$258,$A86,'Faculty Members_List'!$J$2:$J$258,1)</f>
        <v>2</v>
      </c>
      <c r="L86" s="2">
        <f>COUNTIFS('Faculty Members_List'!BR$2:BR$258,$A86,'Faculty Members_List'!$J$2:$J$258,1)</f>
        <v>2</v>
      </c>
      <c r="M86" s="2">
        <f>COUNTIFS('Faculty Members_List'!BS$2:BS$258,$A86,'Faculty Members_List'!$J$2:$J$258,1)</f>
        <v>2</v>
      </c>
      <c r="N86" s="2">
        <f>COUNTIFS('Faculty Members_List'!BT$2:BT$258,$A86,'Faculty Members_List'!$J$2:$J$258,1)</f>
        <v>2</v>
      </c>
      <c r="O86" s="2">
        <f>COUNTIFS('Faculty Members_List'!BU$2:BU$258,$A86,'Faculty Members_List'!$J$2:$J$258,1)</f>
        <v>2</v>
      </c>
      <c r="P86" s="2">
        <f>COUNTIFS('Faculty Members_List'!BV$2:BV$258,$A86,'Faculty Members_List'!$J$2:$J$258,1)</f>
        <v>2</v>
      </c>
      <c r="Q86" s="2">
        <f>COUNTIFS('Faculty Members_List'!BW$2:BW$258,$A86,'Faculty Members_List'!$J$2:$J$258,1)</f>
        <v>2</v>
      </c>
    </row>
    <row r="87" spans="1:17" ht="13" x14ac:dyDescent="0.3">
      <c r="F87" s="12"/>
      <c r="G87" s="12"/>
      <c r="H87" s="12"/>
      <c r="I87" s="12"/>
      <c r="J87" s="12"/>
      <c r="K87" s="12"/>
    </row>
    <row r="88" spans="1:17" ht="13" x14ac:dyDescent="0.3">
      <c r="A88" s="6" t="s">
        <v>154</v>
      </c>
      <c r="B88" s="3">
        <f>SUM(B79:B86)</f>
        <v>38</v>
      </c>
      <c r="C88" s="3">
        <f>SUM(C79:C86)</f>
        <v>37</v>
      </c>
      <c r="D88" s="3">
        <f>SUM(D79:D86)</f>
        <v>37</v>
      </c>
      <c r="E88" s="3">
        <f>SUM(E79:E86)</f>
        <v>37</v>
      </c>
      <c r="F88" s="3">
        <f t="shared" ref="F88:Q88" si="17">SUM(F79:F86)</f>
        <v>37</v>
      </c>
      <c r="G88" s="3">
        <f t="shared" si="17"/>
        <v>37</v>
      </c>
      <c r="H88" s="3">
        <f t="shared" si="17"/>
        <v>34</v>
      </c>
      <c r="I88" s="3">
        <f t="shared" si="17"/>
        <v>33</v>
      </c>
      <c r="J88" s="3">
        <f t="shared" si="17"/>
        <v>32</v>
      </c>
      <c r="K88" s="3">
        <f t="shared" si="17"/>
        <v>31</v>
      </c>
      <c r="L88" s="3">
        <f t="shared" si="17"/>
        <v>29</v>
      </c>
      <c r="M88" s="3">
        <f t="shared" si="17"/>
        <v>29</v>
      </c>
      <c r="N88" s="3">
        <f t="shared" si="17"/>
        <v>27</v>
      </c>
      <c r="O88" s="3">
        <f t="shared" si="17"/>
        <v>24</v>
      </c>
      <c r="P88" s="3">
        <f t="shared" si="17"/>
        <v>24</v>
      </c>
      <c r="Q88" s="3">
        <f t="shared" si="17"/>
        <v>21</v>
      </c>
    </row>
    <row r="89" spans="1:17" x14ac:dyDescent="0.25">
      <c r="A89" t="s">
        <v>179</v>
      </c>
      <c r="B89">
        <f>SUM(B79:B81)</f>
        <v>19</v>
      </c>
      <c r="C89">
        <f>SUM(C79:C81)</f>
        <v>18</v>
      </c>
      <c r="D89">
        <f>SUM(D79:D81)</f>
        <v>19</v>
      </c>
      <c r="E89">
        <f>SUM(E79:E81)</f>
        <v>19</v>
      </c>
      <c r="F89">
        <f t="shared" ref="F89:Q89" si="18">SUM(F79:F81)</f>
        <v>19</v>
      </c>
      <c r="G89">
        <f t="shared" si="18"/>
        <v>19</v>
      </c>
      <c r="H89">
        <f t="shared" si="18"/>
        <v>17</v>
      </c>
      <c r="I89">
        <f t="shared" si="18"/>
        <v>17</v>
      </c>
      <c r="J89">
        <f t="shared" si="18"/>
        <v>17</v>
      </c>
      <c r="K89">
        <f t="shared" si="18"/>
        <v>17</v>
      </c>
      <c r="L89">
        <f t="shared" si="18"/>
        <v>16</v>
      </c>
      <c r="M89">
        <f t="shared" si="18"/>
        <v>16</v>
      </c>
      <c r="N89">
        <f t="shared" si="18"/>
        <v>16</v>
      </c>
      <c r="O89">
        <f t="shared" si="18"/>
        <v>15</v>
      </c>
      <c r="P89">
        <f t="shared" si="18"/>
        <v>15</v>
      </c>
      <c r="Q89">
        <f t="shared" si="18"/>
        <v>14</v>
      </c>
    </row>
    <row r="90" spans="1:17" ht="13" x14ac:dyDescent="0.3">
      <c r="F90" s="12"/>
      <c r="G90" s="12"/>
      <c r="H90" s="12"/>
      <c r="I90" s="12"/>
      <c r="J90" s="12"/>
      <c r="K90" s="12"/>
    </row>
    <row r="91" spans="1:17" ht="13" x14ac:dyDescent="0.3">
      <c r="F91" s="12"/>
      <c r="G91" s="12"/>
      <c r="H91" s="12"/>
      <c r="I91" s="12"/>
      <c r="J91" s="12"/>
      <c r="K91" s="12"/>
      <c r="L91" s="12"/>
    </row>
    <row r="92" spans="1:17" ht="13" x14ac:dyDescent="0.3">
      <c r="A92" t="s">
        <v>197</v>
      </c>
      <c r="B92" t="s">
        <v>225</v>
      </c>
      <c r="F92" s="12"/>
      <c r="G92" s="12"/>
      <c r="H92" s="12"/>
      <c r="I92" s="12"/>
      <c r="J92" s="12"/>
      <c r="K92" s="12"/>
      <c r="L92" s="12"/>
    </row>
    <row r="93" spans="1:17" ht="13" x14ac:dyDescent="0.3">
      <c r="F93" s="12"/>
      <c r="G93" s="12"/>
      <c r="H93" s="12"/>
      <c r="I93" s="12"/>
      <c r="J93" s="12"/>
      <c r="K93" s="12"/>
      <c r="L93" s="12"/>
    </row>
    <row r="94" spans="1:17" ht="13" x14ac:dyDescent="0.3">
      <c r="B94" s="3">
        <v>2015</v>
      </c>
      <c r="C94" s="3">
        <v>2016</v>
      </c>
      <c r="D94" s="3">
        <v>2017</v>
      </c>
      <c r="E94" s="3">
        <v>2018</v>
      </c>
      <c r="F94" s="3">
        <v>2019</v>
      </c>
      <c r="G94" s="3">
        <v>2020</v>
      </c>
      <c r="H94" s="3">
        <v>2021</v>
      </c>
      <c r="I94" s="3">
        <v>2022</v>
      </c>
      <c r="J94" s="3">
        <v>2023</v>
      </c>
      <c r="K94" s="3">
        <v>2024</v>
      </c>
      <c r="L94" s="3">
        <v>2025</v>
      </c>
      <c r="M94" s="3">
        <v>2026</v>
      </c>
      <c r="N94" s="3">
        <v>2027</v>
      </c>
      <c r="O94" s="3">
        <v>2028</v>
      </c>
      <c r="P94" s="3">
        <v>2029</v>
      </c>
      <c r="Q94" s="3">
        <v>2030</v>
      </c>
    </row>
    <row r="95" spans="1:17" x14ac:dyDescent="0.25">
      <c r="A95" s="4" t="s">
        <v>133</v>
      </c>
      <c r="B95" s="2">
        <f>COUNTIFS('Faculty Members_List'!BH$2:BH$258,$A79,'Faculty Members_List'!$K$2:$K$258,1)</f>
        <v>7</v>
      </c>
      <c r="C95" s="2">
        <f>COUNTIFS('Faculty Members_List'!BI$2:BI$258,$A79,'Faculty Members_List'!$K$2:$K$258,1)</f>
        <v>7</v>
      </c>
      <c r="D95" s="2">
        <f>COUNTIFS('Faculty Members_List'!BJ$2:BJ$258,$A79,'Faculty Members_List'!$K$2:$K$258,1)</f>
        <v>8</v>
      </c>
      <c r="E95" s="2">
        <f>COUNTIFS('Faculty Members_List'!BK$2:BK$258,$A79,'Faculty Members_List'!$K$2:$K$258,1)</f>
        <v>8</v>
      </c>
      <c r="F95" s="2">
        <f>COUNTIFS('Faculty Members_List'!BL$2:BL$258,$A79,'Faculty Members_List'!$K$2:$K$258,1)</f>
        <v>6</v>
      </c>
      <c r="G95" s="2">
        <f>COUNTIFS('Faculty Members_List'!BM$2:BM$258,$A79,'Faculty Members_List'!$K$2:$K$258,1)</f>
        <v>5</v>
      </c>
      <c r="H95" s="2">
        <f>COUNTIFS('Faculty Members_List'!BN$2:BN$258,$A79,'Faculty Members_List'!$K$2:$K$258,1)</f>
        <v>5</v>
      </c>
      <c r="I95" s="2">
        <f>COUNTIFS('Faculty Members_List'!BO$2:BO$258,$A79,'Faculty Members_List'!$K$2:$K$258,1)</f>
        <v>3</v>
      </c>
      <c r="J95" s="2">
        <f>COUNTIFS('Faculty Members_List'!BP$2:BP$258,$A79,'Faculty Members_List'!$K$2:$K$258,1)</f>
        <v>2</v>
      </c>
      <c r="K95" s="2">
        <f>COUNTIFS('Faculty Members_List'!BQ$2:BQ$258,$A79,'Faculty Members_List'!$K$2:$K$258,1)</f>
        <v>1</v>
      </c>
      <c r="L95" s="2">
        <f>COUNTIFS('Faculty Members_List'!BR$2:BR$258,$A79,'Faculty Members_List'!$K$2:$K$258,1)</f>
        <v>0</v>
      </c>
      <c r="M95" s="2">
        <f>COUNTIFS('Faculty Members_List'!BS$2:BS$258,$A79,'Faculty Members_List'!$K$2:$K$258,1)</f>
        <v>0</v>
      </c>
      <c r="N95" s="2">
        <f>COUNTIFS('Faculty Members_List'!BT$2:BT$258,$A79,'Faculty Members_List'!$K$2:$K$258,1)</f>
        <v>0</v>
      </c>
      <c r="O95" s="2">
        <f>COUNTIFS('Faculty Members_List'!BU$2:BU$258,$A79,'Faculty Members_List'!$K$2:$K$258,1)</f>
        <v>0</v>
      </c>
      <c r="P95" s="2">
        <f>COUNTIFS('Faculty Members_List'!BV$2:BV$258,$A79,'Faculty Members_List'!$K$2:$K$258,1)</f>
        <v>0</v>
      </c>
      <c r="Q95" s="2">
        <f>COUNTIFS('Faculty Members_List'!BW$2:BW$258,$A79,'Faculty Members_List'!$K$2:$K$258,1)</f>
        <v>0</v>
      </c>
    </row>
    <row r="96" spans="1:17" x14ac:dyDescent="0.25">
      <c r="A96" s="4" t="s">
        <v>134</v>
      </c>
      <c r="B96" s="2">
        <f>COUNTIFS('Faculty Members_List'!BH$2:BH$258,$A80,'Faculty Members_List'!$K$2:$K$258,1)</f>
        <v>2</v>
      </c>
      <c r="C96" s="2">
        <f>COUNTIFS('Faculty Members_List'!BI$2:BI$258,$A80,'Faculty Members_List'!$K$2:$K$258,1)</f>
        <v>2</v>
      </c>
      <c r="D96" s="2">
        <f>COUNTIFS('Faculty Members_List'!BJ$2:BJ$258,$A80,'Faculty Members_List'!$K$2:$K$258,1)</f>
        <v>3</v>
      </c>
      <c r="E96" s="2">
        <f>COUNTIFS('Faculty Members_List'!BK$2:BK$258,$A80,'Faculty Members_List'!$K$2:$K$258,1)</f>
        <v>3</v>
      </c>
      <c r="F96" s="2">
        <f>COUNTIFS('Faculty Members_List'!BL$2:BL$258,$A80,'Faculty Members_List'!$K$2:$K$258,1)</f>
        <v>6</v>
      </c>
      <c r="G96" s="2">
        <f>COUNTIFS('Faculty Members_List'!BM$2:BM$258,$A80,'Faculty Members_List'!$K$2:$K$258,1)</f>
        <v>6</v>
      </c>
      <c r="H96" s="2">
        <f>COUNTIFS('Faculty Members_List'!BN$2:BN$258,$A80,'Faculty Members_List'!$K$2:$K$258,1)</f>
        <v>6</v>
      </c>
      <c r="I96" s="2">
        <f>COUNTIFS('Faculty Members_List'!BO$2:BO$258,$A80,'Faculty Members_List'!$K$2:$K$258,1)</f>
        <v>7</v>
      </c>
      <c r="J96" s="2">
        <f>COUNTIFS('Faculty Members_List'!BP$2:BP$258,$A80,'Faculty Members_List'!$K$2:$K$258,1)</f>
        <v>8</v>
      </c>
      <c r="K96" s="2">
        <f>COUNTIFS('Faculty Members_List'!BQ$2:BQ$258,$A80,'Faculty Members_List'!$K$2:$K$258,1)</f>
        <v>8</v>
      </c>
      <c r="L96" s="2">
        <f>COUNTIFS('Faculty Members_List'!BR$2:BR$258,$A80,'Faculty Members_List'!$K$2:$K$258,1)</f>
        <v>8</v>
      </c>
      <c r="M96" s="2">
        <f>COUNTIFS('Faculty Members_List'!BS$2:BS$258,$A80,'Faculty Members_List'!$K$2:$K$258,1)</f>
        <v>6</v>
      </c>
      <c r="N96" s="2">
        <f>COUNTIFS('Faculty Members_List'!BT$2:BT$258,$A80,'Faculty Members_List'!$K$2:$K$258,1)</f>
        <v>5</v>
      </c>
      <c r="O96" s="2">
        <f>COUNTIFS('Faculty Members_List'!BU$2:BU$258,$A80,'Faculty Members_List'!$K$2:$K$258,1)</f>
        <v>5</v>
      </c>
      <c r="P96" s="2">
        <f>COUNTIFS('Faculty Members_List'!BV$2:BV$258,$A80,'Faculty Members_List'!$K$2:$K$258,1)</f>
        <v>3</v>
      </c>
      <c r="Q96" s="2">
        <f>COUNTIFS('Faculty Members_List'!BW$2:BW$258,$A80,'Faculty Members_List'!$K$2:$K$258,1)</f>
        <v>1</v>
      </c>
    </row>
    <row r="97" spans="1:17" x14ac:dyDescent="0.25">
      <c r="A97" s="4" t="s">
        <v>135</v>
      </c>
      <c r="B97" s="2">
        <f>COUNTIFS('Faculty Members_List'!BH$2:BH$258,$A81,'Faculty Members_List'!$K$2:$K$258,1)</f>
        <v>7</v>
      </c>
      <c r="C97" s="2">
        <f>COUNTIFS('Faculty Members_List'!BI$2:BI$258,$A81,'Faculty Members_List'!$K$2:$K$258,1)</f>
        <v>8</v>
      </c>
      <c r="D97" s="2">
        <f>COUNTIFS('Faculty Members_List'!BJ$2:BJ$258,$A81,'Faculty Members_List'!$K$2:$K$258,1)</f>
        <v>8</v>
      </c>
      <c r="E97" s="2">
        <f>COUNTIFS('Faculty Members_List'!BK$2:BK$258,$A81,'Faculty Members_List'!$K$2:$K$258,1)</f>
        <v>7</v>
      </c>
      <c r="F97" s="2">
        <f>COUNTIFS('Faculty Members_List'!BL$2:BL$258,$A81,'Faculty Members_List'!$K$2:$K$258,1)</f>
        <v>7</v>
      </c>
      <c r="G97" s="2">
        <f>COUNTIFS('Faculty Members_List'!BM$2:BM$258,$A81,'Faculty Members_List'!$K$2:$K$258,1)</f>
        <v>6</v>
      </c>
      <c r="H97" s="2">
        <f>COUNTIFS('Faculty Members_List'!BN$2:BN$258,$A81,'Faculty Members_List'!$K$2:$K$258,1)</f>
        <v>6</v>
      </c>
      <c r="I97" s="2">
        <f>COUNTIFS('Faculty Members_List'!BO$2:BO$258,$A81,'Faculty Members_List'!$K$2:$K$258,1)</f>
        <v>7</v>
      </c>
      <c r="J97" s="2">
        <f>COUNTIFS('Faculty Members_List'!BP$2:BP$258,$A81,'Faculty Members_List'!$K$2:$K$258,1)</f>
        <v>7</v>
      </c>
      <c r="K97" s="2">
        <f>COUNTIFS('Faculty Members_List'!BQ$2:BQ$258,$A81,'Faculty Members_List'!$K$2:$K$258,1)</f>
        <v>7</v>
      </c>
      <c r="L97" s="2">
        <f>COUNTIFS('Faculty Members_List'!BR$2:BR$258,$A81,'Faculty Members_List'!$K$2:$K$258,1)</f>
        <v>8</v>
      </c>
      <c r="M97" s="2">
        <f>COUNTIFS('Faculty Members_List'!BS$2:BS$258,$A81,'Faculty Members_List'!$K$2:$K$258,1)</f>
        <v>10</v>
      </c>
      <c r="N97" s="2">
        <f>COUNTIFS('Faculty Members_List'!BT$2:BT$258,$A81,'Faculty Members_List'!$K$2:$K$258,1)</f>
        <v>11</v>
      </c>
      <c r="O97" s="2">
        <f>COUNTIFS('Faculty Members_List'!BU$2:BU$258,$A81,'Faculty Members_List'!$K$2:$K$258,1)</f>
        <v>11</v>
      </c>
      <c r="P97" s="2">
        <f>COUNTIFS('Faculty Members_List'!BV$2:BV$258,$A81,'Faculty Members_List'!$K$2:$K$258,1)</f>
        <v>12</v>
      </c>
      <c r="Q97" s="2">
        <f>COUNTIFS('Faculty Members_List'!BW$2:BW$258,$A81,'Faculty Members_List'!$K$2:$K$258,1)</f>
        <v>14</v>
      </c>
    </row>
    <row r="98" spans="1:17" x14ac:dyDescent="0.25">
      <c r="A98" s="5" t="s">
        <v>130</v>
      </c>
      <c r="B98" s="2">
        <f>COUNTIFS('Faculty Members_List'!BH$2:BH$258,$A82,'Faculty Members_List'!$K$2:$K$258,1)</f>
        <v>1</v>
      </c>
      <c r="C98" s="2">
        <f>COUNTIFS('Faculty Members_List'!BI$2:BI$258,$A82,'Faculty Members_List'!$K$2:$K$258,1)</f>
        <v>1</v>
      </c>
      <c r="D98" s="2">
        <f>COUNTIFS('Faculty Members_List'!BJ$2:BJ$258,$A82,'Faculty Members_List'!$K$2:$K$258,1)</f>
        <v>0</v>
      </c>
      <c r="E98" s="2">
        <f>COUNTIFS('Faculty Members_List'!BK$2:BK$258,$A82,'Faculty Members_List'!$K$2:$K$258,1)</f>
        <v>0</v>
      </c>
      <c r="F98" s="2">
        <f>COUNTIFS('Faculty Members_List'!BL$2:BL$258,$A82,'Faculty Members_List'!$K$2:$K$258,1)</f>
        <v>0</v>
      </c>
      <c r="G98" s="2">
        <f>COUNTIFS('Faculty Members_List'!BM$2:BM$258,$A82,'Faculty Members_List'!$K$2:$K$258,1)</f>
        <v>0</v>
      </c>
      <c r="H98" s="2">
        <f>COUNTIFS('Faculty Members_List'!BN$2:BN$258,$A82,'Faculty Members_List'!$K$2:$K$258,1)</f>
        <v>0</v>
      </c>
      <c r="I98" s="2">
        <f>COUNTIFS('Faculty Members_List'!BO$2:BO$258,$A82,'Faculty Members_List'!$K$2:$K$258,1)</f>
        <v>0</v>
      </c>
      <c r="J98" s="2">
        <f>COUNTIFS('Faculty Members_List'!BP$2:BP$258,$A82,'Faculty Members_List'!$K$2:$K$258,1)</f>
        <v>0</v>
      </c>
      <c r="K98" s="2">
        <f>COUNTIFS('Faculty Members_List'!BQ$2:BQ$258,$A82,'Faculty Members_List'!$K$2:$K$258,1)</f>
        <v>0</v>
      </c>
      <c r="L98" s="2">
        <f>COUNTIFS('Faculty Members_List'!BR$2:BR$258,$A82,'Faculty Members_List'!$K$2:$K$258,1)</f>
        <v>0</v>
      </c>
      <c r="M98" s="2">
        <f>COUNTIFS('Faculty Members_List'!BS$2:BS$258,$A82,'Faculty Members_List'!$K$2:$K$258,1)</f>
        <v>0</v>
      </c>
      <c r="N98" s="2">
        <f>COUNTIFS('Faculty Members_List'!BT$2:BT$258,$A82,'Faculty Members_List'!$K$2:$K$258,1)</f>
        <v>0</v>
      </c>
      <c r="O98" s="2">
        <f>COUNTIFS('Faculty Members_List'!BU$2:BU$258,$A82,'Faculty Members_List'!$K$2:$K$258,1)</f>
        <v>0</v>
      </c>
      <c r="P98" s="2">
        <f>COUNTIFS('Faculty Members_List'!BV$2:BV$258,$A82,'Faculty Members_List'!$K$2:$K$258,1)</f>
        <v>0</v>
      </c>
      <c r="Q98" s="2">
        <f>COUNTIFS('Faculty Members_List'!BW$2:BW$258,$A82,'Faculty Members_List'!$K$2:$K$258,1)</f>
        <v>0</v>
      </c>
    </row>
    <row r="99" spans="1:17" x14ac:dyDescent="0.25">
      <c r="A99" s="5" t="s">
        <v>131</v>
      </c>
      <c r="B99" s="2">
        <f>COUNTIFS('Faculty Members_List'!BH$2:BH$258,$A83,'Faculty Members_List'!$K$2:$K$258,1)</f>
        <v>3</v>
      </c>
      <c r="C99" s="2">
        <f>COUNTIFS('Faculty Members_List'!BI$2:BI$258,$A83,'Faculty Members_List'!$K$2:$K$258,1)</f>
        <v>4</v>
      </c>
      <c r="D99" s="2">
        <f>COUNTIFS('Faculty Members_List'!BJ$2:BJ$258,$A83,'Faculty Members_List'!$K$2:$K$258,1)</f>
        <v>4</v>
      </c>
      <c r="E99" s="2">
        <f>COUNTIFS('Faculty Members_List'!BK$2:BK$258,$A83,'Faculty Members_List'!$K$2:$K$258,1)</f>
        <v>4</v>
      </c>
      <c r="F99" s="2">
        <f>COUNTIFS('Faculty Members_List'!BL$2:BL$258,$A83,'Faculty Members_List'!$K$2:$K$258,1)</f>
        <v>3</v>
      </c>
      <c r="G99" s="2">
        <f>COUNTIFS('Faculty Members_List'!BM$2:BM$258,$A83,'Faculty Members_List'!$K$2:$K$258,1)</f>
        <v>3</v>
      </c>
      <c r="H99" s="2">
        <f>COUNTIFS('Faculty Members_List'!BN$2:BN$258,$A83,'Faculty Members_List'!$K$2:$K$258,1)</f>
        <v>3</v>
      </c>
      <c r="I99" s="2">
        <f>COUNTIFS('Faculty Members_List'!BO$2:BO$258,$A83,'Faculty Members_List'!$K$2:$K$258,1)</f>
        <v>3</v>
      </c>
      <c r="J99" s="2">
        <f>COUNTIFS('Faculty Members_List'!BP$2:BP$258,$A83,'Faculty Members_List'!$K$2:$K$258,1)</f>
        <v>2</v>
      </c>
      <c r="K99" s="2">
        <f>COUNTIFS('Faculty Members_List'!BQ$2:BQ$258,$A83,'Faculty Members_List'!$K$2:$K$258,1)</f>
        <v>2</v>
      </c>
      <c r="L99" s="2">
        <f>COUNTIFS('Faculty Members_List'!BR$2:BR$258,$A83,'Faculty Members_List'!$K$2:$K$258,1)</f>
        <v>2</v>
      </c>
      <c r="M99" s="2">
        <f>COUNTIFS('Faculty Members_List'!BS$2:BS$258,$A83,'Faculty Members_List'!$K$2:$K$258,1)</f>
        <v>2</v>
      </c>
      <c r="N99" s="2">
        <f>COUNTIFS('Faculty Members_List'!BT$2:BT$258,$A83,'Faculty Members_List'!$K$2:$K$258,1)</f>
        <v>2</v>
      </c>
      <c r="O99" s="2">
        <f>COUNTIFS('Faculty Members_List'!BU$2:BU$258,$A83,'Faculty Members_List'!$K$2:$K$258,1)</f>
        <v>2</v>
      </c>
      <c r="P99" s="2">
        <f>COUNTIFS('Faculty Members_List'!BV$2:BV$258,$A83,'Faculty Members_List'!$K$2:$K$258,1)</f>
        <v>1</v>
      </c>
      <c r="Q99" s="2">
        <f>COUNTIFS('Faculty Members_List'!BW$2:BW$258,$A83,'Faculty Members_List'!$K$2:$K$258,1)</f>
        <v>1</v>
      </c>
    </row>
    <row r="100" spans="1:17" x14ac:dyDescent="0.25">
      <c r="A100" s="5" t="s">
        <v>132</v>
      </c>
      <c r="B100" s="2">
        <f>COUNTIFS('Faculty Members_List'!BH$2:BH$258,$A84,'Faculty Members_List'!$K$2:$K$258,1)</f>
        <v>0</v>
      </c>
      <c r="C100" s="2">
        <f>COUNTIFS('Faculty Members_List'!BI$2:BI$258,$A84,'Faculty Members_List'!$K$2:$K$258,1)</f>
        <v>0</v>
      </c>
      <c r="D100" s="2">
        <f>COUNTIFS('Faculty Members_List'!BJ$2:BJ$258,$A84,'Faculty Members_List'!$K$2:$K$258,1)</f>
        <v>0</v>
      </c>
      <c r="E100" s="2">
        <f>COUNTIFS('Faculty Members_List'!BK$2:BK$258,$A84,'Faculty Members_List'!$K$2:$K$258,1)</f>
        <v>0</v>
      </c>
      <c r="F100" s="2">
        <f>COUNTIFS('Faculty Members_List'!BL$2:BL$258,$A84,'Faculty Members_List'!$K$2:$K$258,1)</f>
        <v>0</v>
      </c>
      <c r="G100" s="2">
        <f>COUNTIFS('Faculty Members_List'!BM$2:BM$258,$A84,'Faculty Members_List'!$K$2:$K$258,1)</f>
        <v>0</v>
      </c>
      <c r="H100" s="2">
        <f>COUNTIFS('Faculty Members_List'!BN$2:BN$258,$A84,'Faculty Members_List'!$K$2:$K$258,1)</f>
        <v>0</v>
      </c>
      <c r="I100" s="2">
        <f>COUNTIFS('Faculty Members_List'!BO$2:BO$258,$A84,'Faculty Members_List'!$K$2:$K$258,1)</f>
        <v>0</v>
      </c>
      <c r="J100" s="2">
        <f>COUNTIFS('Faculty Members_List'!BP$2:BP$258,$A84,'Faculty Members_List'!$K$2:$K$258,1)</f>
        <v>0</v>
      </c>
      <c r="K100" s="2">
        <f>COUNTIFS('Faculty Members_List'!BQ$2:BQ$258,$A84,'Faculty Members_List'!$K$2:$K$258,1)</f>
        <v>0</v>
      </c>
      <c r="L100" s="2">
        <f>COUNTIFS('Faculty Members_List'!BR$2:BR$258,$A84,'Faculty Members_List'!$K$2:$K$258,1)</f>
        <v>0</v>
      </c>
      <c r="M100" s="2">
        <f>COUNTIFS('Faculty Members_List'!BS$2:BS$258,$A84,'Faculty Members_List'!$K$2:$K$258,1)</f>
        <v>0</v>
      </c>
      <c r="N100" s="2">
        <f>COUNTIFS('Faculty Members_List'!BT$2:BT$258,$A84,'Faculty Members_List'!$K$2:$K$258,1)</f>
        <v>0</v>
      </c>
      <c r="O100" s="2">
        <f>COUNTIFS('Faculty Members_List'!BU$2:BU$258,$A84,'Faculty Members_List'!$K$2:$K$258,1)</f>
        <v>0</v>
      </c>
      <c r="P100" s="2">
        <f>COUNTIFS('Faculty Members_List'!BV$2:BV$258,$A84,'Faculty Members_List'!$K$2:$K$258,1)</f>
        <v>0</v>
      </c>
      <c r="Q100" s="2">
        <f>COUNTIFS('Faculty Members_List'!BW$2:BW$258,$A84,'Faculty Members_List'!$K$2:$K$258,1)</f>
        <v>0</v>
      </c>
    </row>
    <row r="101" spans="1:17" x14ac:dyDescent="0.25">
      <c r="A101" s="5" t="s">
        <v>129</v>
      </c>
      <c r="B101" s="2">
        <f>COUNTIFS('Faculty Members_List'!BH$2:BH$258,$A85,'Faculty Members_List'!$K$2:$K$258,1)</f>
        <v>6</v>
      </c>
      <c r="C101" s="2">
        <f>COUNTIFS('Faculty Members_List'!BI$2:BI$258,$A85,'Faculty Members_List'!$K$2:$K$258,1)</f>
        <v>5</v>
      </c>
      <c r="D101" s="2">
        <f>COUNTIFS('Faculty Members_List'!BJ$2:BJ$258,$A85,'Faculty Members_List'!$K$2:$K$258,1)</f>
        <v>5</v>
      </c>
      <c r="E101" s="2">
        <f>COUNTIFS('Faculty Members_List'!BK$2:BK$258,$A85,'Faculty Members_List'!$K$2:$K$258,1)</f>
        <v>5</v>
      </c>
      <c r="F101" s="2">
        <f>COUNTIFS('Faculty Members_List'!BL$2:BL$258,$A85,'Faculty Members_List'!$K$2:$K$258,1)</f>
        <v>5</v>
      </c>
      <c r="G101" s="2">
        <f>COUNTIFS('Faculty Members_List'!BM$2:BM$258,$A85,'Faculty Members_List'!$K$2:$K$258,1)</f>
        <v>5</v>
      </c>
      <c r="H101" s="2">
        <f>COUNTIFS('Faculty Members_List'!BN$2:BN$258,$A85,'Faculty Members_List'!$K$2:$K$258,1)</f>
        <v>4</v>
      </c>
      <c r="I101" s="2">
        <f>COUNTIFS('Faculty Members_List'!BO$2:BO$258,$A85,'Faculty Members_List'!$K$2:$K$258,1)</f>
        <v>3</v>
      </c>
      <c r="J101" s="2">
        <f>COUNTIFS('Faculty Members_List'!BP$2:BP$258,$A85,'Faculty Members_List'!$K$2:$K$258,1)</f>
        <v>3</v>
      </c>
      <c r="K101" s="2">
        <f>COUNTIFS('Faculty Members_List'!BQ$2:BQ$258,$A85,'Faculty Members_List'!$K$2:$K$258,1)</f>
        <v>3</v>
      </c>
      <c r="L101" s="2">
        <f>COUNTIFS('Faculty Members_List'!BR$2:BR$258,$A85,'Faculty Members_List'!$K$2:$K$258,1)</f>
        <v>3</v>
      </c>
      <c r="M101" s="2">
        <f>COUNTIFS('Faculty Members_List'!BS$2:BS$258,$A85,'Faculty Members_List'!$K$2:$K$258,1)</f>
        <v>3</v>
      </c>
      <c r="N101" s="2">
        <f>COUNTIFS('Faculty Members_List'!BT$2:BT$258,$A85,'Faculty Members_List'!$K$2:$K$258,1)</f>
        <v>3</v>
      </c>
      <c r="O101" s="2">
        <f>COUNTIFS('Faculty Members_List'!BU$2:BU$258,$A85,'Faculty Members_List'!$K$2:$K$258,1)</f>
        <v>2</v>
      </c>
      <c r="P101" s="2">
        <f>COUNTIFS('Faculty Members_List'!BV$2:BV$258,$A85,'Faculty Members_List'!$K$2:$K$258,1)</f>
        <v>2</v>
      </c>
      <c r="Q101" s="2">
        <f>COUNTIFS('Faculty Members_List'!BW$2:BW$258,$A85,'Faculty Members_List'!$K$2:$K$258,1)</f>
        <v>1</v>
      </c>
    </row>
    <row r="102" spans="1:17" x14ac:dyDescent="0.25">
      <c r="A102" s="5" t="s">
        <v>137</v>
      </c>
      <c r="B102" s="2">
        <f>COUNTIFS('Faculty Members_List'!BH$2:BH$258,$A86,'Faculty Members_List'!$K$2:$K$258,1)</f>
        <v>0</v>
      </c>
      <c r="C102" s="2">
        <f>COUNTIFS('Faculty Members_List'!BI$2:BI$258,$A86,'Faculty Members_List'!$K$2:$K$258,1)</f>
        <v>0</v>
      </c>
      <c r="D102" s="2">
        <f>COUNTIFS('Faculty Members_List'!BJ$2:BJ$258,$A86,'Faculty Members_List'!$K$2:$K$258,1)</f>
        <v>0</v>
      </c>
      <c r="E102" s="2">
        <f>COUNTIFS('Faculty Members_List'!BK$2:BK$258,$A86,'Faculty Members_List'!$K$2:$K$258,1)</f>
        <v>0</v>
      </c>
      <c r="F102" s="2">
        <f>COUNTIFS('Faculty Members_List'!BL$2:BL$258,$A86,'Faculty Members_List'!$K$2:$K$258,1)</f>
        <v>0</v>
      </c>
      <c r="G102" s="2">
        <f>COUNTIFS('Faculty Members_List'!BM$2:BM$258,$A86,'Faculty Members_List'!$K$2:$K$258,1)</f>
        <v>0</v>
      </c>
      <c r="H102" s="2">
        <f>COUNTIFS('Faculty Members_List'!BN$2:BN$258,$A86,'Faculty Members_List'!$K$2:$K$258,1)</f>
        <v>0</v>
      </c>
      <c r="I102" s="2">
        <f>COUNTIFS('Faculty Members_List'!BO$2:BO$258,$A86,'Faculty Members_List'!$K$2:$K$258,1)</f>
        <v>0</v>
      </c>
      <c r="J102" s="2">
        <f>COUNTIFS('Faculty Members_List'!BP$2:BP$258,$A86,'Faculty Members_List'!$K$2:$K$258,1)</f>
        <v>0</v>
      </c>
      <c r="K102" s="2">
        <f>COUNTIFS('Faculty Members_List'!BQ$2:BQ$258,$A86,'Faculty Members_List'!$K$2:$K$258,1)</f>
        <v>0</v>
      </c>
      <c r="L102" s="2">
        <f>COUNTIFS('Faculty Members_List'!BR$2:BR$258,$A86,'Faculty Members_List'!$K$2:$K$258,1)</f>
        <v>0</v>
      </c>
      <c r="M102" s="2">
        <f>COUNTIFS('Faculty Members_List'!BS$2:BS$258,$A86,'Faculty Members_List'!$K$2:$K$258,1)</f>
        <v>0</v>
      </c>
      <c r="N102" s="2">
        <f>COUNTIFS('Faculty Members_List'!BT$2:BT$258,$A86,'Faculty Members_List'!$K$2:$K$258,1)</f>
        <v>0</v>
      </c>
      <c r="O102" s="2">
        <f>COUNTIFS('Faculty Members_List'!BU$2:BU$258,$A86,'Faculty Members_List'!$K$2:$K$258,1)</f>
        <v>0</v>
      </c>
      <c r="P102" s="2">
        <f>COUNTIFS('Faculty Members_List'!BV$2:BV$258,$A86,'Faculty Members_List'!$K$2:$K$258,1)</f>
        <v>0</v>
      </c>
      <c r="Q102" s="2">
        <f>COUNTIFS('Faculty Members_List'!BW$2:BW$258,$A86,'Faculty Members_List'!$K$2:$K$258,1)</f>
        <v>0</v>
      </c>
    </row>
    <row r="103" spans="1:17" ht="13" x14ac:dyDescent="0.3">
      <c r="F103" s="12"/>
      <c r="G103" s="12"/>
      <c r="H103" s="12"/>
      <c r="I103" s="12"/>
      <c r="J103" s="12"/>
      <c r="K103" s="12"/>
      <c r="L103" s="12"/>
    </row>
    <row r="104" spans="1:17" ht="13" x14ac:dyDescent="0.3">
      <c r="A104" s="6" t="s">
        <v>154</v>
      </c>
      <c r="B104" s="3">
        <f t="shared" ref="B104:Q104" si="19">SUM(B95:B102)</f>
        <v>26</v>
      </c>
      <c r="C104" s="3">
        <f t="shared" si="19"/>
        <v>27</v>
      </c>
      <c r="D104" s="3">
        <f t="shared" si="19"/>
        <v>28</v>
      </c>
      <c r="E104" s="3">
        <f t="shared" si="19"/>
        <v>27</v>
      </c>
      <c r="F104" s="3">
        <f t="shared" si="19"/>
        <v>27</v>
      </c>
      <c r="G104" s="3">
        <f t="shared" si="19"/>
        <v>25</v>
      </c>
      <c r="H104" s="3">
        <f t="shared" si="19"/>
        <v>24</v>
      </c>
      <c r="I104" s="3">
        <f t="shared" si="19"/>
        <v>23</v>
      </c>
      <c r="J104" s="3">
        <f t="shared" si="19"/>
        <v>22</v>
      </c>
      <c r="K104" s="3">
        <f t="shared" si="19"/>
        <v>21</v>
      </c>
      <c r="L104" s="3">
        <f t="shared" si="19"/>
        <v>21</v>
      </c>
      <c r="M104" s="3">
        <f t="shared" si="19"/>
        <v>21</v>
      </c>
      <c r="N104" s="3">
        <f t="shared" si="19"/>
        <v>21</v>
      </c>
      <c r="O104" s="3">
        <f t="shared" si="19"/>
        <v>20</v>
      </c>
      <c r="P104" s="3">
        <f t="shared" si="19"/>
        <v>18</v>
      </c>
      <c r="Q104" s="3">
        <f t="shared" si="19"/>
        <v>17</v>
      </c>
    </row>
    <row r="105" spans="1:17" x14ac:dyDescent="0.25">
      <c r="A105" t="s">
        <v>179</v>
      </c>
      <c r="B105">
        <f t="shared" ref="B105:Q105" si="20">SUM(B95:B97)</f>
        <v>16</v>
      </c>
      <c r="C105">
        <f t="shared" si="20"/>
        <v>17</v>
      </c>
      <c r="D105">
        <f t="shared" si="20"/>
        <v>19</v>
      </c>
      <c r="E105">
        <f t="shared" si="20"/>
        <v>18</v>
      </c>
      <c r="F105">
        <f t="shared" si="20"/>
        <v>19</v>
      </c>
      <c r="G105">
        <f t="shared" si="20"/>
        <v>17</v>
      </c>
      <c r="H105">
        <f t="shared" si="20"/>
        <v>17</v>
      </c>
      <c r="I105">
        <f t="shared" si="20"/>
        <v>17</v>
      </c>
      <c r="J105">
        <f t="shared" si="20"/>
        <v>17</v>
      </c>
      <c r="K105">
        <f t="shared" si="20"/>
        <v>16</v>
      </c>
      <c r="L105">
        <f t="shared" si="20"/>
        <v>16</v>
      </c>
      <c r="M105">
        <f t="shared" si="20"/>
        <v>16</v>
      </c>
      <c r="N105">
        <f t="shared" si="20"/>
        <v>16</v>
      </c>
      <c r="O105">
        <f t="shared" si="20"/>
        <v>16</v>
      </c>
      <c r="P105">
        <f t="shared" si="20"/>
        <v>15</v>
      </c>
      <c r="Q105">
        <f t="shared" si="20"/>
        <v>15</v>
      </c>
    </row>
    <row r="106" spans="1:17" ht="13" x14ac:dyDescent="0.3">
      <c r="F106" s="12"/>
      <c r="G106" s="12"/>
      <c r="H106" s="12"/>
      <c r="I106" s="12"/>
      <c r="J106" s="12"/>
      <c r="K106" s="12"/>
      <c r="L106" s="12"/>
    </row>
    <row r="107" spans="1:17" ht="13" x14ac:dyDescent="0.3">
      <c r="F107" s="12"/>
      <c r="G107" s="12"/>
      <c r="H107" s="12"/>
      <c r="I107" s="12"/>
      <c r="J107" s="12"/>
      <c r="K107" s="12"/>
    </row>
    <row r="108" spans="1:17" ht="13" x14ac:dyDescent="0.3">
      <c r="A108" t="s">
        <v>198</v>
      </c>
      <c r="B108" t="s">
        <v>225</v>
      </c>
      <c r="F108" s="12"/>
      <c r="G108" s="12"/>
      <c r="H108" s="12"/>
      <c r="I108" s="12"/>
      <c r="J108" s="12"/>
      <c r="K108" s="12"/>
      <c r="L108" s="12"/>
    </row>
    <row r="109" spans="1:17" ht="13" x14ac:dyDescent="0.3">
      <c r="F109" s="12"/>
      <c r="G109" s="12"/>
      <c r="H109" s="12"/>
      <c r="I109" s="12"/>
      <c r="J109" s="12"/>
      <c r="K109" s="12"/>
      <c r="L109" s="12"/>
    </row>
    <row r="110" spans="1:17" ht="13" x14ac:dyDescent="0.3">
      <c r="B110" s="3">
        <v>2015</v>
      </c>
      <c r="C110" s="3">
        <v>2016</v>
      </c>
      <c r="D110" s="3">
        <v>2017</v>
      </c>
      <c r="E110" s="3">
        <v>2018</v>
      </c>
      <c r="F110" s="3">
        <v>2019</v>
      </c>
      <c r="G110" s="3">
        <v>2020</v>
      </c>
      <c r="H110" s="3">
        <v>2021</v>
      </c>
      <c r="I110" s="3">
        <v>2022</v>
      </c>
      <c r="J110" s="3">
        <v>2023</v>
      </c>
      <c r="K110" s="3">
        <v>2024</v>
      </c>
      <c r="L110" s="3">
        <v>2025</v>
      </c>
      <c r="M110" s="3">
        <v>2026</v>
      </c>
      <c r="N110" s="3">
        <v>2027</v>
      </c>
      <c r="O110" s="3">
        <v>2028</v>
      </c>
      <c r="P110" s="3">
        <v>2029</v>
      </c>
      <c r="Q110" s="3">
        <v>2030</v>
      </c>
    </row>
    <row r="111" spans="1:17" x14ac:dyDescent="0.25">
      <c r="A111" s="4" t="s">
        <v>133</v>
      </c>
      <c r="B111" s="2">
        <f>COUNTIFS('Faculty Members_List'!BH$2:BH$258,$A95,'Faculty Members_List'!$L$2:$L$258,1)</f>
        <v>2</v>
      </c>
      <c r="C111" s="2">
        <f>COUNTIFS('Faculty Members_List'!BI$2:BI$258,$A95,'Faculty Members_List'!$L$2:$L$258,1)</f>
        <v>1</v>
      </c>
      <c r="D111" s="2">
        <f>COUNTIFS('Faculty Members_List'!BJ$2:BJ$258,$A95,'Faculty Members_List'!$L$2:$L$258,1)</f>
        <v>1</v>
      </c>
      <c r="E111" s="2">
        <f>COUNTIFS('Faculty Members_List'!BK$2:BK$258,$A95,'Faculty Members_List'!$L$2:$L$258,1)</f>
        <v>1</v>
      </c>
      <c r="F111" s="2">
        <f>COUNTIFS('Faculty Members_List'!BL$2:BL$258,$A95,'Faculty Members_List'!$L$2:$L$258,1)</f>
        <v>0</v>
      </c>
      <c r="G111" s="2">
        <f>COUNTIFS('Faculty Members_List'!BM$2:BM$258,$A95,'Faculty Members_List'!$L$2:$L$258,1)</f>
        <v>0</v>
      </c>
      <c r="H111" s="2">
        <f>COUNTIFS('Faculty Members_List'!BN$2:BN$258,$A95,'Faculty Members_List'!$L$2:$L$258,1)</f>
        <v>0</v>
      </c>
      <c r="I111" s="2">
        <f>COUNTIFS('Faculty Members_List'!BO$2:BO$258,$A95,'Faculty Members_List'!$L$2:$L$258,1)</f>
        <v>0</v>
      </c>
      <c r="J111" s="2">
        <f>COUNTIFS('Faculty Members_List'!BP$2:BP$258,$A95,'Faculty Members_List'!$L$2:$L$258,1)</f>
        <v>0</v>
      </c>
      <c r="K111" s="2">
        <f>COUNTIFS('Faculty Members_List'!BQ$2:BQ$258,$A95,'Faculty Members_List'!$L$2:$L$258,1)</f>
        <v>0</v>
      </c>
      <c r="L111" s="2">
        <f>COUNTIFS('Faculty Members_List'!BR$2:BR$258,$A95,'Faculty Members_List'!$L$2:$L$258,1)</f>
        <v>0</v>
      </c>
      <c r="M111" s="2">
        <f>COUNTIFS('Faculty Members_List'!BS$2:BS$258,$A95,'Faculty Members_List'!$L$2:$L$258,1)</f>
        <v>0</v>
      </c>
      <c r="N111" s="2">
        <f>COUNTIFS('Faculty Members_List'!BT$2:BT$258,$A95,'Faculty Members_List'!$L$2:$L$258,1)</f>
        <v>0</v>
      </c>
      <c r="O111" s="2">
        <f>COUNTIFS('Faculty Members_List'!BU$2:BU$258,$A95,'Faculty Members_List'!$L$2:$L$258,1)</f>
        <v>0</v>
      </c>
      <c r="P111" s="2">
        <f>COUNTIFS('Faculty Members_List'!BV$2:BV$258,$A95,'Faculty Members_List'!$L$2:$L$258,1)</f>
        <v>0</v>
      </c>
      <c r="Q111" s="2">
        <f>COUNTIFS('Faculty Members_List'!BW$2:BW$258,$A95,'Faculty Members_List'!$L$2:$L$258,1)</f>
        <v>0</v>
      </c>
    </row>
    <row r="112" spans="1:17" x14ac:dyDescent="0.25">
      <c r="A112" s="4" t="s">
        <v>134</v>
      </c>
      <c r="B112" s="2">
        <f>COUNTIFS('Faculty Members_List'!BH$2:BH$258,$A96,'Faculty Members_List'!$L$2:$L$258,1)</f>
        <v>8</v>
      </c>
      <c r="C112" s="2">
        <f>COUNTIFS('Faculty Members_List'!BI$2:BI$258,$A96,'Faculty Members_List'!$L$2:$L$258,1)</f>
        <v>7</v>
      </c>
      <c r="D112" s="2">
        <f>COUNTIFS('Faculty Members_List'!BJ$2:BJ$258,$A96,'Faculty Members_List'!$L$2:$L$258,1)</f>
        <v>6</v>
      </c>
      <c r="E112" s="2">
        <f>COUNTIFS('Faculty Members_List'!BK$2:BK$258,$A96,'Faculty Members_List'!$L$2:$L$258,1)</f>
        <v>5</v>
      </c>
      <c r="F112" s="2">
        <f>COUNTIFS('Faculty Members_List'!BL$2:BL$258,$A96,'Faculty Members_List'!$L$2:$L$258,1)</f>
        <v>5</v>
      </c>
      <c r="G112" s="2">
        <f>COUNTIFS('Faculty Members_List'!BM$2:BM$258,$A96,'Faculty Members_List'!$L$2:$L$258,1)</f>
        <v>3</v>
      </c>
      <c r="H112" s="2">
        <f>COUNTIFS('Faculty Members_List'!BN$2:BN$258,$A96,'Faculty Members_List'!$L$2:$L$258,1)</f>
        <v>2</v>
      </c>
      <c r="I112" s="2">
        <f>COUNTIFS('Faculty Members_List'!BO$2:BO$258,$A96,'Faculty Members_List'!$L$2:$L$258,1)</f>
        <v>1</v>
      </c>
      <c r="J112" s="2">
        <f>COUNTIFS('Faculty Members_List'!BP$2:BP$258,$A96,'Faculty Members_List'!$L$2:$L$258,1)</f>
        <v>1</v>
      </c>
      <c r="K112" s="2">
        <f>COUNTIFS('Faculty Members_List'!BQ$2:BQ$258,$A96,'Faculty Members_List'!$L$2:$L$258,1)</f>
        <v>1</v>
      </c>
      <c r="L112" s="2">
        <f>COUNTIFS('Faculty Members_List'!BR$2:BR$258,$A96,'Faculty Members_List'!$L$2:$L$258,1)</f>
        <v>1</v>
      </c>
      <c r="M112" s="2">
        <f>COUNTIFS('Faculty Members_List'!BS$2:BS$258,$A96,'Faculty Members_List'!$L$2:$L$258,1)</f>
        <v>0</v>
      </c>
      <c r="N112" s="2">
        <f>COUNTIFS('Faculty Members_List'!BT$2:BT$258,$A96,'Faculty Members_List'!$L$2:$L$258,1)</f>
        <v>0</v>
      </c>
      <c r="O112" s="2">
        <f>COUNTIFS('Faculty Members_List'!BU$2:BU$258,$A96,'Faculty Members_List'!$L$2:$L$258,1)</f>
        <v>0</v>
      </c>
      <c r="P112" s="2">
        <f>COUNTIFS('Faculty Members_List'!BV$2:BV$258,$A96,'Faculty Members_List'!$L$2:$L$258,1)</f>
        <v>0</v>
      </c>
      <c r="Q112" s="2">
        <f>COUNTIFS('Faculty Members_List'!BW$2:BW$258,$A96,'Faculty Members_List'!$L$2:$L$258,1)</f>
        <v>0</v>
      </c>
    </row>
    <row r="113" spans="1:17" x14ac:dyDescent="0.25">
      <c r="A113" s="4" t="s">
        <v>135</v>
      </c>
      <c r="B113" s="2">
        <f>COUNTIFS('Faculty Members_List'!BH$2:BH$258,$A97,'Faculty Members_List'!$L$2:$L$258,1)</f>
        <v>16</v>
      </c>
      <c r="C113" s="2">
        <f>COUNTIFS('Faculty Members_List'!BI$2:BI$258,$A97,'Faculty Members_List'!$L$2:$L$258,1)</f>
        <v>16</v>
      </c>
      <c r="D113" s="2">
        <f>COUNTIFS('Faculty Members_List'!BJ$2:BJ$258,$A97,'Faculty Members_List'!$L$2:$L$258,1)</f>
        <v>16</v>
      </c>
      <c r="E113" s="2">
        <f>COUNTIFS('Faculty Members_List'!BK$2:BK$258,$A97,'Faculty Members_List'!$L$2:$L$258,1)</f>
        <v>16</v>
      </c>
      <c r="F113" s="2">
        <f>COUNTIFS('Faculty Members_List'!BL$2:BL$258,$A97,'Faculty Members_List'!$L$2:$L$258,1)</f>
        <v>16</v>
      </c>
      <c r="G113" s="2">
        <f>COUNTIFS('Faculty Members_List'!BM$2:BM$258,$A97,'Faculty Members_List'!$L$2:$L$258,1)</f>
        <v>18</v>
      </c>
      <c r="H113" s="2">
        <f>COUNTIFS('Faculty Members_List'!BN$2:BN$258,$A97,'Faculty Members_List'!$L$2:$L$258,1)</f>
        <v>19</v>
      </c>
      <c r="I113" s="2">
        <f>COUNTIFS('Faculty Members_List'!BO$2:BO$258,$A97,'Faculty Members_List'!$L$2:$L$258,1)</f>
        <v>18</v>
      </c>
      <c r="J113" s="2">
        <f>COUNTIFS('Faculty Members_List'!BP$2:BP$258,$A97,'Faculty Members_List'!$L$2:$L$258,1)</f>
        <v>15</v>
      </c>
      <c r="K113" s="2">
        <f>COUNTIFS('Faculty Members_List'!BQ$2:BQ$258,$A97,'Faculty Members_List'!$L$2:$L$258,1)</f>
        <v>14</v>
      </c>
      <c r="L113" s="2">
        <f>COUNTIFS('Faculty Members_List'!BR$2:BR$258,$A97,'Faculty Members_List'!$L$2:$L$258,1)</f>
        <v>14</v>
      </c>
      <c r="M113" s="2">
        <f>COUNTIFS('Faculty Members_List'!BS$2:BS$258,$A97,'Faculty Members_List'!$L$2:$L$258,1)</f>
        <v>15</v>
      </c>
      <c r="N113" s="2">
        <f>COUNTIFS('Faculty Members_List'!BT$2:BT$258,$A97,'Faculty Members_List'!$L$2:$L$258,1)</f>
        <v>15</v>
      </c>
      <c r="O113" s="2">
        <f>COUNTIFS('Faculty Members_List'!BU$2:BU$258,$A97,'Faculty Members_List'!$L$2:$L$258,1)</f>
        <v>13</v>
      </c>
      <c r="P113" s="2">
        <f>COUNTIFS('Faculty Members_List'!BV$2:BV$258,$A97,'Faculty Members_List'!$L$2:$L$258,1)</f>
        <v>11</v>
      </c>
      <c r="Q113" s="2">
        <f>COUNTIFS('Faculty Members_List'!BW$2:BW$258,$A97,'Faculty Members_List'!$L$2:$L$258,1)</f>
        <v>11</v>
      </c>
    </row>
    <row r="114" spans="1:17" x14ac:dyDescent="0.25">
      <c r="A114" s="5" t="s">
        <v>130</v>
      </c>
      <c r="B114" s="2">
        <f>COUNTIFS('Faculty Members_List'!BH$2:BH$258,$A98,'Faculty Members_List'!$L$2:$L$258,1)</f>
        <v>1</v>
      </c>
      <c r="C114" s="2">
        <f>COUNTIFS('Faculty Members_List'!BI$2:BI$258,$A98,'Faculty Members_List'!$L$2:$L$258,1)</f>
        <v>1</v>
      </c>
      <c r="D114" s="2">
        <f>COUNTIFS('Faculty Members_List'!BJ$2:BJ$258,$A98,'Faculty Members_List'!$L$2:$L$258,1)</f>
        <v>1</v>
      </c>
      <c r="E114" s="2">
        <f>COUNTIFS('Faculty Members_List'!BK$2:BK$258,$A98,'Faculty Members_List'!$L$2:$L$258,1)</f>
        <v>1</v>
      </c>
      <c r="F114" s="2">
        <f>COUNTIFS('Faculty Members_List'!BL$2:BL$258,$A98,'Faculty Members_List'!$L$2:$L$258,1)</f>
        <v>1</v>
      </c>
      <c r="G114" s="2">
        <f>COUNTIFS('Faculty Members_List'!BM$2:BM$258,$A98,'Faculty Members_List'!$L$2:$L$258,1)</f>
        <v>1</v>
      </c>
      <c r="H114" s="2">
        <f>COUNTIFS('Faculty Members_List'!BN$2:BN$258,$A98,'Faculty Members_List'!$L$2:$L$258,1)</f>
        <v>1</v>
      </c>
      <c r="I114" s="2">
        <f>COUNTIFS('Faculty Members_List'!BO$2:BO$258,$A98,'Faculty Members_List'!$L$2:$L$258,1)</f>
        <v>1</v>
      </c>
      <c r="J114" s="2">
        <f>COUNTIFS('Faculty Members_List'!BP$2:BP$258,$A98,'Faculty Members_List'!$L$2:$L$258,1)</f>
        <v>1</v>
      </c>
      <c r="K114" s="2">
        <f>COUNTIFS('Faculty Members_List'!BQ$2:BQ$258,$A98,'Faculty Members_List'!$L$2:$L$258,1)</f>
        <v>1</v>
      </c>
      <c r="L114" s="2">
        <f>COUNTIFS('Faculty Members_List'!BR$2:BR$258,$A98,'Faculty Members_List'!$L$2:$L$258,1)</f>
        <v>1</v>
      </c>
      <c r="M114" s="2">
        <f>COUNTIFS('Faculty Members_List'!BS$2:BS$258,$A98,'Faculty Members_List'!$L$2:$L$258,1)</f>
        <v>1</v>
      </c>
      <c r="N114" s="2">
        <f>COUNTIFS('Faculty Members_List'!BT$2:BT$258,$A98,'Faculty Members_List'!$L$2:$L$258,1)</f>
        <v>1</v>
      </c>
      <c r="O114" s="2">
        <f>COUNTIFS('Faculty Members_List'!BU$2:BU$258,$A98,'Faculty Members_List'!$L$2:$L$258,1)</f>
        <v>1</v>
      </c>
      <c r="P114" s="2">
        <f>COUNTIFS('Faculty Members_List'!BV$2:BV$258,$A98,'Faculty Members_List'!$L$2:$L$258,1)</f>
        <v>1</v>
      </c>
      <c r="Q114" s="2">
        <f>COUNTIFS('Faculty Members_List'!BW$2:BW$258,$A98,'Faculty Members_List'!$L$2:$L$258,1)</f>
        <v>1</v>
      </c>
    </row>
    <row r="115" spans="1:17" x14ac:dyDescent="0.25">
      <c r="A115" s="5" t="s">
        <v>131</v>
      </c>
      <c r="B115" s="2">
        <f>COUNTIFS('Faculty Members_List'!BH$2:BH$258,$A99,'Faculty Members_List'!$L$2:$L$258,1)</f>
        <v>4</v>
      </c>
      <c r="C115" s="2">
        <f>COUNTIFS('Faculty Members_List'!BI$2:BI$258,$A99,'Faculty Members_List'!$L$2:$L$258,1)</f>
        <v>3</v>
      </c>
      <c r="D115" s="2">
        <f>COUNTIFS('Faculty Members_List'!BJ$2:BJ$258,$A99,'Faculty Members_List'!$L$2:$L$258,1)</f>
        <v>3</v>
      </c>
      <c r="E115" s="2">
        <f>COUNTIFS('Faculty Members_List'!BK$2:BK$258,$A99,'Faculty Members_List'!$L$2:$L$258,1)</f>
        <v>2</v>
      </c>
      <c r="F115" s="2">
        <f>COUNTIFS('Faculty Members_List'!BL$2:BL$258,$A99,'Faculty Members_List'!$L$2:$L$258,1)</f>
        <v>2</v>
      </c>
      <c r="G115" s="2">
        <f>COUNTIFS('Faculty Members_List'!BM$2:BM$258,$A99,'Faculty Members_List'!$L$2:$L$258,1)</f>
        <v>2</v>
      </c>
      <c r="H115" s="2">
        <f>COUNTIFS('Faculty Members_List'!BN$2:BN$258,$A99,'Faculty Members_List'!$L$2:$L$258,1)</f>
        <v>2</v>
      </c>
      <c r="I115" s="2">
        <f>COUNTIFS('Faculty Members_List'!BO$2:BO$258,$A99,'Faculty Members_List'!$L$2:$L$258,1)</f>
        <v>2</v>
      </c>
      <c r="J115" s="2">
        <f>COUNTIFS('Faculty Members_List'!BP$2:BP$258,$A99,'Faculty Members_List'!$L$2:$L$258,1)</f>
        <v>2</v>
      </c>
      <c r="K115" s="2">
        <f>COUNTIFS('Faculty Members_List'!BQ$2:BQ$258,$A99,'Faculty Members_List'!$L$2:$L$258,1)</f>
        <v>2</v>
      </c>
      <c r="L115" s="2">
        <f>COUNTIFS('Faculty Members_List'!BR$2:BR$258,$A99,'Faculty Members_List'!$L$2:$L$258,1)</f>
        <v>2</v>
      </c>
      <c r="M115" s="2">
        <f>COUNTIFS('Faculty Members_List'!BS$2:BS$258,$A99,'Faculty Members_List'!$L$2:$L$258,1)</f>
        <v>2</v>
      </c>
      <c r="N115" s="2">
        <f>COUNTIFS('Faculty Members_List'!BT$2:BT$258,$A99,'Faculty Members_List'!$L$2:$L$258,1)</f>
        <v>2</v>
      </c>
      <c r="O115" s="2">
        <f>COUNTIFS('Faculty Members_List'!BU$2:BU$258,$A99,'Faculty Members_List'!$L$2:$L$258,1)</f>
        <v>2</v>
      </c>
      <c r="P115" s="2">
        <f>COUNTIFS('Faculty Members_List'!BV$2:BV$258,$A99,'Faculty Members_List'!$L$2:$L$258,1)</f>
        <v>2</v>
      </c>
      <c r="Q115" s="2">
        <f>COUNTIFS('Faculty Members_List'!BW$2:BW$258,$A99,'Faculty Members_List'!$L$2:$L$258,1)</f>
        <v>2</v>
      </c>
    </row>
    <row r="116" spans="1:17" x14ac:dyDescent="0.25">
      <c r="A116" s="5" t="s">
        <v>132</v>
      </c>
      <c r="B116" s="2">
        <f>COUNTIFS('Faculty Members_List'!BH$2:BH$258,$A100,'Faculty Members_List'!$L$2:$L$258,1)</f>
        <v>1</v>
      </c>
      <c r="C116" s="2">
        <f>COUNTIFS('Faculty Members_List'!BI$2:BI$258,$A100,'Faculty Members_List'!$L$2:$L$258,1)</f>
        <v>1</v>
      </c>
      <c r="D116" s="2">
        <f>COUNTIFS('Faculty Members_List'!BJ$2:BJ$258,$A100,'Faculty Members_List'!$L$2:$L$258,1)</f>
        <v>1</v>
      </c>
      <c r="E116" s="2">
        <f>COUNTIFS('Faculty Members_List'!BK$2:BK$258,$A100,'Faculty Members_List'!$L$2:$L$258,1)</f>
        <v>1</v>
      </c>
      <c r="F116" s="2">
        <f>COUNTIFS('Faculty Members_List'!BL$2:BL$258,$A100,'Faculty Members_List'!$L$2:$L$258,1)</f>
        <v>1</v>
      </c>
      <c r="G116" s="2">
        <f>COUNTIFS('Faculty Members_List'!BM$2:BM$258,$A100,'Faculty Members_List'!$L$2:$L$258,1)</f>
        <v>1</v>
      </c>
      <c r="H116" s="2">
        <f>COUNTIFS('Faculty Members_List'!BN$2:BN$258,$A100,'Faculty Members_List'!$L$2:$L$258,1)</f>
        <v>1</v>
      </c>
      <c r="I116" s="2">
        <f>COUNTIFS('Faculty Members_List'!BO$2:BO$258,$A100,'Faculty Members_List'!$L$2:$L$258,1)</f>
        <v>1</v>
      </c>
      <c r="J116" s="2">
        <f>COUNTIFS('Faculty Members_List'!BP$2:BP$258,$A100,'Faculty Members_List'!$L$2:$L$258,1)</f>
        <v>1</v>
      </c>
      <c r="K116" s="2">
        <f>COUNTIFS('Faculty Members_List'!BQ$2:BQ$258,$A100,'Faculty Members_List'!$L$2:$L$258,1)</f>
        <v>1</v>
      </c>
      <c r="L116" s="2">
        <f>COUNTIFS('Faculty Members_List'!BR$2:BR$258,$A100,'Faculty Members_List'!$L$2:$L$258,1)</f>
        <v>1</v>
      </c>
      <c r="M116" s="2">
        <f>COUNTIFS('Faculty Members_List'!BS$2:BS$258,$A100,'Faculty Members_List'!$L$2:$L$258,1)</f>
        <v>1</v>
      </c>
      <c r="N116" s="2">
        <f>COUNTIFS('Faculty Members_List'!BT$2:BT$258,$A100,'Faculty Members_List'!$L$2:$L$258,1)</f>
        <v>0</v>
      </c>
      <c r="O116" s="2">
        <f>COUNTIFS('Faculty Members_List'!BU$2:BU$258,$A100,'Faculty Members_List'!$L$2:$L$258,1)</f>
        <v>0</v>
      </c>
      <c r="P116" s="2">
        <f>COUNTIFS('Faculty Members_List'!BV$2:BV$258,$A100,'Faculty Members_List'!$L$2:$L$258,1)</f>
        <v>0</v>
      </c>
      <c r="Q116" s="2">
        <f>COUNTIFS('Faculty Members_List'!BW$2:BW$258,$A100,'Faculty Members_List'!$L$2:$L$258,1)</f>
        <v>0</v>
      </c>
    </row>
    <row r="117" spans="1:17" x14ac:dyDescent="0.25">
      <c r="A117" s="5" t="s">
        <v>129</v>
      </c>
      <c r="B117" s="2">
        <f>COUNTIFS('Faculty Members_List'!BH$2:BH$258,$A101,'Faculty Members_List'!$L$2:$L$258,1)</f>
        <v>6</v>
      </c>
      <c r="C117" s="2">
        <f>COUNTIFS('Faculty Members_List'!BI$2:BI$258,$A101,'Faculty Members_List'!$L$2:$L$258,1)</f>
        <v>7</v>
      </c>
      <c r="D117" s="2">
        <f>COUNTIFS('Faculty Members_List'!BJ$2:BJ$258,$A101,'Faculty Members_List'!$L$2:$L$258,1)</f>
        <v>7</v>
      </c>
      <c r="E117" s="2">
        <f>COUNTIFS('Faculty Members_List'!BK$2:BK$258,$A101,'Faculty Members_List'!$L$2:$L$258,1)</f>
        <v>7</v>
      </c>
      <c r="F117" s="2">
        <f>COUNTIFS('Faculty Members_List'!BL$2:BL$258,$A101,'Faculty Members_List'!$L$2:$L$258,1)</f>
        <v>6</v>
      </c>
      <c r="G117" s="2">
        <f>COUNTIFS('Faculty Members_List'!BM$2:BM$258,$A101,'Faculty Members_List'!$L$2:$L$258,1)</f>
        <v>6</v>
      </c>
      <c r="H117" s="2">
        <f>COUNTIFS('Faculty Members_List'!BN$2:BN$258,$A101,'Faculty Members_List'!$L$2:$L$258,1)</f>
        <v>6</v>
      </c>
      <c r="I117" s="2">
        <f>COUNTIFS('Faculty Members_List'!BO$2:BO$258,$A101,'Faculty Members_List'!$L$2:$L$258,1)</f>
        <v>6</v>
      </c>
      <c r="J117" s="2">
        <f>COUNTIFS('Faculty Members_List'!BP$2:BP$258,$A101,'Faculty Members_List'!$L$2:$L$258,1)</f>
        <v>6</v>
      </c>
      <c r="K117" s="2">
        <f>COUNTIFS('Faculty Members_List'!BQ$2:BQ$258,$A101,'Faculty Members_List'!$L$2:$L$258,1)</f>
        <v>6</v>
      </c>
      <c r="L117" s="2">
        <f>COUNTIFS('Faculty Members_List'!BR$2:BR$258,$A101,'Faculty Members_List'!$L$2:$L$258,1)</f>
        <v>6</v>
      </c>
      <c r="M117" s="2">
        <f>COUNTIFS('Faculty Members_List'!BS$2:BS$258,$A101,'Faculty Members_List'!$L$2:$L$258,1)</f>
        <v>6</v>
      </c>
      <c r="N117" s="2">
        <f>COUNTIFS('Faculty Members_List'!BT$2:BT$258,$A101,'Faculty Members_List'!$L$2:$L$258,1)</f>
        <v>6</v>
      </c>
      <c r="O117" s="2">
        <f>COUNTIFS('Faculty Members_List'!BU$2:BU$258,$A101,'Faculty Members_List'!$L$2:$L$258,1)</f>
        <v>6</v>
      </c>
      <c r="P117" s="2">
        <f>COUNTIFS('Faculty Members_List'!BV$2:BV$258,$A101,'Faculty Members_List'!$L$2:$L$258,1)</f>
        <v>6</v>
      </c>
      <c r="Q117" s="2">
        <f>COUNTIFS('Faculty Members_List'!BW$2:BW$258,$A101,'Faculty Members_List'!$L$2:$L$258,1)</f>
        <v>6</v>
      </c>
    </row>
    <row r="118" spans="1:17" x14ac:dyDescent="0.25">
      <c r="A118" s="5" t="s">
        <v>137</v>
      </c>
      <c r="B118" s="2">
        <f>COUNTIFS('Faculty Members_List'!BH$2:BH$258,$A102,'Faculty Members_List'!$L$2:$L$258,1)</f>
        <v>0</v>
      </c>
      <c r="C118" s="2">
        <f>COUNTIFS('Faculty Members_List'!BI$2:BI$258,$A102,'Faculty Members_List'!$L$2:$L$258,1)</f>
        <v>0</v>
      </c>
      <c r="D118" s="2">
        <f>COUNTIFS('Faculty Members_List'!BJ$2:BJ$258,$A102,'Faculty Members_List'!$L$2:$L$258,1)</f>
        <v>0</v>
      </c>
      <c r="E118" s="2">
        <f>COUNTIFS('Faculty Members_List'!BK$2:BK$258,$A102,'Faculty Members_List'!$L$2:$L$258,1)</f>
        <v>0</v>
      </c>
      <c r="F118" s="2">
        <f>COUNTIFS('Faculty Members_List'!BL$2:BL$258,$A102,'Faculty Members_List'!$L$2:$L$258,1)</f>
        <v>0</v>
      </c>
      <c r="G118" s="2">
        <f>COUNTIFS('Faculty Members_List'!BM$2:BM$258,$A102,'Faculty Members_List'!$L$2:$L$258,1)</f>
        <v>0</v>
      </c>
      <c r="H118" s="2">
        <f>COUNTIFS('Faculty Members_List'!BN$2:BN$258,$A102,'Faculty Members_List'!$L$2:$L$258,1)</f>
        <v>0</v>
      </c>
      <c r="I118" s="2">
        <f>COUNTIFS('Faculty Members_List'!BO$2:BO$258,$A102,'Faculty Members_List'!$L$2:$L$258,1)</f>
        <v>0</v>
      </c>
      <c r="J118" s="2">
        <f>COUNTIFS('Faculty Members_List'!BP$2:BP$258,$A102,'Faculty Members_List'!$L$2:$L$258,1)</f>
        <v>0</v>
      </c>
      <c r="K118" s="2">
        <f>COUNTIFS('Faculty Members_List'!BQ$2:BQ$258,$A102,'Faculty Members_List'!$L$2:$L$258,1)</f>
        <v>0</v>
      </c>
      <c r="L118" s="2">
        <f>COUNTIFS('Faculty Members_List'!BR$2:BR$258,$A102,'Faculty Members_List'!$L$2:$L$258,1)</f>
        <v>0</v>
      </c>
      <c r="M118" s="2">
        <f>COUNTIFS('Faculty Members_List'!BS$2:BS$258,$A102,'Faculty Members_List'!$L$2:$L$258,1)</f>
        <v>0</v>
      </c>
      <c r="N118" s="2">
        <f>COUNTIFS('Faculty Members_List'!BT$2:BT$258,$A102,'Faculty Members_List'!$L$2:$L$258,1)</f>
        <v>0</v>
      </c>
      <c r="O118" s="2">
        <f>COUNTIFS('Faculty Members_List'!BU$2:BU$258,$A102,'Faculty Members_List'!$L$2:$L$258,1)</f>
        <v>0</v>
      </c>
      <c r="P118" s="2">
        <f>COUNTIFS('Faculty Members_List'!BV$2:BV$258,$A102,'Faculty Members_List'!$L$2:$L$258,1)</f>
        <v>0</v>
      </c>
      <c r="Q118" s="2">
        <f>COUNTIFS('Faculty Members_List'!BW$2:BW$258,$A102,'Faculty Members_List'!$L$2:$L$258,1)</f>
        <v>0</v>
      </c>
    </row>
    <row r="119" spans="1:17" ht="13" x14ac:dyDescent="0.3">
      <c r="F119" s="12"/>
      <c r="G119" s="12"/>
      <c r="H119" s="12"/>
      <c r="I119" s="12"/>
      <c r="J119" s="12"/>
      <c r="K119" s="12"/>
      <c r="L119" s="12"/>
    </row>
    <row r="120" spans="1:17" ht="13" x14ac:dyDescent="0.3">
      <c r="A120" s="6" t="s">
        <v>154</v>
      </c>
      <c r="B120" s="3">
        <f t="shared" ref="B120:Q120" si="21">SUM(B111:B118)</f>
        <v>38</v>
      </c>
      <c r="C120" s="3">
        <f t="shared" si="21"/>
        <v>36</v>
      </c>
      <c r="D120" s="3">
        <f t="shared" si="21"/>
        <v>35</v>
      </c>
      <c r="E120" s="3">
        <f t="shared" si="21"/>
        <v>33</v>
      </c>
      <c r="F120" s="3">
        <f t="shared" si="21"/>
        <v>31</v>
      </c>
      <c r="G120" s="3">
        <f t="shared" si="21"/>
        <v>31</v>
      </c>
      <c r="H120" s="3">
        <f t="shared" si="21"/>
        <v>31</v>
      </c>
      <c r="I120" s="3">
        <f t="shared" si="21"/>
        <v>29</v>
      </c>
      <c r="J120" s="3">
        <f t="shared" si="21"/>
        <v>26</v>
      </c>
      <c r="K120" s="3">
        <f t="shared" si="21"/>
        <v>25</v>
      </c>
      <c r="L120" s="3">
        <f t="shared" si="21"/>
        <v>25</v>
      </c>
      <c r="M120" s="3">
        <f t="shared" si="21"/>
        <v>25</v>
      </c>
      <c r="N120" s="3">
        <f t="shared" si="21"/>
        <v>24</v>
      </c>
      <c r="O120" s="3">
        <f t="shared" si="21"/>
        <v>22</v>
      </c>
      <c r="P120" s="3">
        <f t="shared" si="21"/>
        <v>20</v>
      </c>
      <c r="Q120" s="3">
        <f t="shared" si="21"/>
        <v>20</v>
      </c>
    </row>
    <row r="121" spans="1:17" x14ac:dyDescent="0.25">
      <c r="A121" t="s">
        <v>179</v>
      </c>
      <c r="B121">
        <f t="shared" ref="B121:Q121" si="22">SUM(B111:B113)</f>
        <v>26</v>
      </c>
      <c r="C121">
        <f t="shared" si="22"/>
        <v>24</v>
      </c>
      <c r="D121">
        <f t="shared" si="22"/>
        <v>23</v>
      </c>
      <c r="E121">
        <f t="shared" si="22"/>
        <v>22</v>
      </c>
      <c r="F121">
        <f t="shared" si="22"/>
        <v>21</v>
      </c>
      <c r="G121">
        <f t="shared" si="22"/>
        <v>21</v>
      </c>
      <c r="H121">
        <f t="shared" si="22"/>
        <v>21</v>
      </c>
      <c r="I121">
        <f t="shared" si="22"/>
        <v>19</v>
      </c>
      <c r="J121">
        <f t="shared" si="22"/>
        <v>16</v>
      </c>
      <c r="K121">
        <f t="shared" si="22"/>
        <v>15</v>
      </c>
      <c r="L121">
        <f t="shared" si="22"/>
        <v>15</v>
      </c>
      <c r="M121">
        <f t="shared" si="22"/>
        <v>15</v>
      </c>
      <c r="N121">
        <f t="shared" si="22"/>
        <v>15</v>
      </c>
      <c r="O121">
        <f t="shared" si="22"/>
        <v>13</v>
      </c>
      <c r="P121">
        <f t="shared" si="22"/>
        <v>11</v>
      </c>
      <c r="Q121">
        <f t="shared" si="22"/>
        <v>11</v>
      </c>
    </row>
    <row r="122" spans="1:17" ht="13" x14ac:dyDescent="0.3">
      <c r="F122" s="12"/>
      <c r="G122" s="12"/>
      <c r="H122" s="12"/>
      <c r="I122" s="12"/>
      <c r="J122" s="12"/>
      <c r="K122" s="12"/>
      <c r="L122" s="12"/>
    </row>
    <row r="123" spans="1:17" ht="13" x14ac:dyDescent="0.3">
      <c r="F123" s="12"/>
      <c r="G123" s="12"/>
      <c r="H123" s="12"/>
      <c r="I123" s="12"/>
      <c r="J123" s="12"/>
      <c r="K123" s="12"/>
      <c r="L123" s="12"/>
    </row>
    <row r="124" spans="1:17" ht="13" x14ac:dyDescent="0.3">
      <c r="A124" t="s">
        <v>200</v>
      </c>
      <c r="B124" t="s">
        <v>225</v>
      </c>
      <c r="F124" s="12"/>
      <c r="G124" s="12"/>
      <c r="H124" s="12"/>
      <c r="I124" s="12"/>
      <c r="J124" s="12"/>
      <c r="K124" s="12"/>
      <c r="L124" s="12"/>
    </row>
    <row r="125" spans="1:17" ht="13" x14ac:dyDescent="0.3">
      <c r="F125" s="12"/>
      <c r="G125" s="12"/>
      <c r="H125" s="12"/>
      <c r="I125" s="12"/>
      <c r="J125" s="12"/>
      <c r="K125" s="12"/>
    </row>
    <row r="126" spans="1:17" ht="13" x14ac:dyDescent="0.3">
      <c r="B126" s="3">
        <v>2015</v>
      </c>
      <c r="C126" s="3">
        <v>2016</v>
      </c>
      <c r="D126" s="3">
        <v>2017</v>
      </c>
      <c r="E126" s="3">
        <v>2018</v>
      </c>
      <c r="F126" s="3">
        <v>2019</v>
      </c>
      <c r="G126" s="3">
        <v>2020</v>
      </c>
      <c r="H126" s="3">
        <v>2021</v>
      </c>
      <c r="I126" s="3">
        <v>2022</v>
      </c>
      <c r="J126" s="3">
        <v>2023</v>
      </c>
      <c r="K126" s="3">
        <v>2024</v>
      </c>
      <c r="L126" s="3">
        <v>2025</v>
      </c>
      <c r="M126" s="3">
        <v>2026</v>
      </c>
      <c r="N126" s="3">
        <v>2027</v>
      </c>
      <c r="O126" s="3">
        <v>2028</v>
      </c>
      <c r="P126" s="3">
        <v>2029</v>
      </c>
      <c r="Q126" s="3">
        <v>2030</v>
      </c>
    </row>
    <row r="127" spans="1:17" x14ac:dyDescent="0.25">
      <c r="A127" s="4" t="s">
        <v>133</v>
      </c>
      <c r="B127" s="2">
        <f>COUNTIFS('Faculty Members_List'!BH$2:BH$258,$A111,'Faculty Members_List'!$M$2:$M$258,1)</f>
        <v>4</v>
      </c>
      <c r="C127" s="2">
        <f>COUNTIFS('Faculty Members_List'!BI$2:BI$258,$A111,'Faculty Members_List'!$M$2:$M$258,1)</f>
        <v>5</v>
      </c>
      <c r="D127" s="2">
        <f>COUNTIFS('Faculty Members_List'!BJ$2:BJ$258,$A111,'Faculty Members_List'!$M$2:$M$258,1)</f>
        <v>6</v>
      </c>
      <c r="E127" s="2">
        <f>COUNTIFS('Faculty Members_List'!BK$2:BK$258,$A111,'Faculty Members_List'!$M$2:$M$258,1)</f>
        <v>7</v>
      </c>
      <c r="F127" s="2">
        <f>COUNTIFS('Faculty Members_List'!BL$2:BL$258,$A111,'Faculty Members_List'!$M$2:$M$258,1)</f>
        <v>7</v>
      </c>
      <c r="G127" s="2">
        <f>COUNTIFS('Faculty Members_List'!BM$2:BM$258,$A111,'Faculty Members_List'!$M$2:$M$258,1)</f>
        <v>5</v>
      </c>
      <c r="H127" s="2">
        <f>COUNTIFS('Faculty Members_List'!BN$2:BN$258,$A111,'Faculty Members_List'!$M$2:$M$258,1)</f>
        <v>4</v>
      </c>
      <c r="I127" s="2">
        <f>COUNTIFS('Faculty Members_List'!BO$2:BO$258,$A111,'Faculty Members_List'!$M$2:$M$258,1)</f>
        <v>3</v>
      </c>
      <c r="J127" s="2">
        <f>COUNTIFS('Faculty Members_List'!BP$2:BP$258,$A111,'Faculty Members_List'!$M$2:$M$258,1)</f>
        <v>1</v>
      </c>
      <c r="K127" s="2">
        <f>COUNTIFS('Faculty Members_List'!BQ$2:BQ$258,$A111,'Faculty Members_List'!$M$2:$M$258,1)</f>
        <v>1</v>
      </c>
      <c r="L127" s="2">
        <f>COUNTIFS('Faculty Members_List'!BR$2:BR$258,$A111,'Faculty Members_List'!$M$2:$M$258,1)</f>
        <v>0</v>
      </c>
      <c r="M127" s="2">
        <f>COUNTIFS('Faculty Members_List'!BS$2:BS$258,$A111,'Faculty Members_List'!$M$2:$M$258,1)</f>
        <v>0</v>
      </c>
      <c r="N127" s="2">
        <f>COUNTIFS('Faculty Members_List'!BT$2:BT$258,$A111,'Faculty Members_List'!$M$2:$M$258,1)</f>
        <v>0</v>
      </c>
      <c r="O127" s="2">
        <f>COUNTIFS('Faculty Members_List'!BU$2:BU$258,$A111,'Faculty Members_List'!$M$2:$M$258,1)</f>
        <v>0</v>
      </c>
      <c r="P127" s="2">
        <f>COUNTIFS('Faculty Members_List'!BV$2:BV$258,$A111,'Faculty Members_List'!$M$2:$M$258,1)</f>
        <v>0</v>
      </c>
      <c r="Q127" s="2">
        <f>COUNTIFS('Faculty Members_List'!BW$2:BW$258,$A111,'Faculty Members_List'!$M$2:$M$258,1)</f>
        <v>0</v>
      </c>
    </row>
    <row r="128" spans="1:17" x14ac:dyDescent="0.25">
      <c r="A128" s="4" t="s">
        <v>134</v>
      </c>
      <c r="B128" s="2">
        <f>COUNTIFS('Faculty Members_List'!BH$2:BH$258,$A112,'Faculty Members_List'!$M$2:$M$258,1)</f>
        <v>7</v>
      </c>
      <c r="C128" s="2">
        <f>COUNTIFS('Faculty Members_List'!BI$2:BI$258,$A112,'Faculty Members_List'!$M$2:$M$258,1)</f>
        <v>7</v>
      </c>
      <c r="D128" s="2">
        <f>COUNTIFS('Faculty Members_List'!BJ$2:BJ$258,$A112,'Faculty Members_List'!$M$2:$M$258,1)</f>
        <v>8</v>
      </c>
      <c r="E128" s="2">
        <f>COUNTIFS('Faculty Members_List'!BK$2:BK$258,$A112,'Faculty Members_List'!$M$2:$M$258,1)</f>
        <v>8</v>
      </c>
      <c r="F128" s="2">
        <f>COUNTIFS('Faculty Members_List'!BL$2:BL$258,$A112,'Faculty Members_List'!$M$2:$M$258,1)</f>
        <v>6</v>
      </c>
      <c r="G128" s="2">
        <f>COUNTIFS('Faculty Members_List'!BM$2:BM$258,$A112,'Faculty Members_List'!$M$2:$M$258,1)</f>
        <v>6</v>
      </c>
      <c r="H128" s="2">
        <f>COUNTIFS('Faculty Members_List'!BN$2:BN$258,$A112,'Faculty Members_List'!$M$2:$M$258,1)</f>
        <v>6</v>
      </c>
      <c r="I128" s="2">
        <f>COUNTIFS('Faculty Members_List'!BO$2:BO$258,$A112,'Faculty Members_List'!$M$2:$M$258,1)</f>
        <v>6</v>
      </c>
      <c r="J128" s="2">
        <f>COUNTIFS('Faculty Members_List'!BP$2:BP$258,$A112,'Faculty Members_List'!$M$2:$M$258,1)</f>
        <v>7</v>
      </c>
      <c r="K128" s="2">
        <f>COUNTIFS('Faculty Members_List'!BQ$2:BQ$258,$A112,'Faculty Members_List'!$M$2:$M$258,1)</f>
        <v>6</v>
      </c>
      <c r="L128" s="2">
        <f>COUNTIFS('Faculty Members_List'!BR$2:BR$258,$A112,'Faculty Members_List'!$M$2:$M$258,1)</f>
        <v>7</v>
      </c>
      <c r="M128" s="2">
        <f>COUNTIFS('Faculty Members_List'!BS$2:BS$258,$A112,'Faculty Members_List'!$M$2:$M$258,1)</f>
        <v>6</v>
      </c>
      <c r="N128" s="2">
        <f>COUNTIFS('Faculty Members_List'!BT$2:BT$258,$A112,'Faculty Members_List'!$M$2:$M$258,1)</f>
        <v>5</v>
      </c>
      <c r="O128" s="2">
        <f>COUNTIFS('Faculty Members_List'!BU$2:BU$258,$A112,'Faculty Members_List'!$M$2:$M$258,1)</f>
        <v>4</v>
      </c>
      <c r="P128" s="2">
        <f>COUNTIFS('Faculty Members_List'!BV$2:BV$258,$A112,'Faculty Members_List'!$M$2:$M$258,1)</f>
        <v>3</v>
      </c>
      <c r="Q128" s="2">
        <f>COUNTIFS('Faculty Members_List'!BW$2:BW$258,$A112,'Faculty Members_List'!$M$2:$M$258,1)</f>
        <v>1</v>
      </c>
    </row>
    <row r="129" spans="1:17" x14ac:dyDescent="0.25">
      <c r="A129" s="4" t="s">
        <v>135</v>
      </c>
      <c r="B129" s="2">
        <f>COUNTIFS('Faculty Members_List'!BH$2:BH$258,$A113,'Faculty Members_List'!$M$2:$M$258,1)</f>
        <v>12</v>
      </c>
      <c r="C129" s="2">
        <f>COUNTIFS('Faculty Members_List'!BI$2:BI$258,$A113,'Faculty Members_List'!$M$2:$M$258,1)</f>
        <v>12</v>
      </c>
      <c r="D129" s="2">
        <f>COUNTIFS('Faculty Members_List'!BJ$2:BJ$258,$A113,'Faculty Members_List'!$M$2:$M$258,1)</f>
        <v>12</v>
      </c>
      <c r="E129" s="2">
        <f>COUNTIFS('Faculty Members_List'!BK$2:BK$258,$A113,'Faculty Members_List'!$M$2:$M$258,1)</f>
        <v>11</v>
      </c>
      <c r="F129" s="2">
        <f>COUNTIFS('Faculty Members_List'!BL$2:BL$258,$A113,'Faculty Members_List'!$M$2:$M$258,1)</f>
        <v>13</v>
      </c>
      <c r="G129" s="2">
        <f>COUNTIFS('Faculty Members_List'!BM$2:BM$258,$A113,'Faculty Members_List'!$M$2:$M$258,1)</f>
        <v>13</v>
      </c>
      <c r="H129" s="2">
        <f>COUNTIFS('Faculty Members_List'!BN$2:BN$258,$A113,'Faculty Members_List'!$M$2:$M$258,1)</f>
        <v>14</v>
      </c>
      <c r="I129" s="2">
        <f>COUNTIFS('Faculty Members_List'!BO$2:BO$258,$A113,'Faculty Members_List'!$M$2:$M$258,1)</f>
        <v>14</v>
      </c>
      <c r="J129" s="2">
        <f>COUNTIFS('Faculty Members_List'!BP$2:BP$258,$A113,'Faculty Members_List'!$M$2:$M$258,1)</f>
        <v>14</v>
      </c>
      <c r="K129" s="2">
        <f>COUNTIFS('Faculty Members_List'!BQ$2:BQ$258,$A113,'Faculty Members_List'!$M$2:$M$258,1)</f>
        <v>15</v>
      </c>
      <c r="L129" s="2">
        <f>COUNTIFS('Faculty Members_List'!BR$2:BR$258,$A113,'Faculty Members_List'!$M$2:$M$258,1)</f>
        <v>15</v>
      </c>
      <c r="M129" s="2">
        <f>COUNTIFS('Faculty Members_List'!BS$2:BS$258,$A113,'Faculty Members_List'!$M$2:$M$258,1)</f>
        <v>16</v>
      </c>
      <c r="N129" s="2">
        <f>COUNTIFS('Faculty Members_List'!BT$2:BT$258,$A113,'Faculty Members_List'!$M$2:$M$258,1)</f>
        <v>16</v>
      </c>
      <c r="O129" s="2">
        <f>COUNTIFS('Faculty Members_List'!BU$2:BU$258,$A113,'Faculty Members_List'!$M$2:$M$258,1)</f>
        <v>16</v>
      </c>
      <c r="P129" s="2">
        <f>COUNTIFS('Faculty Members_List'!BV$2:BV$258,$A113,'Faculty Members_List'!$M$2:$M$258,1)</f>
        <v>16</v>
      </c>
      <c r="Q129" s="2">
        <f>COUNTIFS('Faculty Members_List'!BW$2:BW$258,$A113,'Faculty Members_List'!$M$2:$M$258,1)</f>
        <v>18</v>
      </c>
    </row>
    <row r="130" spans="1:17" x14ac:dyDescent="0.25">
      <c r="A130" s="5" t="s">
        <v>130</v>
      </c>
      <c r="B130" s="2">
        <f>COUNTIFS('Faculty Members_List'!BH$2:BH$258,$A114,'Faculty Members_List'!$M$2:$M$258,1)</f>
        <v>0</v>
      </c>
      <c r="C130" s="2">
        <f>COUNTIFS('Faculty Members_List'!BI$2:BI$258,$A114,'Faculty Members_List'!$M$2:$M$258,1)</f>
        <v>0</v>
      </c>
      <c r="D130" s="2">
        <f>COUNTIFS('Faculty Members_List'!BJ$2:BJ$258,$A114,'Faculty Members_List'!$M$2:$M$258,1)</f>
        <v>0</v>
      </c>
      <c r="E130" s="2">
        <f>COUNTIFS('Faculty Members_List'!BK$2:BK$258,$A114,'Faculty Members_List'!$M$2:$M$258,1)</f>
        <v>0</v>
      </c>
      <c r="F130" s="2">
        <f>COUNTIFS('Faculty Members_List'!BL$2:BL$258,$A114,'Faculty Members_List'!$M$2:$M$258,1)</f>
        <v>0</v>
      </c>
      <c r="G130" s="2">
        <f>COUNTIFS('Faculty Members_List'!BM$2:BM$258,$A114,'Faculty Members_List'!$M$2:$M$258,1)</f>
        <v>0</v>
      </c>
      <c r="H130" s="2">
        <f>COUNTIFS('Faculty Members_List'!BN$2:BN$258,$A114,'Faculty Members_List'!$M$2:$M$258,1)</f>
        <v>0</v>
      </c>
      <c r="I130" s="2">
        <f>COUNTIFS('Faculty Members_List'!BO$2:BO$258,$A114,'Faculty Members_List'!$M$2:$M$258,1)</f>
        <v>0</v>
      </c>
      <c r="J130" s="2">
        <f>COUNTIFS('Faculty Members_List'!BP$2:BP$258,$A114,'Faculty Members_List'!$M$2:$M$258,1)</f>
        <v>0</v>
      </c>
      <c r="K130" s="2">
        <f>COUNTIFS('Faculty Members_List'!BQ$2:BQ$258,$A114,'Faculty Members_List'!$M$2:$M$258,1)</f>
        <v>0</v>
      </c>
      <c r="L130" s="2">
        <f>COUNTIFS('Faculty Members_List'!BR$2:BR$258,$A114,'Faculty Members_List'!$M$2:$M$258,1)</f>
        <v>0</v>
      </c>
      <c r="M130" s="2">
        <f>COUNTIFS('Faculty Members_List'!BS$2:BS$258,$A114,'Faculty Members_List'!$M$2:$M$258,1)</f>
        <v>0</v>
      </c>
      <c r="N130" s="2">
        <f>COUNTIFS('Faculty Members_List'!BT$2:BT$258,$A114,'Faculty Members_List'!$M$2:$M$258,1)</f>
        <v>0</v>
      </c>
      <c r="O130" s="2">
        <f>COUNTIFS('Faculty Members_List'!BU$2:BU$258,$A114,'Faculty Members_List'!$M$2:$M$258,1)</f>
        <v>0</v>
      </c>
      <c r="P130" s="2">
        <f>COUNTIFS('Faculty Members_List'!BV$2:BV$258,$A114,'Faculty Members_List'!$M$2:$M$258,1)</f>
        <v>0</v>
      </c>
      <c r="Q130" s="2">
        <f>COUNTIFS('Faculty Members_List'!BW$2:BW$258,$A114,'Faculty Members_List'!$M$2:$M$258,1)</f>
        <v>0</v>
      </c>
    </row>
    <row r="131" spans="1:17" x14ac:dyDescent="0.25">
      <c r="A131" s="5" t="s">
        <v>131</v>
      </c>
      <c r="B131" s="2">
        <f>COUNTIFS('Faculty Members_List'!BH$2:BH$258,$A115,'Faculty Members_List'!$M$2:$M$258,1)</f>
        <v>5</v>
      </c>
      <c r="C131" s="2">
        <f>COUNTIFS('Faculty Members_List'!BI$2:BI$258,$A115,'Faculty Members_List'!$M$2:$M$258,1)</f>
        <v>4</v>
      </c>
      <c r="D131" s="2">
        <f>COUNTIFS('Faculty Members_List'!BJ$2:BJ$258,$A115,'Faculty Members_List'!$M$2:$M$258,1)</f>
        <v>3</v>
      </c>
      <c r="E131" s="2">
        <f>COUNTIFS('Faculty Members_List'!BK$2:BK$258,$A115,'Faculty Members_List'!$M$2:$M$258,1)</f>
        <v>3</v>
      </c>
      <c r="F131" s="2">
        <f>COUNTIFS('Faculty Members_List'!BL$2:BL$258,$A115,'Faculty Members_List'!$M$2:$M$258,1)</f>
        <v>2</v>
      </c>
      <c r="G131" s="2">
        <f>COUNTIFS('Faculty Members_List'!BM$2:BM$258,$A115,'Faculty Members_List'!$M$2:$M$258,1)</f>
        <v>2</v>
      </c>
      <c r="H131" s="2">
        <f>COUNTIFS('Faculty Members_List'!BN$2:BN$258,$A115,'Faculty Members_List'!$M$2:$M$258,1)</f>
        <v>2</v>
      </c>
      <c r="I131" s="2">
        <f>COUNTIFS('Faculty Members_List'!BO$2:BO$258,$A115,'Faculty Members_List'!$M$2:$M$258,1)</f>
        <v>2</v>
      </c>
      <c r="J131" s="2">
        <f>COUNTIFS('Faculty Members_List'!BP$2:BP$258,$A115,'Faculty Members_List'!$M$2:$M$258,1)</f>
        <v>0</v>
      </c>
      <c r="K131" s="2">
        <f>COUNTIFS('Faculty Members_List'!BQ$2:BQ$258,$A115,'Faculty Members_List'!$M$2:$M$258,1)</f>
        <v>0</v>
      </c>
      <c r="L131" s="2">
        <f>COUNTIFS('Faculty Members_List'!BR$2:BR$258,$A115,'Faculty Members_List'!$M$2:$M$258,1)</f>
        <v>0</v>
      </c>
      <c r="M131" s="2">
        <f>COUNTIFS('Faculty Members_List'!BS$2:BS$258,$A115,'Faculty Members_List'!$M$2:$M$258,1)</f>
        <v>0</v>
      </c>
      <c r="N131" s="2">
        <f>COUNTIFS('Faculty Members_List'!BT$2:BT$258,$A115,'Faculty Members_List'!$M$2:$M$258,1)</f>
        <v>0</v>
      </c>
      <c r="O131" s="2">
        <f>COUNTIFS('Faculty Members_List'!BU$2:BU$258,$A115,'Faculty Members_List'!$M$2:$M$258,1)</f>
        <v>0</v>
      </c>
      <c r="P131" s="2">
        <f>COUNTIFS('Faculty Members_List'!BV$2:BV$258,$A115,'Faculty Members_List'!$M$2:$M$258,1)</f>
        <v>0</v>
      </c>
      <c r="Q131" s="2">
        <f>COUNTIFS('Faculty Members_List'!BW$2:BW$258,$A115,'Faculty Members_List'!$M$2:$M$258,1)</f>
        <v>0</v>
      </c>
    </row>
    <row r="132" spans="1:17" x14ac:dyDescent="0.25">
      <c r="A132" s="5" t="s">
        <v>132</v>
      </c>
      <c r="B132" s="2">
        <f>COUNTIFS('Faculty Members_List'!BH$2:BH$258,$A116,'Faculty Members_List'!$M$2:$M$258,1)</f>
        <v>1</v>
      </c>
      <c r="C132" s="2">
        <f>COUNTIFS('Faculty Members_List'!BI$2:BI$258,$A116,'Faculty Members_List'!$M$2:$M$258,1)</f>
        <v>1</v>
      </c>
      <c r="D132" s="2">
        <f>COUNTIFS('Faculty Members_List'!BJ$2:BJ$258,$A116,'Faculty Members_List'!$M$2:$M$258,1)</f>
        <v>1</v>
      </c>
      <c r="E132" s="2">
        <f>COUNTIFS('Faculty Members_List'!BK$2:BK$258,$A116,'Faculty Members_List'!$M$2:$M$258,1)</f>
        <v>1</v>
      </c>
      <c r="F132" s="2">
        <f>COUNTIFS('Faculty Members_List'!BL$2:BL$258,$A116,'Faculty Members_List'!$M$2:$M$258,1)</f>
        <v>1</v>
      </c>
      <c r="G132" s="2">
        <f>COUNTIFS('Faculty Members_List'!BM$2:BM$258,$A116,'Faculty Members_List'!$M$2:$M$258,1)</f>
        <v>1</v>
      </c>
      <c r="H132" s="2">
        <f>COUNTIFS('Faculty Members_List'!BN$2:BN$258,$A116,'Faculty Members_List'!$M$2:$M$258,1)</f>
        <v>1</v>
      </c>
      <c r="I132" s="2">
        <f>COUNTIFS('Faculty Members_List'!BO$2:BO$258,$A116,'Faculty Members_List'!$M$2:$M$258,1)</f>
        <v>1</v>
      </c>
      <c r="J132" s="2">
        <f>COUNTIFS('Faculty Members_List'!BP$2:BP$258,$A116,'Faculty Members_List'!$M$2:$M$258,1)</f>
        <v>1</v>
      </c>
      <c r="K132" s="2">
        <f>COUNTIFS('Faculty Members_List'!BQ$2:BQ$258,$A116,'Faculty Members_List'!$M$2:$M$258,1)</f>
        <v>1</v>
      </c>
      <c r="L132" s="2">
        <f>COUNTIFS('Faculty Members_List'!BR$2:BR$258,$A116,'Faculty Members_List'!$M$2:$M$258,1)</f>
        <v>1</v>
      </c>
      <c r="M132" s="2">
        <f>COUNTIFS('Faculty Members_List'!BS$2:BS$258,$A116,'Faculty Members_List'!$M$2:$M$258,1)</f>
        <v>1</v>
      </c>
      <c r="N132" s="2">
        <f>COUNTIFS('Faculty Members_List'!BT$2:BT$258,$A116,'Faculty Members_List'!$M$2:$M$258,1)</f>
        <v>1</v>
      </c>
      <c r="O132" s="2">
        <f>COUNTIFS('Faculty Members_List'!BU$2:BU$258,$A116,'Faculty Members_List'!$M$2:$M$258,1)</f>
        <v>1</v>
      </c>
      <c r="P132" s="2">
        <f>COUNTIFS('Faculty Members_List'!BV$2:BV$258,$A116,'Faculty Members_List'!$M$2:$M$258,1)</f>
        <v>1</v>
      </c>
      <c r="Q132" s="2">
        <f>COUNTIFS('Faculty Members_List'!BW$2:BW$258,$A116,'Faculty Members_List'!$M$2:$M$258,1)</f>
        <v>1</v>
      </c>
    </row>
    <row r="133" spans="1:17" x14ac:dyDescent="0.25">
      <c r="A133" s="5" t="s">
        <v>129</v>
      </c>
      <c r="B133" s="2">
        <f>COUNTIFS('Faculty Members_List'!BH$2:BH$258,$A117,'Faculty Members_List'!$M$2:$M$258,1)</f>
        <v>6</v>
      </c>
      <c r="C133" s="2">
        <f>COUNTIFS('Faculty Members_List'!BI$2:BI$258,$A117,'Faculty Members_List'!$M$2:$M$258,1)</f>
        <v>7</v>
      </c>
      <c r="D133" s="2">
        <f>COUNTIFS('Faculty Members_List'!BJ$2:BJ$258,$A117,'Faculty Members_List'!$M$2:$M$258,1)</f>
        <v>7</v>
      </c>
      <c r="E133" s="2">
        <f>COUNTIFS('Faculty Members_List'!BK$2:BK$258,$A117,'Faculty Members_List'!$M$2:$M$258,1)</f>
        <v>7</v>
      </c>
      <c r="F133" s="2">
        <f>COUNTIFS('Faculty Members_List'!BL$2:BL$258,$A117,'Faculty Members_List'!$M$2:$M$258,1)</f>
        <v>6</v>
      </c>
      <c r="G133" s="2">
        <f>COUNTIFS('Faculty Members_List'!BM$2:BM$258,$A117,'Faculty Members_List'!$M$2:$M$258,1)</f>
        <v>6</v>
      </c>
      <c r="H133" s="2">
        <f>COUNTIFS('Faculty Members_List'!BN$2:BN$258,$A117,'Faculty Members_List'!$M$2:$M$258,1)</f>
        <v>6</v>
      </c>
      <c r="I133" s="2">
        <f>COUNTIFS('Faculty Members_List'!BO$2:BO$258,$A117,'Faculty Members_List'!$M$2:$M$258,1)</f>
        <v>6</v>
      </c>
      <c r="J133" s="2">
        <f>COUNTIFS('Faculty Members_List'!BP$2:BP$258,$A117,'Faculty Members_List'!$M$2:$M$258,1)</f>
        <v>6</v>
      </c>
      <c r="K133" s="2">
        <f>COUNTIFS('Faculty Members_List'!BQ$2:BQ$258,$A117,'Faculty Members_List'!$M$2:$M$258,1)</f>
        <v>6</v>
      </c>
      <c r="L133" s="2">
        <f>COUNTIFS('Faculty Members_List'!BR$2:BR$258,$A117,'Faculty Members_List'!$M$2:$M$258,1)</f>
        <v>6</v>
      </c>
      <c r="M133" s="2">
        <f>COUNTIFS('Faculty Members_List'!BS$2:BS$258,$A117,'Faculty Members_List'!$M$2:$M$258,1)</f>
        <v>4</v>
      </c>
      <c r="N133" s="2">
        <f>COUNTIFS('Faculty Members_List'!BT$2:BT$258,$A117,'Faculty Members_List'!$M$2:$M$258,1)</f>
        <v>4</v>
      </c>
      <c r="O133" s="2">
        <f>COUNTIFS('Faculty Members_List'!BU$2:BU$258,$A117,'Faculty Members_List'!$M$2:$M$258,1)</f>
        <v>4</v>
      </c>
      <c r="P133" s="2">
        <f>COUNTIFS('Faculty Members_List'!BV$2:BV$258,$A117,'Faculty Members_List'!$M$2:$M$258,1)</f>
        <v>4</v>
      </c>
      <c r="Q133" s="2">
        <f>COUNTIFS('Faculty Members_List'!BW$2:BW$258,$A117,'Faculty Members_List'!$M$2:$M$258,1)</f>
        <v>2</v>
      </c>
    </row>
    <row r="134" spans="1:17" x14ac:dyDescent="0.25">
      <c r="A134" s="5" t="s">
        <v>137</v>
      </c>
      <c r="B134" s="2">
        <f>COUNTIFS('Faculty Members_List'!BH$2:BH$258,$A118,'Faculty Members_List'!$M$2:$M$258,1)</f>
        <v>0</v>
      </c>
      <c r="C134" s="2">
        <f>COUNTIFS('Faculty Members_List'!BI$2:BI$258,$A118,'Faculty Members_List'!$M$2:$M$258,1)</f>
        <v>0</v>
      </c>
      <c r="D134" s="2">
        <f>COUNTIFS('Faculty Members_List'!BJ$2:BJ$258,$A118,'Faculty Members_List'!$M$2:$M$258,1)</f>
        <v>0</v>
      </c>
      <c r="E134" s="2">
        <f>COUNTIFS('Faculty Members_List'!BK$2:BK$258,$A118,'Faculty Members_List'!$M$2:$M$258,1)</f>
        <v>0</v>
      </c>
      <c r="F134" s="2">
        <f>COUNTIFS('Faculty Members_List'!BL$2:BL$258,$A118,'Faculty Members_List'!$M$2:$M$258,1)</f>
        <v>0</v>
      </c>
      <c r="G134" s="2">
        <f>COUNTIFS('Faculty Members_List'!BM$2:BM$258,$A118,'Faculty Members_List'!$M$2:$M$258,1)</f>
        <v>0</v>
      </c>
      <c r="H134" s="2">
        <f>COUNTIFS('Faculty Members_List'!BN$2:BN$258,$A118,'Faculty Members_List'!$M$2:$M$258,1)</f>
        <v>0</v>
      </c>
      <c r="I134" s="2">
        <f>COUNTIFS('Faculty Members_List'!BO$2:BO$258,$A118,'Faculty Members_List'!$M$2:$M$258,1)</f>
        <v>0</v>
      </c>
      <c r="J134" s="2">
        <f>COUNTIFS('Faculty Members_List'!BP$2:BP$258,$A118,'Faculty Members_List'!$M$2:$M$258,1)</f>
        <v>0</v>
      </c>
      <c r="K134" s="2">
        <f>COUNTIFS('Faculty Members_List'!BQ$2:BQ$258,$A118,'Faculty Members_List'!$M$2:$M$258,1)</f>
        <v>0</v>
      </c>
      <c r="L134" s="2">
        <f>COUNTIFS('Faculty Members_List'!BR$2:BR$258,$A118,'Faculty Members_List'!$M$2:$M$258,1)</f>
        <v>0</v>
      </c>
      <c r="M134" s="2">
        <f>COUNTIFS('Faculty Members_List'!BS$2:BS$258,$A118,'Faculty Members_List'!$M$2:$M$258,1)</f>
        <v>0</v>
      </c>
      <c r="N134" s="2">
        <f>COUNTIFS('Faculty Members_List'!BT$2:BT$258,$A118,'Faculty Members_List'!$M$2:$M$258,1)</f>
        <v>0</v>
      </c>
      <c r="O134" s="2">
        <f>COUNTIFS('Faculty Members_List'!BU$2:BU$258,$A118,'Faculty Members_List'!$M$2:$M$258,1)</f>
        <v>0</v>
      </c>
      <c r="P134" s="2">
        <f>COUNTIFS('Faculty Members_List'!BV$2:BV$258,$A118,'Faculty Members_List'!$M$2:$M$258,1)</f>
        <v>0</v>
      </c>
      <c r="Q134" s="2">
        <f>COUNTIFS('Faculty Members_List'!BW$2:BW$258,$A118,'Faculty Members_List'!$M$2:$M$258,1)</f>
        <v>0</v>
      </c>
    </row>
    <row r="135" spans="1:17" ht="13" x14ac:dyDescent="0.3">
      <c r="F135" s="12"/>
      <c r="G135" s="12"/>
      <c r="H135" s="12"/>
      <c r="I135" s="12"/>
      <c r="J135" s="12"/>
      <c r="K135" s="12"/>
      <c r="L135" s="12"/>
    </row>
    <row r="136" spans="1:17" ht="13" x14ac:dyDescent="0.3">
      <c r="A136" s="6" t="s">
        <v>154</v>
      </c>
      <c r="B136" s="3">
        <f t="shared" ref="B136:Q136" si="23">SUM(B127:B134)</f>
        <v>35</v>
      </c>
      <c r="C136" s="3">
        <f t="shared" si="23"/>
        <v>36</v>
      </c>
      <c r="D136" s="3">
        <f t="shared" si="23"/>
        <v>37</v>
      </c>
      <c r="E136" s="3">
        <f t="shared" si="23"/>
        <v>37</v>
      </c>
      <c r="F136" s="3">
        <f t="shared" si="23"/>
        <v>35</v>
      </c>
      <c r="G136" s="3">
        <f t="shared" si="23"/>
        <v>33</v>
      </c>
      <c r="H136" s="3">
        <f t="shared" si="23"/>
        <v>33</v>
      </c>
      <c r="I136" s="3">
        <f t="shared" si="23"/>
        <v>32</v>
      </c>
      <c r="J136" s="3">
        <f t="shared" si="23"/>
        <v>29</v>
      </c>
      <c r="K136" s="3">
        <f t="shared" si="23"/>
        <v>29</v>
      </c>
      <c r="L136" s="3">
        <f t="shared" si="23"/>
        <v>29</v>
      </c>
      <c r="M136" s="3">
        <f t="shared" si="23"/>
        <v>27</v>
      </c>
      <c r="N136" s="3">
        <f t="shared" si="23"/>
        <v>26</v>
      </c>
      <c r="O136" s="3">
        <f t="shared" si="23"/>
        <v>25</v>
      </c>
      <c r="P136" s="3">
        <f t="shared" si="23"/>
        <v>24</v>
      </c>
      <c r="Q136" s="3">
        <f t="shared" si="23"/>
        <v>22</v>
      </c>
    </row>
    <row r="137" spans="1:17" x14ac:dyDescent="0.25">
      <c r="A137" t="s">
        <v>179</v>
      </c>
      <c r="B137">
        <f t="shared" ref="B137:Q137" si="24">SUM(B127:B129)</f>
        <v>23</v>
      </c>
      <c r="C137">
        <f t="shared" si="24"/>
        <v>24</v>
      </c>
      <c r="D137">
        <f t="shared" si="24"/>
        <v>26</v>
      </c>
      <c r="E137">
        <f t="shared" si="24"/>
        <v>26</v>
      </c>
      <c r="F137">
        <f t="shared" si="24"/>
        <v>26</v>
      </c>
      <c r="G137">
        <f t="shared" si="24"/>
        <v>24</v>
      </c>
      <c r="H137">
        <f t="shared" si="24"/>
        <v>24</v>
      </c>
      <c r="I137">
        <f t="shared" si="24"/>
        <v>23</v>
      </c>
      <c r="J137">
        <f t="shared" si="24"/>
        <v>22</v>
      </c>
      <c r="K137">
        <f t="shared" si="24"/>
        <v>22</v>
      </c>
      <c r="L137">
        <f t="shared" si="24"/>
        <v>22</v>
      </c>
      <c r="M137">
        <f t="shared" si="24"/>
        <v>22</v>
      </c>
      <c r="N137">
        <f t="shared" si="24"/>
        <v>21</v>
      </c>
      <c r="O137">
        <f t="shared" si="24"/>
        <v>20</v>
      </c>
      <c r="P137">
        <f t="shared" si="24"/>
        <v>19</v>
      </c>
      <c r="Q137">
        <f t="shared" si="24"/>
        <v>19</v>
      </c>
    </row>
    <row r="138" spans="1:17" ht="13" x14ac:dyDescent="0.3">
      <c r="F138" s="12"/>
      <c r="G138" s="12"/>
      <c r="H138" s="12"/>
      <c r="I138" s="12"/>
      <c r="J138" s="12"/>
      <c r="K138" s="12"/>
      <c r="L138" s="12"/>
    </row>
    <row r="139" spans="1:17" ht="13" x14ac:dyDescent="0.3">
      <c r="F139" s="12"/>
      <c r="G139" s="12"/>
      <c r="H139" s="12"/>
      <c r="I139" s="12"/>
      <c r="J139" s="12"/>
      <c r="K139" s="12"/>
      <c r="L139" s="12"/>
    </row>
    <row r="140" spans="1:17" ht="13" x14ac:dyDescent="0.3">
      <c r="F140" s="12"/>
      <c r="G140" s="12"/>
      <c r="H140" s="12"/>
      <c r="I140" s="12"/>
      <c r="J140" s="12"/>
      <c r="K140" s="12"/>
      <c r="L140" s="12"/>
    </row>
    <row r="141" spans="1:17" ht="13" x14ac:dyDescent="0.3">
      <c r="A141" t="s">
        <v>201</v>
      </c>
      <c r="B141" t="s">
        <v>225</v>
      </c>
      <c r="F141" s="12"/>
      <c r="G141" s="12"/>
      <c r="H141" s="12"/>
      <c r="I141" s="12"/>
      <c r="J141" s="12"/>
      <c r="K141" s="12"/>
      <c r="L141" s="12"/>
    </row>
    <row r="142" spans="1:17" ht="13" x14ac:dyDescent="0.3">
      <c r="F142" s="12"/>
      <c r="G142" s="12"/>
      <c r="H142" s="12"/>
      <c r="I142" s="12"/>
      <c r="J142" s="12"/>
      <c r="K142" s="12"/>
      <c r="L142" s="12"/>
    </row>
    <row r="143" spans="1:17" ht="13" x14ac:dyDescent="0.3">
      <c r="B143" s="3">
        <v>2015</v>
      </c>
      <c r="C143" s="3">
        <v>2016</v>
      </c>
      <c r="D143" s="3">
        <v>2017</v>
      </c>
      <c r="E143" s="3">
        <v>2018</v>
      </c>
      <c r="F143" s="3">
        <v>2019</v>
      </c>
      <c r="G143" s="3">
        <v>2020</v>
      </c>
      <c r="H143" s="3">
        <v>2021</v>
      </c>
      <c r="I143" s="3">
        <v>2022</v>
      </c>
      <c r="J143" s="3">
        <v>2023</v>
      </c>
      <c r="K143" s="3">
        <v>2024</v>
      </c>
      <c r="L143" s="3">
        <v>2025</v>
      </c>
      <c r="M143" s="3">
        <v>2026</v>
      </c>
      <c r="N143" s="3">
        <v>2027</v>
      </c>
      <c r="O143" s="3">
        <v>2028</v>
      </c>
      <c r="P143" s="3">
        <v>2029</v>
      </c>
      <c r="Q143" s="3">
        <v>2030</v>
      </c>
    </row>
    <row r="144" spans="1:17" x14ac:dyDescent="0.25">
      <c r="A144" s="4" t="s">
        <v>133</v>
      </c>
      <c r="B144" s="2">
        <f>COUNTIFS('Faculty Members_List'!BH$2:BH$258,$A128,'Faculty Members_List'!$N$2:$N$258,1)</f>
        <v>10</v>
      </c>
      <c r="C144" s="2">
        <f>COUNTIFS('Faculty Members_List'!BI$2:BI$258,$A128,'Faculty Members_List'!$N$2:$N$258,1)</f>
        <v>10</v>
      </c>
      <c r="D144" s="2">
        <f>COUNTIFS('Faculty Members_List'!BJ$2:BJ$258,$A128,'Faculty Members_List'!$N$2:$N$258,1)</f>
        <v>10</v>
      </c>
      <c r="E144" s="2">
        <f>COUNTIFS('Faculty Members_List'!BK$2:BK$258,$A128,'Faculty Members_List'!$N$2:$N$258,1)</f>
        <v>10</v>
      </c>
      <c r="F144" s="2">
        <f>COUNTIFS('Faculty Members_List'!BL$2:BL$258,$A128,'Faculty Members_List'!$N$2:$N$258,1)</f>
        <v>8</v>
      </c>
      <c r="G144" s="2">
        <f>COUNTIFS('Faculty Members_List'!BM$2:BM$258,$A128,'Faculty Members_List'!$N$2:$N$258,1)</f>
        <v>6</v>
      </c>
      <c r="H144" s="2">
        <f>COUNTIFS('Faculty Members_List'!BN$2:BN$258,$A128,'Faculty Members_List'!$N$2:$N$258,1)</f>
        <v>6</v>
      </c>
      <c r="I144" s="2">
        <f>COUNTIFS('Faculty Members_List'!BO$2:BO$258,$A128,'Faculty Members_List'!$N$2:$N$258,1)</f>
        <v>4</v>
      </c>
      <c r="J144" s="2">
        <f>COUNTIFS('Faculty Members_List'!BP$2:BP$258,$A128,'Faculty Members_List'!$N$2:$N$258,1)</f>
        <v>5</v>
      </c>
      <c r="K144" s="2">
        <f>COUNTIFS('Faculty Members_List'!BQ$2:BQ$258,$A128,'Faculty Members_List'!$N$2:$N$258,1)</f>
        <v>4</v>
      </c>
      <c r="L144" s="2">
        <f>COUNTIFS('Faculty Members_List'!BR$2:BR$258,$A128,'Faculty Members_List'!$N$2:$N$258,1)</f>
        <v>3</v>
      </c>
      <c r="M144" s="2">
        <f>COUNTIFS('Faculty Members_List'!BS$2:BS$258,$A128,'Faculty Members_List'!$N$2:$N$258,1)</f>
        <v>3</v>
      </c>
      <c r="N144" s="2">
        <f>COUNTIFS('Faculty Members_List'!BT$2:BT$258,$A128,'Faculty Members_List'!$N$2:$N$258,1)</f>
        <v>3</v>
      </c>
      <c r="O144" s="2">
        <f>COUNTIFS('Faculty Members_List'!BU$2:BU$258,$A128,'Faculty Members_List'!$N$2:$N$258,1)</f>
        <v>1</v>
      </c>
      <c r="P144" s="2">
        <f>COUNTIFS('Faculty Members_List'!BV$2:BV$258,$A128,'Faculty Members_List'!$N$2:$N$258,1)</f>
        <v>1</v>
      </c>
      <c r="Q144" s="2">
        <f>COUNTIFS('Faculty Members_List'!BW$2:BW$258,$A128,'Faculty Members_List'!$N$2:$N$258,1)</f>
        <v>0</v>
      </c>
    </row>
    <row r="145" spans="1:17" x14ac:dyDescent="0.25">
      <c r="A145" s="4" t="s">
        <v>134</v>
      </c>
      <c r="B145" s="2">
        <f>COUNTIFS('Faculty Members_List'!BH$2:BH$258,$A129,'Faculty Members_List'!$N$2:$N$258,1)</f>
        <v>4</v>
      </c>
      <c r="C145" s="2">
        <f>COUNTIFS('Faculty Members_List'!BI$2:BI$258,$A129,'Faculty Members_List'!$N$2:$N$258,1)</f>
        <v>5</v>
      </c>
      <c r="D145" s="2">
        <f>COUNTIFS('Faculty Members_List'!BJ$2:BJ$258,$A129,'Faculty Members_List'!$N$2:$N$258,1)</f>
        <v>6</v>
      </c>
      <c r="E145" s="2">
        <f>COUNTIFS('Faculty Members_List'!BK$2:BK$258,$A129,'Faculty Members_List'!$N$2:$N$258,1)</f>
        <v>7</v>
      </c>
      <c r="F145" s="2">
        <f>COUNTIFS('Faculty Members_List'!BL$2:BL$258,$A129,'Faculty Members_List'!$N$2:$N$258,1)</f>
        <v>8</v>
      </c>
      <c r="G145" s="2">
        <f>COUNTIFS('Faculty Members_List'!BM$2:BM$258,$A129,'Faculty Members_List'!$N$2:$N$258,1)</f>
        <v>10</v>
      </c>
      <c r="H145" s="2">
        <f>COUNTIFS('Faculty Members_List'!BN$2:BN$258,$A129,'Faculty Members_List'!$N$2:$N$258,1)</f>
        <v>11</v>
      </c>
      <c r="I145" s="2">
        <f>COUNTIFS('Faculty Members_List'!BO$2:BO$258,$A129,'Faculty Members_List'!$N$2:$N$258,1)</f>
        <v>14</v>
      </c>
      <c r="J145" s="2">
        <f>COUNTIFS('Faculty Members_List'!BP$2:BP$258,$A129,'Faculty Members_List'!$N$2:$N$258,1)</f>
        <v>12</v>
      </c>
      <c r="K145" s="2">
        <f>COUNTIFS('Faculty Members_List'!BQ$2:BQ$258,$A129,'Faculty Members_List'!$N$2:$N$258,1)</f>
        <v>13</v>
      </c>
      <c r="L145" s="2">
        <f>COUNTIFS('Faculty Members_List'!BR$2:BR$258,$A129,'Faculty Members_List'!$N$2:$N$258,1)</f>
        <v>14</v>
      </c>
      <c r="M145" s="2">
        <f>COUNTIFS('Faculty Members_List'!BS$2:BS$258,$A129,'Faculty Members_List'!$N$2:$N$258,1)</f>
        <v>14</v>
      </c>
      <c r="N145" s="2">
        <f>COUNTIFS('Faculty Members_List'!BT$2:BT$258,$A129,'Faculty Members_List'!$N$2:$N$258,1)</f>
        <v>13</v>
      </c>
      <c r="O145" s="2">
        <f>COUNTIFS('Faculty Members_List'!BU$2:BU$258,$A129,'Faculty Members_List'!$N$2:$N$258,1)</f>
        <v>15</v>
      </c>
      <c r="P145" s="2">
        <f>COUNTIFS('Faculty Members_List'!BV$2:BV$258,$A129,'Faculty Members_List'!$N$2:$N$258,1)</f>
        <v>15</v>
      </c>
      <c r="Q145" s="2">
        <f>COUNTIFS('Faculty Members_List'!BW$2:BW$258,$A129,'Faculty Members_List'!$N$2:$N$258,1)</f>
        <v>16</v>
      </c>
    </row>
    <row r="146" spans="1:17" x14ac:dyDescent="0.25">
      <c r="A146" s="4" t="s">
        <v>135</v>
      </c>
      <c r="B146" s="2">
        <f>COUNTIFS('Faculty Members_List'!BH$2:BH$258,$A130,'Faculty Members_List'!$N$2:$N$258,1)</f>
        <v>0</v>
      </c>
      <c r="C146" s="2">
        <f>COUNTIFS('Faculty Members_List'!BI$2:BI$258,$A130,'Faculty Members_List'!$N$2:$N$258,1)</f>
        <v>0</v>
      </c>
      <c r="D146" s="2">
        <f>COUNTIFS('Faculty Members_List'!BJ$2:BJ$258,$A130,'Faculty Members_List'!$N$2:$N$258,1)</f>
        <v>0</v>
      </c>
      <c r="E146" s="2">
        <f>COUNTIFS('Faculty Members_List'!BK$2:BK$258,$A130,'Faculty Members_List'!$N$2:$N$258,1)</f>
        <v>0</v>
      </c>
      <c r="F146" s="2">
        <f>COUNTIFS('Faculty Members_List'!BL$2:BL$258,$A130,'Faculty Members_List'!$N$2:$N$258,1)</f>
        <v>0</v>
      </c>
      <c r="G146" s="2">
        <f>COUNTIFS('Faculty Members_List'!BM$2:BM$258,$A130,'Faculty Members_List'!$N$2:$N$258,1)</f>
        <v>0</v>
      </c>
      <c r="H146" s="2">
        <f>COUNTIFS('Faculty Members_List'!BN$2:BN$258,$A130,'Faculty Members_List'!$N$2:$N$258,1)</f>
        <v>0</v>
      </c>
      <c r="I146" s="2">
        <f>COUNTIFS('Faculty Members_List'!BO$2:BO$258,$A130,'Faculty Members_List'!$N$2:$N$258,1)</f>
        <v>0</v>
      </c>
      <c r="J146" s="2">
        <f>COUNTIFS('Faculty Members_List'!BP$2:BP$258,$A130,'Faculty Members_List'!$N$2:$N$258,1)</f>
        <v>0</v>
      </c>
      <c r="K146" s="2">
        <f>COUNTIFS('Faculty Members_List'!BQ$2:BQ$258,$A130,'Faculty Members_List'!$N$2:$N$258,1)</f>
        <v>0</v>
      </c>
      <c r="L146" s="2">
        <f>COUNTIFS('Faculty Members_List'!BR$2:BR$258,$A130,'Faculty Members_List'!$N$2:$N$258,1)</f>
        <v>0</v>
      </c>
      <c r="M146" s="2">
        <f>COUNTIFS('Faculty Members_List'!BS$2:BS$258,$A130,'Faculty Members_List'!$N$2:$N$258,1)</f>
        <v>0</v>
      </c>
      <c r="N146" s="2">
        <f>COUNTIFS('Faculty Members_List'!BT$2:BT$258,$A130,'Faculty Members_List'!$N$2:$N$258,1)</f>
        <v>0</v>
      </c>
      <c r="O146" s="2">
        <f>COUNTIFS('Faculty Members_List'!BU$2:BU$258,$A130,'Faculty Members_List'!$N$2:$N$258,1)</f>
        <v>0</v>
      </c>
      <c r="P146" s="2">
        <f>COUNTIFS('Faculty Members_List'!BV$2:BV$258,$A130,'Faculty Members_List'!$N$2:$N$258,1)</f>
        <v>0</v>
      </c>
      <c r="Q146" s="2">
        <f>COUNTIFS('Faculty Members_List'!BW$2:BW$258,$A130,'Faculty Members_List'!$N$2:$N$258,1)</f>
        <v>0</v>
      </c>
    </row>
    <row r="147" spans="1:17" x14ac:dyDescent="0.25">
      <c r="A147" s="5" t="s">
        <v>130</v>
      </c>
      <c r="B147" s="2">
        <f>COUNTIFS('Faculty Members_List'!BH$2:BH$258,$A131,'Faculty Members_List'!$N$2:$N$258,1)</f>
        <v>1</v>
      </c>
      <c r="C147" s="2">
        <f>COUNTIFS('Faculty Members_List'!BI$2:BI$258,$A131,'Faculty Members_List'!$N$2:$N$258,1)</f>
        <v>1</v>
      </c>
      <c r="D147" s="2">
        <f>COUNTIFS('Faculty Members_List'!BJ$2:BJ$258,$A131,'Faculty Members_List'!$N$2:$N$258,1)</f>
        <v>1</v>
      </c>
      <c r="E147" s="2">
        <f>COUNTIFS('Faculty Members_List'!BK$2:BK$258,$A131,'Faculty Members_List'!$N$2:$N$258,1)</f>
        <v>1</v>
      </c>
      <c r="F147" s="2">
        <f>COUNTIFS('Faculty Members_List'!BL$2:BL$258,$A131,'Faculty Members_List'!$N$2:$N$258,1)</f>
        <v>1</v>
      </c>
      <c r="G147" s="2">
        <f>COUNTIFS('Faculty Members_List'!BM$2:BM$258,$A131,'Faculty Members_List'!$N$2:$N$258,1)</f>
        <v>1</v>
      </c>
      <c r="H147" s="2">
        <f>COUNTIFS('Faculty Members_List'!BN$2:BN$258,$A131,'Faculty Members_List'!$N$2:$N$258,1)</f>
        <v>1</v>
      </c>
      <c r="I147" s="2">
        <f>COUNTIFS('Faculty Members_List'!BO$2:BO$258,$A131,'Faculty Members_List'!$N$2:$N$258,1)</f>
        <v>1</v>
      </c>
      <c r="J147" s="2">
        <f>COUNTIFS('Faculty Members_List'!BP$2:BP$258,$A131,'Faculty Members_List'!$N$2:$N$258,1)</f>
        <v>1</v>
      </c>
      <c r="K147" s="2">
        <f>COUNTIFS('Faculty Members_List'!BQ$2:BQ$258,$A131,'Faculty Members_List'!$N$2:$N$258,1)</f>
        <v>0</v>
      </c>
      <c r="L147" s="2">
        <f>COUNTIFS('Faculty Members_List'!BR$2:BR$258,$A131,'Faculty Members_List'!$N$2:$N$258,1)</f>
        <v>0</v>
      </c>
      <c r="M147" s="2">
        <f>COUNTIFS('Faculty Members_List'!BS$2:BS$258,$A131,'Faculty Members_List'!$N$2:$N$258,1)</f>
        <v>0</v>
      </c>
      <c r="N147" s="2">
        <f>COUNTIFS('Faculty Members_List'!BT$2:BT$258,$A131,'Faculty Members_List'!$N$2:$N$258,1)</f>
        <v>0</v>
      </c>
      <c r="O147" s="2">
        <f>COUNTIFS('Faculty Members_List'!BU$2:BU$258,$A131,'Faculty Members_List'!$N$2:$N$258,1)</f>
        <v>0</v>
      </c>
      <c r="P147" s="2">
        <f>COUNTIFS('Faculty Members_List'!BV$2:BV$258,$A131,'Faculty Members_List'!$N$2:$N$258,1)</f>
        <v>0</v>
      </c>
      <c r="Q147" s="2">
        <f>COUNTIFS('Faculty Members_List'!BW$2:BW$258,$A131,'Faculty Members_List'!$N$2:$N$258,1)</f>
        <v>0</v>
      </c>
    </row>
    <row r="148" spans="1:17" x14ac:dyDescent="0.25">
      <c r="A148" s="5" t="s">
        <v>131</v>
      </c>
      <c r="B148" s="2">
        <f>COUNTIFS('Faculty Members_List'!BH$2:BH$258,$A132,'Faculty Members_List'!$N$2:$N$258,1)</f>
        <v>1</v>
      </c>
      <c r="C148" s="2">
        <f>COUNTIFS('Faculty Members_List'!BI$2:BI$258,$A132,'Faculty Members_List'!$N$2:$N$258,1)</f>
        <v>1</v>
      </c>
      <c r="D148" s="2">
        <f>COUNTIFS('Faculty Members_List'!BJ$2:BJ$258,$A132,'Faculty Members_List'!$N$2:$N$258,1)</f>
        <v>1</v>
      </c>
      <c r="E148" s="2">
        <f>COUNTIFS('Faculty Members_List'!BK$2:BK$258,$A132,'Faculty Members_List'!$N$2:$N$258,1)</f>
        <v>1</v>
      </c>
      <c r="F148" s="2">
        <f>COUNTIFS('Faculty Members_List'!BL$2:BL$258,$A132,'Faculty Members_List'!$N$2:$N$258,1)</f>
        <v>1</v>
      </c>
      <c r="G148" s="2">
        <f>COUNTIFS('Faculty Members_List'!BM$2:BM$258,$A132,'Faculty Members_List'!$N$2:$N$258,1)</f>
        <v>1</v>
      </c>
      <c r="H148" s="2">
        <f>COUNTIFS('Faculty Members_List'!BN$2:BN$258,$A132,'Faculty Members_List'!$N$2:$N$258,1)</f>
        <v>1</v>
      </c>
      <c r="I148" s="2">
        <f>COUNTIFS('Faculty Members_List'!BO$2:BO$258,$A132,'Faculty Members_List'!$N$2:$N$258,1)</f>
        <v>1</v>
      </c>
      <c r="J148" s="2">
        <f>COUNTIFS('Faculty Members_List'!BP$2:BP$258,$A132,'Faculty Members_List'!$N$2:$N$258,1)</f>
        <v>1</v>
      </c>
      <c r="K148" s="2">
        <f>COUNTIFS('Faculty Members_List'!BQ$2:BQ$258,$A132,'Faculty Members_List'!$N$2:$N$258,1)</f>
        <v>1</v>
      </c>
      <c r="L148" s="2">
        <f>COUNTIFS('Faculty Members_List'!BR$2:BR$258,$A132,'Faculty Members_List'!$N$2:$N$258,1)</f>
        <v>1</v>
      </c>
      <c r="M148" s="2">
        <f>COUNTIFS('Faculty Members_List'!BS$2:BS$258,$A132,'Faculty Members_List'!$N$2:$N$258,1)</f>
        <v>1</v>
      </c>
      <c r="N148" s="2">
        <f>COUNTIFS('Faculty Members_List'!BT$2:BT$258,$A132,'Faculty Members_List'!$N$2:$N$258,1)</f>
        <v>1</v>
      </c>
      <c r="O148" s="2">
        <f>COUNTIFS('Faculty Members_List'!BU$2:BU$258,$A132,'Faculty Members_List'!$N$2:$N$258,1)</f>
        <v>1</v>
      </c>
      <c r="P148" s="2">
        <f>COUNTIFS('Faculty Members_List'!BV$2:BV$258,$A132,'Faculty Members_List'!$N$2:$N$258,1)</f>
        <v>1</v>
      </c>
      <c r="Q148" s="2">
        <f>COUNTIFS('Faculty Members_List'!BW$2:BW$258,$A132,'Faculty Members_List'!$N$2:$N$258,1)</f>
        <v>1</v>
      </c>
    </row>
    <row r="149" spans="1:17" x14ac:dyDescent="0.25">
      <c r="A149" s="5" t="s">
        <v>132</v>
      </c>
      <c r="B149" s="2">
        <f>COUNTIFS('Faculty Members_List'!BH$2:BH$258,$A133,'Faculty Members_List'!$N$2:$N$258,1)</f>
        <v>0</v>
      </c>
      <c r="C149" s="2">
        <f>COUNTIFS('Faculty Members_List'!BI$2:BI$258,$A133,'Faculty Members_List'!$N$2:$N$258,1)</f>
        <v>0</v>
      </c>
      <c r="D149" s="2">
        <f>COUNTIFS('Faculty Members_List'!BJ$2:BJ$258,$A133,'Faculty Members_List'!$N$2:$N$258,1)</f>
        <v>0</v>
      </c>
      <c r="E149" s="2">
        <f>COUNTIFS('Faculty Members_List'!BK$2:BK$258,$A133,'Faculty Members_List'!$N$2:$N$258,1)</f>
        <v>0</v>
      </c>
      <c r="F149" s="2">
        <f>COUNTIFS('Faculty Members_List'!BL$2:BL$258,$A133,'Faculty Members_List'!$N$2:$N$258,1)</f>
        <v>0</v>
      </c>
      <c r="G149" s="2">
        <f>COUNTIFS('Faculty Members_List'!BM$2:BM$258,$A133,'Faculty Members_List'!$N$2:$N$258,1)</f>
        <v>0</v>
      </c>
      <c r="H149" s="2">
        <f>COUNTIFS('Faculty Members_List'!BN$2:BN$258,$A133,'Faculty Members_List'!$N$2:$N$258,1)</f>
        <v>0</v>
      </c>
      <c r="I149" s="2">
        <f>COUNTIFS('Faculty Members_List'!BO$2:BO$258,$A133,'Faculty Members_List'!$N$2:$N$258,1)</f>
        <v>0</v>
      </c>
      <c r="J149" s="2">
        <f>COUNTIFS('Faculty Members_List'!BP$2:BP$258,$A133,'Faculty Members_List'!$N$2:$N$258,1)</f>
        <v>0</v>
      </c>
      <c r="K149" s="2">
        <f>COUNTIFS('Faculty Members_List'!BQ$2:BQ$258,$A133,'Faculty Members_List'!$N$2:$N$258,1)</f>
        <v>0</v>
      </c>
      <c r="L149" s="2">
        <f>COUNTIFS('Faculty Members_List'!BR$2:BR$258,$A133,'Faculty Members_List'!$N$2:$N$258,1)</f>
        <v>0</v>
      </c>
      <c r="M149" s="2">
        <f>COUNTIFS('Faculty Members_List'!BS$2:BS$258,$A133,'Faculty Members_List'!$N$2:$N$258,1)</f>
        <v>0</v>
      </c>
      <c r="N149" s="2">
        <f>COUNTIFS('Faculty Members_List'!BT$2:BT$258,$A133,'Faculty Members_List'!$N$2:$N$258,1)</f>
        <v>0</v>
      </c>
      <c r="O149" s="2">
        <f>COUNTIFS('Faculty Members_List'!BU$2:BU$258,$A133,'Faculty Members_List'!$N$2:$N$258,1)</f>
        <v>0</v>
      </c>
      <c r="P149" s="2">
        <f>COUNTIFS('Faculty Members_List'!BV$2:BV$258,$A133,'Faculty Members_List'!$N$2:$N$258,1)</f>
        <v>0</v>
      </c>
      <c r="Q149" s="2">
        <f>COUNTIFS('Faculty Members_List'!BW$2:BW$258,$A133,'Faculty Members_List'!$N$2:$N$258,1)</f>
        <v>0</v>
      </c>
    </row>
    <row r="150" spans="1:17" x14ac:dyDescent="0.25">
      <c r="A150" s="5" t="s">
        <v>129</v>
      </c>
      <c r="B150" s="2">
        <f>COUNTIFS('Faculty Members_List'!BH$2:BH$258,$A134,'Faculty Members_List'!$N$2:$N$258,1)</f>
        <v>0</v>
      </c>
      <c r="C150" s="2">
        <f>COUNTIFS('Faculty Members_List'!BI$2:BI$258,$A134,'Faculty Members_List'!$N$2:$N$258,1)</f>
        <v>0</v>
      </c>
      <c r="D150" s="2">
        <f>COUNTIFS('Faculty Members_List'!BJ$2:BJ$258,$A134,'Faculty Members_List'!$N$2:$N$258,1)</f>
        <v>0</v>
      </c>
      <c r="E150" s="2">
        <f>COUNTIFS('Faculty Members_List'!BK$2:BK$258,$A134,'Faculty Members_List'!$N$2:$N$258,1)</f>
        <v>0</v>
      </c>
      <c r="F150" s="2">
        <f>COUNTIFS('Faculty Members_List'!BL$2:BL$258,$A134,'Faculty Members_List'!$N$2:$N$258,1)</f>
        <v>0</v>
      </c>
      <c r="G150" s="2">
        <f>COUNTIFS('Faculty Members_List'!BM$2:BM$258,$A134,'Faculty Members_List'!$N$2:$N$258,1)</f>
        <v>0</v>
      </c>
      <c r="H150" s="2">
        <f>COUNTIFS('Faculty Members_List'!BN$2:BN$258,$A134,'Faculty Members_List'!$N$2:$N$258,1)</f>
        <v>0</v>
      </c>
      <c r="I150" s="2">
        <f>COUNTIFS('Faculty Members_List'!BO$2:BO$258,$A134,'Faculty Members_List'!$N$2:$N$258,1)</f>
        <v>0</v>
      </c>
      <c r="J150" s="2">
        <f>COUNTIFS('Faculty Members_List'!BP$2:BP$258,$A134,'Faculty Members_List'!$N$2:$N$258,1)</f>
        <v>0</v>
      </c>
      <c r="K150" s="2">
        <f>COUNTIFS('Faculty Members_List'!BQ$2:BQ$258,$A134,'Faculty Members_List'!$N$2:$N$258,1)</f>
        <v>0</v>
      </c>
      <c r="L150" s="2">
        <f>COUNTIFS('Faculty Members_List'!BR$2:BR$258,$A134,'Faculty Members_List'!$N$2:$N$258,1)</f>
        <v>0</v>
      </c>
      <c r="M150" s="2">
        <f>COUNTIFS('Faculty Members_List'!BS$2:BS$258,$A134,'Faculty Members_List'!$N$2:$N$258,1)</f>
        <v>0</v>
      </c>
      <c r="N150" s="2">
        <f>COUNTIFS('Faculty Members_List'!BT$2:BT$258,$A134,'Faculty Members_List'!$N$2:$N$258,1)</f>
        <v>0</v>
      </c>
      <c r="O150" s="2">
        <f>COUNTIFS('Faculty Members_List'!BU$2:BU$258,$A134,'Faculty Members_List'!$N$2:$N$258,1)</f>
        <v>0</v>
      </c>
      <c r="P150" s="2">
        <f>COUNTIFS('Faculty Members_List'!BV$2:BV$258,$A134,'Faculty Members_List'!$N$2:$N$258,1)</f>
        <v>0</v>
      </c>
      <c r="Q150" s="2">
        <f>COUNTIFS('Faculty Members_List'!BW$2:BW$258,$A134,'Faculty Members_List'!$N$2:$N$258,1)</f>
        <v>0</v>
      </c>
    </row>
    <row r="151" spans="1:17" x14ac:dyDescent="0.25">
      <c r="A151" s="5" t="s">
        <v>137</v>
      </c>
      <c r="B151" s="2">
        <f>COUNTIFS('Faculty Members_List'!BH$2:BH$258,$A135,'Faculty Members_List'!$N$2:$N$258,1)</f>
        <v>0</v>
      </c>
      <c r="C151" s="2">
        <f>COUNTIFS('Faculty Members_List'!BI$2:BI$258,$A135,'Faculty Members_List'!$N$2:$N$258,1)</f>
        <v>0</v>
      </c>
      <c r="D151" s="2">
        <f>COUNTIFS('Faculty Members_List'!BJ$2:BJ$258,$A135,'Faculty Members_List'!$N$2:$N$258,1)</f>
        <v>0</v>
      </c>
      <c r="E151" s="2">
        <f>COUNTIFS('Faculty Members_List'!BK$2:BK$258,$A135,'Faculty Members_List'!$N$2:$N$258,1)</f>
        <v>0</v>
      </c>
      <c r="F151" s="2">
        <f>COUNTIFS('Faculty Members_List'!BL$2:BL$258,$A135,'Faculty Members_List'!$N$2:$N$258,1)</f>
        <v>0</v>
      </c>
      <c r="G151" s="2">
        <f>COUNTIFS('Faculty Members_List'!BM$2:BM$258,$A135,'Faculty Members_List'!$N$2:$N$258,1)</f>
        <v>0</v>
      </c>
      <c r="H151" s="2">
        <f>COUNTIFS('Faculty Members_List'!BN$2:BN$258,$A135,'Faculty Members_List'!$N$2:$N$258,1)</f>
        <v>0</v>
      </c>
      <c r="I151" s="2">
        <f>COUNTIFS('Faculty Members_List'!BO$2:BO$258,$A135,'Faculty Members_List'!$N$2:$N$258,1)</f>
        <v>0</v>
      </c>
      <c r="J151" s="2">
        <f>COUNTIFS('Faculty Members_List'!BP$2:BP$258,$A135,'Faculty Members_List'!$N$2:$N$258,1)</f>
        <v>0</v>
      </c>
      <c r="K151" s="2">
        <f>COUNTIFS('Faculty Members_List'!BQ$2:BQ$258,$A135,'Faculty Members_List'!$N$2:$N$258,1)</f>
        <v>0</v>
      </c>
      <c r="L151" s="2">
        <f>COUNTIFS('Faculty Members_List'!BR$2:BR$258,$A135,'Faculty Members_List'!$N$2:$N$258,1)</f>
        <v>0</v>
      </c>
      <c r="M151" s="2">
        <f>COUNTIFS('Faculty Members_List'!BS$2:BS$258,$A135,'Faculty Members_List'!$N$2:$N$258,1)</f>
        <v>0</v>
      </c>
      <c r="N151" s="2">
        <f>COUNTIFS('Faculty Members_List'!BT$2:BT$258,$A135,'Faculty Members_List'!$N$2:$N$258,1)</f>
        <v>0</v>
      </c>
      <c r="O151" s="2">
        <f>COUNTIFS('Faculty Members_List'!BU$2:BU$258,$A135,'Faculty Members_List'!$N$2:$N$258,1)</f>
        <v>0</v>
      </c>
      <c r="P151" s="2">
        <f>COUNTIFS('Faculty Members_List'!BV$2:BV$258,$A135,'Faculty Members_List'!$N$2:$N$258,1)</f>
        <v>0</v>
      </c>
      <c r="Q151" s="2">
        <f>COUNTIFS('Faculty Members_List'!BW$2:BW$258,$A135,'Faculty Members_List'!$N$2:$N$258,1)</f>
        <v>0</v>
      </c>
    </row>
    <row r="152" spans="1:17" ht="13" x14ac:dyDescent="0.3">
      <c r="F152" s="12"/>
      <c r="G152" s="12"/>
      <c r="H152" s="12"/>
      <c r="I152" s="12"/>
      <c r="J152" s="12"/>
      <c r="K152" s="12"/>
      <c r="L152" s="12"/>
    </row>
    <row r="153" spans="1:17" ht="13" x14ac:dyDescent="0.3">
      <c r="A153" s="6" t="s">
        <v>154</v>
      </c>
      <c r="B153" s="3">
        <f t="shared" ref="B153:Q153" si="25">SUM(B144:B151)</f>
        <v>16</v>
      </c>
      <c r="C153" s="3">
        <f t="shared" si="25"/>
        <v>17</v>
      </c>
      <c r="D153" s="3">
        <f t="shared" si="25"/>
        <v>18</v>
      </c>
      <c r="E153" s="3">
        <f t="shared" si="25"/>
        <v>19</v>
      </c>
      <c r="F153" s="3">
        <f t="shared" si="25"/>
        <v>18</v>
      </c>
      <c r="G153" s="3">
        <f t="shared" si="25"/>
        <v>18</v>
      </c>
      <c r="H153" s="3">
        <f t="shared" si="25"/>
        <v>19</v>
      </c>
      <c r="I153" s="3">
        <f t="shared" si="25"/>
        <v>20</v>
      </c>
      <c r="J153" s="3">
        <f t="shared" si="25"/>
        <v>19</v>
      </c>
      <c r="K153" s="3">
        <f t="shared" si="25"/>
        <v>18</v>
      </c>
      <c r="L153" s="3">
        <f t="shared" si="25"/>
        <v>18</v>
      </c>
      <c r="M153" s="3">
        <f t="shared" si="25"/>
        <v>18</v>
      </c>
      <c r="N153" s="3">
        <f t="shared" si="25"/>
        <v>17</v>
      </c>
      <c r="O153" s="3">
        <f t="shared" si="25"/>
        <v>17</v>
      </c>
      <c r="P153" s="3">
        <f t="shared" si="25"/>
        <v>17</v>
      </c>
      <c r="Q153" s="3">
        <f t="shared" si="25"/>
        <v>17</v>
      </c>
    </row>
    <row r="154" spans="1:17" x14ac:dyDescent="0.25">
      <c r="A154" t="s">
        <v>179</v>
      </c>
      <c r="B154">
        <f t="shared" ref="B154:Q154" si="26">SUM(B144:B146)</f>
        <v>14</v>
      </c>
      <c r="C154">
        <f t="shared" si="26"/>
        <v>15</v>
      </c>
      <c r="D154">
        <f t="shared" si="26"/>
        <v>16</v>
      </c>
      <c r="E154">
        <f t="shared" si="26"/>
        <v>17</v>
      </c>
      <c r="F154">
        <f t="shared" si="26"/>
        <v>16</v>
      </c>
      <c r="G154">
        <f t="shared" si="26"/>
        <v>16</v>
      </c>
      <c r="H154">
        <f t="shared" si="26"/>
        <v>17</v>
      </c>
      <c r="I154">
        <f t="shared" si="26"/>
        <v>18</v>
      </c>
      <c r="J154">
        <f t="shared" si="26"/>
        <v>17</v>
      </c>
      <c r="K154">
        <f t="shared" si="26"/>
        <v>17</v>
      </c>
      <c r="L154">
        <f t="shared" si="26"/>
        <v>17</v>
      </c>
      <c r="M154">
        <f t="shared" si="26"/>
        <v>17</v>
      </c>
      <c r="N154">
        <f t="shared" si="26"/>
        <v>16</v>
      </c>
      <c r="O154">
        <f t="shared" si="26"/>
        <v>16</v>
      </c>
      <c r="P154">
        <f t="shared" si="26"/>
        <v>16</v>
      </c>
      <c r="Q154">
        <f t="shared" si="26"/>
        <v>16</v>
      </c>
    </row>
    <row r="155" spans="1:17" ht="13" x14ac:dyDescent="0.3">
      <c r="F155" s="12"/>
      <c r="G155" s="12"/>
      <c r="H155" s="12"/>
      <c r="I155" s="12"/>
      <c r="J155" s="12"/>
      <c r="K155" s="12"/>
      <c r="L155" s="12"/>
    </row>
    <row r="156" spans="1:17" ht="13" x14ac:dyDescent="0.3">
      <c r="F156" s="12"/>
      <c r="G156" s="12"/>
      <c r="H156" s="12"/>
      <c r="I156" s="12"/>
      <c r="J156" s="12"/>
      <c r="K156" s="12"/>
      <c r="L156" s="12"/>
    </row>
    <row r="157" spans="1:17" ht="13" x14ac:dyDescent="0.3">
      <c r="F157" s="12"/>
      <c r="G157" s="12"/>
      <c r="H157" s="12"/>
      <c r="I157" s="12"/>
      <c r="J157" s="12"/>
      <c r="K157" s="12"/>
      <c r="L157" s="12"/>
    </row>
    <row r="158" spans="1:17" ht="13" x14ac:dyDescent="0.3">
      <c r="F158" s="12"/>
      <c r="G158" s="12"/>
      <c r="H158" s="12"/>
      <c r="I158" s="12"/>
      <c r="J158" s="12"/>
      <c r="K158" s="12"/>
      <c r="L158" s="12"/>
    </row>
    <row r="159" spans="1:17" ht="13" x14ac:dyDescent="0.3">
      <c r="F159" s="12"/>
      <c r="G159" s="12"/>
      <c r="H159" s="12"/>
      <c r="I159" s="12"/>
      <c r="J159" s="12"/>
      <c r="K159" s="12"/>
      <c r="L159" s="12"/>
    </row>
    <row r="160" spans="1:17" ht="13" x14ac:dyDescent="0.3">
      <c r="F160" s="12"/>
      <c r="G160" s="12"/>
      <c r="H160" s="12"/>
      <c r="I160" s="12"/>
      <c r="J160" s="12"/>
      <c r="K160" s="12"/>
      <c r="L160" s="12"/>
      <c r="M160" s="12"/>
    </row>
    <row r="161" spans="1:17" ht="13" x14ac:dyDescent="0.3">
      <c r="F161" s="12"/>
      <c r="G161" s="12"/>
      <c r="H161" s="12"/>
      <c r="I161" s="12"/>
      <c r="J161" s="12"/>
      <c r="K161" s="12"/>
      <c r="L161" s="12"/>
      <c r="M161" s="12"/>
    </row>
    <row r="162" spans="1:17" ht="13" x14ac:dyDescent="0.3">
      <c r="A162" s="36" t="s">
        <v>268</v>
      </c>
      <c r="F162" s="37"/>
      <c r="G162" s="37"/>
      <c r="H162" s="37"/>
      <c r="I162" s="37"/>
      <c r="J162" s="38"/>
      <c r="K162" s="37"/>
    </row>
    <row r="163" spans="1:17" ht="13" x14ac:dyDescent="0.3">
      <c r="F163" s="12"/>
      <c r="G163" s="12"/>
      <c r="H163" s="12"/>
      <c r="I163" s="12"/>
      <c r="J163" s="13"/>
      <c r="K163" s="12"/>
    </row>
    <row r="164" spans="1:17" ht="13" x14ac:dyDescent="0.3">
      <c r="A164" s="6" t="s">
        <v>304</v>
      </c>
      <c r="B164" s="3">
        <v>2015</v>
      </c>
      <c r="C164" s="3">
        <v>2016</v>
      </c>
      <c r="D164" s="3">
        <v>2017</v>
      </c>
      <c r="E164" s="157">
        <v>2018</v>
      </c>
      <c r="F164" s="153">
        <v>2019</v>
      </c>
      <c r="G164" s="3">
        <v>2020</v>
      </c>
      <c r="H164" s="3">
        <v>2021</v>
      </c>
      <c r="I164" s="3">
        <v>2022</v>
      </c>
      <c r="J164" s="3">
        <v>2023</v>
      </c>
      <c r="K164" s="3">
        <v>2024</v>
      </c>
      <c r="L164" s="3">
        <v>2025</v>
      </c>
      <c r="M164" s="3">
        <v>2026</v>
      </c>
      <c r="N164" s="3">
        <v>2027</v>
      </c>
      <c r="O164" s="3">
        <v>2028</v>
      </c>
      <c r="P164" s="3">
        <v>2029</v>
      </c>
      <c r="Q164" s="3">
        <v>2030</v>
      </c>
    </row>
    <row r="165" spans="1:17" ht="13" x14ac:dyDescent="0.3">
      <c r="A165" s="4" t="s">
        <v>133</v>
      </c>
      <c r="B165" s="152">
        <f>B5*445200</f>
        <v>9349200</v>
      </c>
      <c r="C165" s="152">
        <f>C5*445200</f>
        <v>8904000</v>
      </c>
      <c r="D165" s="152">
        <f>D5*445200</f>
        <v>9794400</v>
      </c>
      <c r="E165" s="158">
        <f>E5*445200</f>
        <v>9349200</v>
      </c>
      <c r="F165" s="154">
        <f>SUMIF('Faculty Members_List'!BL$2:BL$258,'Faculty Members_Stat'!$A165,'Faculty Members_List'!BY$2:BY$258)</f>
        <v>7999776</v>
      </c>
      <c r="G165" s="34">
        <f>SUMIF('Faculty Members_List'!BM$2:BM$258,'Faculty Members_Stat'!$A165,'Faculty Members_List'!BZ$2:BZ$258)</f>
        <v>6208210.625</v>
      </c>
      <c r="H165" s="34">
        <f>SUMIF('Faculty Members_List'!BN$2:BN$258,'Faculty Members_Stat'!$A165,'Faculty Members_List'!CA$2:CA$258)</f>
        <v>4727036.041666667</v>
      </c>
      <c r="I165" s="34">
        <f>SUMIF('Faculty Members_List'!BO$2:BO$258,'Faculty Members_Stat'!$A165,'Faculty Members_List'!CB$2:CB$258)</f>
        <v>3284950.9583333335</v>
      </c>
      <c r="J165" s="34">
        <f>SUMIF('Faculty Members_List'!BP$2:BP$258,'Faculty Members_Stat'!$A165,'Faculty Members_List'!CC$2:CC$258)</f>
        <v>1235876.75</v>
      </c>
      <c r="K165" s="34">
        <f>SUMIF('Faculty Members_List'!BQ$2:BQ$258,'Faculty Members_Stat'!$A165,'Faculty Members_List'!CD$2:CD$258)</f>
        <v>723365.75</v>
      </c>
      <c r="L165" s="34">
        <f>SUMIF('Faculty Members_List'!BR$2:BR$258,'Faculty Members_Stat'!$A165,'Faculty Members_List'!CE$2:CE$258)</f>
        <v>0</v>
      </c>
      <c r="M165" s="34">
        <f>SUMIF('Faculty Members_List'!BS$2:BS$258,'Faculty Members_Stat'!$A165,'Faculty Members_List'!CF$2:CF$258)</f>
        <v>0</v>
      </c>
      <c r="N165" s="34">
        <f>SUMIF('Faculty Members_List'!BT$2:BT$258,'Faculty Members_Stat'!$A165,'Faculty Members_List'!CG$2:CG$258)</f>
        <v>0</v>
      </c>
      <c r="O165" s="34">
        <f>SUMIF('Faculty Members_List'!BU$2:BU$258,'Faculty Members_Stat'!$A165,'Faculty Members_List'!CH$2:CH$258)</f>
        <v>0</v>
      </c>
      <c r="P165" s="34">
        <f>SUMIF('Faculty Members_List'!BV$2:BV$258,'Faculty Members_Stat'!$A165,'Faculty Members_List'!CI$2:CI$258)</f>
        <v>0</v>
      </c>
      <c r="Q165" s="34">
        <f>SUMIF('Faculty Members_List'!BW$2:BW$258,'Faculty Members_Stat'!$A165,'Faculty Members_List'!CJ$2:CJ$258)</f>
        <v>0</v>
      </c>
    </row>
    <row r="166" spans="1:17" ht="13" x14ac:dyDescent="0.3">
      <c r="A166" s="4" t="s">
        <v>134</v>
      </c>
      <c r="B166" s="152">
        <f>B6*783950</f>
        <v>19598750</v>
      </c>
      <c r="C166" s="152">
        <f>C6*783950</f>
        <v>20382700</v>
      </c>
      <c r="D166" s="152">
        <f>D6*783950</f>
        <v>21166650</v>
      </c>
      <c r="E166" s="158">
        <f>E6*783950</f>
        <v>21166650</v>
      </c>
      <c r="F166" s="154">
        <f>SUMIF('Faculty Members_List'!BL$2:BL$258,'Faculty Members_Stat'!$A166,'Faculty Members_List'!BY$2:BY$258)</f>
        <v>16447085.25</v>
      </c>
      <c r="G166" s="34">
        <f>SUMIF('Faculty Members_List'!BM$2:BM$258,'Faculty Members_Stat'!$A166,'Faculty Members_List'!BZ$2:BZ$258)</f>
        <v>15576141.25</v>
      </c>
      <c r="H166" s="34">
        <f>SUMIF('Faculty Members_List'!BN$2:BN$258,'Faculty Members_Stat'!$A166,'Faculty Members_List'!CA$2:CA$258)</f>
        <v>16561861.5</v>
      </c>
      <c r="I166" s="34">
        <f>SUMIF('Faculty Members_List'!BO$2:BO$258,'Faculty Members_Stat'!$A166,'Faculty Members_List'!CB$2:CB$258)</f>
        <v>15371150.25</v>
      </c>
      <c r="J166" s="34">
        <f>SUMIF('Faculty Members_List'!BP$2:BP$258,'Faculty Members_Stat'!$A166,'Faculty Members_List'!CC$2:CC$258)</f>
        <v>16273714.954861112</v>
      </c>
      <c r="K166" s="34">
        <f>SUMIF('Faculty Members_List'!BQ$2:BQ$258,'Faculty Members_Stat'!$A166,'Faculty Members_List'!CD$2:CD$258)</f>
        <v>15094464.454861112</v>
      </c>
      <c r="L166" s="34">
        <f>SUMIF('Faculty Members_List'!BR$2:BR$258,'Faculty Members_Stat'!$A166,'Faculty Members_List'!CE$2:CE$258)</f>
        <v>13821363.413194444</v>
      </c>
      <c r="M166" s="34">
        <f>SUMIF('Faculty Members_List'!BS$2:BS$258,'Faculty Members_Stat'!$A166,'Faculty Members_List'!CF$2:CF$258)</f>
        <v>11461431.663194444</v>
      </c>
      <c r="N166" s="34">
        <f>SUMIF('Faculty Members_List'!BT$2:BT$258,'Faculty Members_Stat'!$A166,'Faculty Members_List'!CG$2:CG$258)</f>
        <v>9837678.9583333321</v>
      </c>
      <c r="O166" s="34">
        <f>SUMIF('Faculty Members_List'!BU$2:BU$258,'Faculty Members_Stat'!$A166,'Faculty Members_List'!CH$2:CH$258)</f>
        <v>6970316.708333334</v>
      </c>
      <c r="P166" s="34">
        <f>SUMIF('Faculty Members_List'!BV$2:BV$258,'Faculty Members_Stat'!$A166,'Faculty Members_List'!CI$2:CI$258)</f>
        <v>5048316</v>
      </c>
      <c r="Q166" s="34">
        <f>SUMIF('Faculty Members_List'!BW$2:BW$258,'Faculty Members_Stat'!$A166,'Faculty Members_List'!CJ$2:CJ$258)</f>
        <v>1442376</v>
      </c>
    </row>
    <row r="167" spans="1:17" ht="13" x14ac:dyDescent="0.3">
      <c r="A167" s="4" t="s">
        <v>135</v>
      </c>
      <c r="B167" s="152">
        <f>B7*1085650</f>
        <v>44511650</v>
      </c>
      <c r="C167" s="152">
        <f>C7*1085650</f>
        <v>43426000</v>
      </c>
      <c r="D167" s="152">
        <f>D7*1085650</f>
        <v>44511650</v>
      </c>
      <c r="E167" s="158">
        <f>E7*1085650</f>
        <v>43426000</v>
      </c>
      <c r="F167" s="154">
        <f>SUMIF('Faculty Members_List'!BL$2:BL$258,'Faculty Members_Stat'!$A167,'Faculty Members_List'!BY$2:BY$258)</f>
        <v>32415438.850000001</v>
      </c>
      <c r="G167" s="34">
        <f>SUMIF('Faculty Members_List'!BM$2:BM$258,'Faculty Members_Stat'!$A167,'Faculty Members_List'!BZ$2:BZ$258)</f>
        <v>35392765.266666666</v>
      </c>
      <c r="H167" s="34">
        <f>SUMIF('Faculty Members_List'!BN$2:BN$258,'Faculty Members_Stat'!$A167,'Faculty Members_List'!CA$2:CA$258)</f>
        <v>36719852.299999997</v>
      </c>
      <c r="I167" s="34">
        <f>SUMIF('Faculty Members_List'!BO$2:BO$258,'Faculty Members_Stat'!$A167,'Faculty Members_List'!CB$2:CB$258)</f>
        <v>39754172.625</v>
      </c>
      <c r="J167" s="34">
        <f>SUMIF('Faculty Members_List'!BP$2:BP$258,'Faculty Members_Stat'!$A167,'Faculty Members_List'!CC$2:CC$258)</f>
        <v>38585942.25</v>
      </c>
      <c r="K167" s="34">
        <f>SUMIF('Faculty Members_List'!BQ$2:BQ$258,'Faculty Members_Stat'!$A167,'Faculty Members_List'!CD$2:CD$258)</f>
        <v>40352092.416666672</v>
      </c>
      <c r="L167" s="34">
        <f>SUMIF('Faculty Members_List'!BR$2:BR$258,'Faculty Members_Stat'!$A167,'Faculty Members_List'!CE$2:CE$258)</f>
        <v>43904738.25</v>
      </c>
      <c r="M167" s="34">
        <f>SUMIF('Faculty Members_List'!BS$2:BS$258,'Faculty Members_Stat'!$A167,'Faculty Members_List'!CF$2:CF$258)</f>
        <v>47627051.75</v>
      </c>
      <c r="N167" s="34">
        <f>SUMIF('Faculty Members_List'!BT$2:BT$258,'Faculty Members_Stat'!$A167,'Faculty Members_List'!CG$2:CG$258)</f>
        <v>49711557</v>
      </c>
      <c r="O167" s="34">
        <f>SUMIF('Faculty Members_List'!BU$2:BU$258,'Faculty Members_Stat'!$A167,'Faculty Members_List'!CH$2:CH$258)</f>
        <v>50474624.125</v>
      </c>
      <c r="P167" s="34">
        <f>SUMIF('Faculty Members_List'!BV$2:BV$258,'Faculty Members_Stat'!$A167,'Faculty Members_List'!CI$2:CI$258)</f>
        <v>50586299.125</v>
      </c>
      <c r="Q167" s="34">
        <f>SUMIF('Faculty Members_List'!BW$2:BW$258,'Faculty Members_Stat'!$A167,'Faculty Members_List'!CJ$2:CJ$258)</f>
        <v>54210897</v>
      </c>
    </row>
    <row r="168" spans="1:17" ht="13" x14ac:dyDescent="0.3">
      <c r="A168" s="5" t="s">
        <v>130</v>
      </c>
      <c r="B168" s="152">
        <f>SUMIF('Faculty Members_List'!BH$2:BH$258,'Faculty Members_Stat'!$A168,'Faculty Members_List'!$P$2:$P$258)</f>
        <v>297623.75</v>
      </c>
      <c r="C168" s="152">
        <f>SUMIF('Faculty Members_List'!BI$2:BI$258,'Faculty Members_Stat'!$A168,'Faculty Members_List'!$P$2:$P$258)</f>
        <v>297623.75</v>
      </c>
      <c r="D168" s="152">
        <f>SUMIF('Faculty Members_List'!BJ$2:BJ$258,'Faculty Members_Stat'!$A168,'Faculty Members_List'!$P$2:$P$258)</f>
        <v>0</v>
      </c>
      <c r="E168" s="158">
        <f>SUMIF('Faculty Members_List'!BK$2:BK$258,'Faculty Members_Stat'!$A168,'Faculty Members_List'!$P$2:$P$258)</f>
        <v>0</v>
      </c>
      <c r="F168" s="154">
        <f>SUMIF('Faculty Members_List'!BL$2:BL$258,'Faculty Members_Stat'!$A168,'Faculty Members_List'!BY$2:BY$258)</f>
        <v>0</v>
      </c>
      <c r="G168" s="34">
        <f>SUMIF('Faculty Members_List'!BM$2:BM$258,'Faculty Members_Stat'!$A168,'Faculty Members_List'!BZ$2:BZ$258)</f>
        <v>0</v>
      </c>
      <c r="H168" s="34">
        <f>SUMIF('Faculty Members_List'!BN$2:BN$258,'Faculty Members_Stat'!$A168,'Faculty Members_List'!CA$2:CA$258)</f>
        <v>0</v>
      </c>
      <c r="I168" s="34">
        <f>SUMIF('Faculty Members_List'!BO$2:BO$258,'Faculty Members_Stat'!$A168,'Faculty Members_List'!CB$2:CB$258)</f>
        <v>0</v>
      </c>
      <c r="J168" s="34">
        <f>SUMIF('Faculty Members_List'!BP$2:BP$258,'Faculty Members_Stat'!$A168,'Faculty Members_List'!CC$2:CC$258)</f>
        <v>0</v>
      </c>
      <c r="K168" s="34">
        <f>SUMIF('Faculty Members_List'!BQ$2:BQ$258,'Faculty Members_Stat'!$A168,'Faculty Members_List'!CD$2:CD$258)</f>
        <v>0</v>
      </c>
      <c r="L168" s="34">
        <f>SUMIF('Faculty Members_List'!BR$2:BR$258,'Faculty Members_Stat'!$A168,'Faculty Members_List'!CE$2:CE$258)</f>
        <v>0</v>
      </c>
      <c r="M168" s="34">
        <f>SUMIF('Faculty Members_List'!BS$2:BS$258,'Faculty Members_Stat'!$A168,'Faculty Members_List'!CF$2:CF$258)</f>
        <v>0</v>
      </c>
      <c r="N168" s="34">
        <f>SUMIF('Faculty Members_List'!BT$2:BT$258,'Faculty Members_Stat'!$A168,'Faculty Members_List'!CG$2:CG$258)</f>
        <v>0</v>
      </c>
      <c r="O168" s="34">
        <f>SUMIF('Faculty Members_List'!BU$2:BU$258,'Faculty Members_Stat'!$A168,'Faculty Members_List'!CH$2:CH$258)</f>
        <v>0</v>
      </c>
      <c r="P168" s="34">
        <f>SUMIF('Faculty Members_List'!BV$2:BV$258,'Faculty Members_Stat'!$A168,'Faculty Members_List'!CI$2:CI$258)</f>
        <v>0</v>
      </c>
      <c r="Q168" s="34">
        <f>SUMIF('Faculty Members_List'!BW$2:BW$258,'Faculty Members_Stat'!$A168,'Faculty Members_List'!CJ$2:CJ$258)</f>
        <v>0</v>
      </c>
    </row>
    <row r="169" spans="1:17" ht="13" x14ac:dyDescent="0.3">
      <c r="A169" s="5" t="s">
        <v>131</v>
      </c>
      <c r="B169" s="152">
        <f>SUMIF('Faculty Members_List'!BH$2:BH$258,'Faculty Members_Stat'!$A169,'Faculty Members_List'!$P$2:$P$258)</f>
        <v>4421825.6399999997</v>
      </c>
      <c r="C169" s="152">
        <f>SUMIF('Faculty Members_List'!BI$2:BI$258,'Faculty Members_Stat'!$A169,'Faculty Members_List'!$P$2:$P$258)</f>
        <v>4718003.6399999997</v>
      </c>
      <c r="D169" s="152">
        <f>SUMIF('Faculty Members_List'!BJ$2:BJ$258,'Faculty Members_Stat'!$A169,'Faculty Members_List'!$P$2:$P$258)</f>
        <v>4034733.6399999997</v>
      </c>
      <c r="E169" s="158">
        <f>SUMIF('Faculty Members_List'!BK$2:BK$258,'Faculty Members_Stat'!$A169,'Faculty Members_List'!$P$2:$P$258)</f>
        <v>4034733.6399999997</v>
      </c>
      <c r="F169" s="154">
        <f>SUMIF('Faculty Members_List'!BL$2:BL$258,'Faculty Members_Stat'!$A169,'Faculty Members_List'!BY$2:BY$258)</f>
        <v>3864512.8899999997</v>
      </c>
      <c r="G169" s="34">
        <f>SUMIF('Faculty Members_List'!BM$2:BM$258,'Faculty Members_Stat'!$A169,'Faculty Members_List'!BZ$2:BZ$258)</f>
        <v>3864512.8899999997</v>
      </c>
      <c r="H169" s="34">
        <f>SUMIF('Faculty Members_List'!BN$2:BN$258,'Faculty Members_Stat'!$A169,'Faculty Members_List'!CA$2:CA$258)</f>
        <v>3547820.9983333331</v>
      </c>
      <c r="I169" s="34">
        <f>SUMIF('Faculty Members_List'!BO$2:BO$258,'Faculty Members_Stat'!$A169,'Faculty Members_List'!CB$2:CB$258)</f>
        <v>2956723.3191666668</v>
      </c>
      <c r="J169" s="34">
        <f>SUMIF('Faculty Members_List'!BP$2:BP$258,'Faculty Members_Stat'!$A169,'Faculty Members_List'!CC$2:CC$258)</f>
        <v>2086418.4858333333</v>
      </c>
      <c r="K169" s="34">
        <f>SUMIF('Faculty Members_List'!BQ$2:BQ$258,'Faculty Members_Stat'!$A169,'Faculty Members_List'!CD$2:CD$258)</f>
        <v>1963885.0899999999</v>
      </c>
      <c r="L169" s="34">
        <f>SUMIF('Faculty Members_List'!BR$2:BR$258,'Faculty Members_Stat'!$A169,'Faculty Members_List'!CE$2:CE$258)</f>
        <v>1963885.0899999999</v>
      </c>
      <c r="M169" s="34">
        <f>SUMIF('Faculty Members_List'!BS$2:BS$258,'Faculty Members_Stat'!$A169,'Faculty Members_List'!CF$2:CF$258)</f>
        <v>1963885.0899999999</v>
      </c>
      <c r="N169" s="34">
        <f>SUMIF('Faculty Members_List'!BT$2:BT$258,'Faculty Members_Stat'!$A169,'Faculty Members_List'!CG$2:CG$258)</f>
        <v>1863013.9233333331</v>
      </c>
      <c r="O169" s="34">
        <f>SUMIF('Faculty Members_List'!BU$2:BU$258,'Faculty Members_Stat'!$A169,'Faculty Members_List'!CH$2:CH$258)</f>
        <v>1248013.1316666666</v>
      </c>
      <c r="P169" s="34">
        <f>SUMIF('Faculty Members_List'!BV$2:BV$258,'Faculty Members_Stat'!$A169,'Faculty Members_List'!CI$2:CI$258)</f>
        <v>1128335.8399999999</v>
      </c>
      <c r="Q169" s="34">
        <f>SUMIF('Faculty Members_List'!BW$2:BW$258,'Faculty Members_Stat'!$A169,'Faculty Members_List'!CJ$2:CJ$258)</f>
        <v>1004053.7566666666</v>
      </c>
    </row>
    <row r="170" spans="1:17" ht="13" x14ac:dyDescent="0.3">
      <c r="A170" s="5" t="s">
        <v>132</v>
      </c>
      <c r="B170" s="152">
        <f>SUMIF('Faculty Members_List'!BH$2:BH$258,'Faculty Members_Stat'!$A170,'Faculty Members_List'!$P$2:$P$258)</f>
        <v>0</v>
      </c>
      <c r="C170" s="152">
        <f>SUMIF('Faculty Members_List'!BI$2:BI$258,'Faculty Members_Stat'!$A170,'Faculty Members_List'!$P$2:$P$258)</f>
        <v>0</v>
      </c>
      <c r="D170" s="152">
        <f>SUMIF('Faculty Members_List'!BJ$2:BJ$258,'Faculty Members_Stat'!$A170,'Faculty Members_List'!$P$2:$P$258)</f>
        <v>0</v>
      </c>
      <c r="E170" s="158">
        <f>SUMIF('Faculty Members_List'!BK$2:BK$258,'Faculty Members_Stat'!$A170,'Faculty Members_List'!$P$2:$P$258)</f>
        <v>0</v>
      </c>
      <c r="F170" s="154">
        <f>SUMIF('Faculty Members_List'!BL$2:BL$258,'Faculty Members_Stat'!$A170,'Faculty Members_List'!BY$2:BY$258)</f>
        <v>0</v>
      </c>
      <c r="G170" s="34">
        <f>SUMIF('Faculty Members_List'!BM$2:BM$258,'Faculty Members_Stat'!$A170,'Faculty Members_List'!BZ$2:BZ$258)</f>
        <v>0</v>
      </c>
      <c r="H170" s="34">
        <f>SUMIF('Faculty Members_List'!BN$2:BN$258,'Faculty Members_Stat'!$A170,'Faculty Members_List'!CA$2:CA$258)</f>
        <v>0</v>
      </c>
      <c r="I170" s="34">
        <f>SUMIF('Faculty Members_List'!BO$2:BO$258,'Faculty Members_Stat'!$A170,'Faculty Members_List'!CB$2:CB$258)</f>
        <v>0</v>
      </c>
      <c r="J170" s="34">
        <f>SUMIF('Faculty Members_List'!BP$2:BP$258,'Faculty Members_Stat'!$A170,'Faculty Members_List'!CC$2:CC$258)</f>
        <v>0</v>
      </c>
      <c r="K170" s="34">
        <f>SUMIF('Faculty Members_List'!BQ$2:BQ$258,'Faculty Members_Stat'!$A170,'Faculty Members_List'!CD$2:CD$258)</f>
        <v>0</v>
      </c>
      <c r="L170" s="34">
        <f>SUMIF('Faculty Members_List'!BR$2:BR$258,'Faculty Members_Stat'!$A170,'Faculty Members_List'!CE$2:CE$258)</f>
        <v>0</v>
      </c>
      <c r="M170" s="34">
        <f>SUMIF('Faculty Members_List'!BS$2:BS$258,'Faculty Members_Stat'!$A170,'Faculty Members_List'!CF$2:CF$258)</f>
        <v>0</v>
      </c>
      <c r="N170" s="34">
        <f>SUMIF('Faculty Members_List'!BT$2:BT$258,'Faculty Members_Stat'!$A170,'Faculty Members_List'!CG$2:CG$258)</f>
        <v>0</v>
      </c>
      <c r="O170" s="34">
        <f>SUMIF('Faculty Members_List'!BU$2:BU$258,'Faculty Members_Stat'!$A170,'Faculty Members_List'!CH$2:CH$258)</f>
        <v>0</v>
      </c>
      <c r="P170" s="34">
        <f>SUMIF('Faculty Members_List'!BV$2:BV$258,'Faculty Members_Stat'!$A170,'Faculty Members_List'!CI$2:CI$258)</f>
        <v>0</v>
      </c>
      <c r="Q170" s="34">
        <f>SUMIF('Faculty Members_List'!BW$2:BW$258,'Faculty Members_Stat'!$A170,'Faculty Members_List'!CJ$2:CJ$258)</f>
        <v>0</v>
      </c>
    </row>
    <row r="171" spans="1:17" ht="13" x14ac:dyDescent="0.3">
      <c r="A171" s="5" t="s">
        <v>129</v>
      </c>
      <c r="B171" s="152">
        <f>SUMIF('Faculty Members_List'!BH$2:BH$258,'Faculty Members_Stat'!$A171,'Faculty Members_List'!$P$2:$P$258)</f>
        <v>2855176.7750000004</v>
      </c>
      <c r="C171" s="152">
        <f>SUMIF('Faculty Members_List'!BI$2:BI$258,'Faculty Members_Stat'!$A171,'Faculty Members_List'!$P$2:$P$258)</f>
        <v>2972242.0250000004</v>
      </c>
      <c r="D171" s="152">
        <f>SUMIF('Faculty Members_List'!BJ$2:BJ$258,'Faculty Members_Stat'!$A171,'Faculty Members_List'!$P$2:$P$258)</f>
        <v>2972242.0250000004</v>
      </c>
      <c r="E171" s="158">
        <f>SUMIF('Faculty Members_List'!BK$2:BK$258,'Faculty Members_Stat'!$A171,'Faculty Members_List'!$P$2:$P$258)</f>
        <v>2972242.0250000004</v>
      </c>
      <c r="F171" s="154">
        <f>SUMIF('Faculty Members_List'!BL$2:BL$258,'Faculty Members_Stat'!$A171,'Faculty Members_List'!BY$2:BY$258)</f>
        <v>2917875.0250000004</v>
      </c>
      <c r="G171" s="34">
        <f>SUMIF('Faculty Members_List'!BM$2:BM$258,'Faculty Members_Stat'!$A171,'Faculty Members_List'!BZ$2:BZ$258)</f>
        <v>2917875.0250000004</v>
      </c>
      <c r="H171" s="34">
        <f>SUMIF('Faculty Members_List'!BN$2:BN$258,'Faculty Members_Stat'!$A171,'Faculty Members_List'!CA$2:CA$258)</f>
        <v>2772381.1916666669</v>
      </c>
      <c r="I171" s="34">
        <f>SUMIF('Faculty Members_List'!BO$2:BO$258,'Faculty Members_Stat'!$A171,'Faculty Members_List'!CB$2:CB$258)</f>
        <v>2649822.0666666669</v>
      </c>
      <c r="J171" s="34">
        <f>SUMIF('Faculty Members_List'!BP$2:BP$258,'Faculty Members_Stat'!$A171,'Faculty Members_List'!CC$2:CC$258)</f>
        <v>2444837.5250000004</v>
      </c>
      <c r="K171" s="34">
        <f>SUMIF('Faculty Members_List'!BQ$2:BQ$258,'Faculty Members_Stat'!$A171,'Faculty Members_List'!CD$2:CD$258)</f>
        <v>2340862.1083333339</v>
      </c>
      <c r="L171" s="34">
        <f>SUMIF('Faculty Members_List'!BR$2:BR$258,'Faculty Members_Stat'!$A171,'Faculty Members_List'!CE$2:CE$258)</f>
        <v>2051828.3541666667</v>
      </c>
      <c r="M171" s="34">
        <f>SUMIF('Faculty Members_List'!BS$2:BS$258,'Faculty Members_Stat'!$A171,'Faculty Members_List'!CF$2:CF$258)</f>
        <v>1619655.0616666668</v>
      </c>
      <c r="N171" s="34">
        <f>SUMIF('Faculty Members_List'!BT$2:BT$258,'Faculty Members_Stat'!$A171,'Faculty Members_List'!CG$2:CG$258)</f>
        <v>1333294.0825</v>
      </c>
      <c r="O171" s="34">
        <f>SUMIF('Faculty Members_List'!BU$2:BU$258,'Faculty Members_Stat'!$A171,'Faculty Members_List'!CH$2:CH$258)</f>
        <v>1348977.145</v>
      </c>
      <c r="P171" s="34">
        <f>SUMIF('Faculty Members_List'!BV$2:BV$258,'Faculty Members_Stat'!$A171,'Faculty Members_List'!CI$2:CI$258)</f>
        <v>1087723.7104166667</v>
      </c>
      <c r="Q171" s="34">
        <f>SUMIF('Faculty Members_List'!BW$2:BW$258,'Faculty Members_Stat'!$A171,'Faculty Members_List'!CJ$2:CJ$258)</f>
        <v>1023181.7</v>
      </c>
    </row>
    <row r="172" spans="1:17" ht="13" x14ac:dyDescent="0.3">
      <c r="A172" s="5" t="s">
        <v>137</v>
      </c>
      <c r="B172" s="152">
        <f>SUMIF('Faculty Members_List'!BH$2:BH$258,'Faculty Members_Stat'!$A172,'Faculty Members_List'!$P$2:$P$258)</f>
        <v>0</v>
      </c>
      <c r="C172" s="152">
        <f>SUMIF('Faculty Members_List'!BI$2:BI$258,'Faculty Members_Stat'!$A172,'Faculty Members_List'!$P$2:$P$258)</f>
        <v>0</v>
      </c>
      <c r="D172" s="152">
        <f>SUMIF('Faculty Members_List'!BJ$2:BJ$258,'Faculty Members_Stat'!$A172,'Faculty Members_List'!$P$2:$P$258)</f>
        <v>0</v>
      </c>
      <c r="E172" s="158">
        <f>SUMIF('Faculty Members_List'!BK$2:BK$258,'Faculty Members_Stat'!$A172,'Faculty Members_List'!$P$2:$P$258)</f>
        <v>0</v>
      </c>
      <c r="F172" s="154">
        <f>SUMIF('Faculty Members_List'!BL$2:BL$258,'Faculty Members_Stat'!$A172,'Faculty Members_List'!BY$2:BY$258)</f>
        <v>0</v>
      </c>
      <c r="G172" s="34">
        <f>SUMIF('Faculty Members_List'!BM$2:BM$258,'Faculty Members_Stat'!$A172,'Faculty Members_List'!BZ$2:BZ$258)</f>
        <v>0</v>
      </c>
      <c r="H172" s="34">
        <f>SUMIF('Faculty Members_List'!BN$2:BN$258,'Faculty Members_Stat'!$A172,'Faculty Members_List'!CA$2:CA$258)</f>
        <v>0</v>
      </c>
      <c r="I172" s="34">
        <f>SUMIF('Faculty Members_List'!BO$2:BO$258,'Faculty Members_Stat'!$A172,'Faculty Members_List'!CB$2:CB$258)</f>
        <v>0</v>
      </c>
      <c r="J172" s="34">
        <f>SUMIF('Faculty Members_List'!BP$2:BP$258,'Faculty Members_Stat'!$A172,'Faculty Members_List'!CC$2:CC$258)</f>
        <v>0</v>
      </c>
      <c r="K172" s="34">
        <f>SUMIF('Faculty Members_List'!BQ$2:BQ$258,'Faculty Members_Stat'!$A172,'Faculty Members_List'!CD$2:CD$258)</f>
        <v>0</v>
      </c>
      <c r="L172" s="34">
        <f>SUMIF('Faculty Members_List'!BR$2:BR$258,'Faculty Members_Stat'!$A172,'Faculty Members_List'!CE$2:CE$258)</f>
        <v>0</v>
      </c>
      <c r="M172" s="34">
        <f>SUMIF('Faculty Members_List'!BS$2:BS$258,'Faculty Members_Stat'!$A172,'Faculty Members_List'!CF$2:CF$258)</f>
        <v>0</v>
      </c>
      <c r="N172" s="34">
        <f>SUMIF('Faculty Members_List'!BT$2:BT$258,'Faculty Members_Stat'!$A172,'Faculty Members_List'!CG$2:CG$258)</f>
        <v>0</v>
      </c>
      <c r="O172" s="34">
        <f>SUMIF('Faculty Members_List'!BU$2:BU$258,'Faculty Members_Stat'!$A172,'Faculty Members_List'!CH$2:CH$258)</f>
        <v>0</v>
      </c>
      <c r="P172" s="34">
        <f>SUMIF('Faculty Members_List'!BV$2:BV$258,'Faculty Members_Stat'!$A172,'Faculty Members_List'!CI$2:CI$258)</f>
        <v>0</v>
      </c>
      <c r="Q172" s="34">
        <f>SUMIF('Faculty Members_List'!BW$2:BW$258,'Faculty Members_Stat'!$A172,'Faculty Members_List'!CJ$2:CJ$258)</f>
        <v>0</v>
      </c>
    </row>
    <row r="173" spans="1:17" ht="13" x14ac:dyDescent="0.3">
      <c r="A173" s="67" t="s">
        <v>138</v>
      </c>
      <c r="B173" s="152">
        <f>SUMIF('Faculty Members_List'!BH$2:BH$258,'Faculty Members_Stat'!$A173,'Faculty Members_List'!$P$2:$P$258)</f>
        <v>7678464.7450000001</v>
      </c>
      <c r="C173" s="152">
        <f>SUMIF('Faculty Members_List'!BI$2:BI$258,'Faculty Members_Stat'!$A173,'Faculty Members_List'!$P$2:$P$258)</f>
        <v>5254475.4950000001</v>
      </c>
      <c r="D173" s="152">
        <f>SUMIF('Faculty Members_List'!BJ$2:BJ$258,'Faculty Members_Stat'!$A173,'Faculty Members_List'!$P$2:$P$258)</f>
        <v>1771862.9950000001</v>
      </c>
      <c r="E173" s="158">
        <f>SUMIF('Faculty Members_List'!BK$2:BK$258,'Faculty Members_Stat'!$A173,'Faculty Members_List'!$P$2:$P$258)</f>
        <v>445136</v>
      </c>
      <c r="F173" s="154">
        <f>SUMIF('Faculty Members_List'!BL$2:BL$258,'Faculty Members_Stat'!$A173,'Faculty Members_List'!BY$2:BY$258)</f>
        <v>729197.92500000005</v>
      </c>
      <c r="G173" s="34">
        <f>SUMIF('Faculty Members_List'!BM$2:BM$258,'Faculty Members_Stat'!$A173,'Faculty Members_List'!BZ$2:BZ$258)</f>
        <v>215116.08124999996</v>
      </c>
      <c r="H173" s="34">
        <f>SUMIF('Faculty Members_List'!BN$2:BN$258,'Faculty Members_Stat'!$A173,'Faculty Members_List'!CA$2:CA$258)</f>
        <v>162496.58124999999</v>
      </c>
      <c r="I173" s="34">
        <f>SUMIF('Faculty Members_List'!BO$2:BO$258,'Faculty Members_Stat'!$A173,'Faculty Members_List'!CB$2:CB$258)</f>
        <v>1668535.175</v>
      </c>
      <c r="J173" s="34">
        <f>SUMIF('Faculty Members_List'!BP$2:BP$258,'Faculty Members_Stat'!$A173,'Faculty Members_List'!CC$2:CC$258)</f>
        <v>974540.98708333331</v>
      </c>
      <c r="K173" s="34">
        <f>SUMIF('Faculty Members_List'!BQ$2:BQ$258,'Faculty Members_Stat'!$A173,'Faculty Members_List'!CD$2:CD$258)</f>
        <v>503436.74166666658</v>
      </c>
      <c r="L173" s="34">
        <f>SUMIF('Faculty Members_List'!BR$2:BR$258,'Faculty Members_Stat'!$A173,'Faculty Members_List'!CE$2:CE$258)</f>
        <v>306115.10416666669</v>
      </c>
      <c r="M173" s="34">
        <f>SUMIF('Faculty Members_List'!BS$2:BS$258,'Faculty Members_Stat'!$A173,'Faculty Members_List'!CF$2:CF$258)</f>
        <v>0</v>
      </c>
      <c r="N173" s="34">
        <f>SUMIF('Faculty Members_List'!BT$2:BT$258,'Faculty Members_Stat'!$A173,'Faculty Members_List'!CG$2:CG$258)</f>
        <v>572420.16666666663</v>
      </c>
      <c r="O173" s="34">
        <f>SUMIF('Faculty Members_List'!BU$2:BU$258,'Faculty Members_Stat'!$A173,'Faculty Members_List'!CH$2:CH$258)</f>
        <v>1827900.1875</v>
      </c>
      <c r="P173" s="34">
        <f>SUMIF('Faculty Members_List'!BV$2:BV$258,'Faculty Members_Stat'!$A173,'Faculty Members_List'!CI$2:CI$258)</f>
        <v>1969284.4968750002</v>
      </c>
      <c r="Q173" s="34">
        <f>SUMIF('Faculty Members_List'!BW$2:BW$258,'Faculty Members_Stat'!$A173,'Faculty Members_List'!CJ$2:CJ$258)</f>
        <v>250093.75</v>
      </c>
    </row>
    <row r="174" spans="1:17" ht="13" x14ac:dyDescent="0.3">
      <c r="A174" s="63" t="s">
        <v>388</v>
      </c>
      <c r="B174" s="152">
        <f>SUMIF('Faculty Members_List'!BH$2:BH$258,'Faculty Members_Stat'!$A174,'Faculty Members_List'!$P$2:$P$258)</f>
        <v>0</v>
      </c>
      <c r="C174" s="152">
        <f>SUMIF('Faculty Members_List'!BI$2:BI$258,'Faculty Members_Stat'!$A174,'Faculty Members_List'!$P$2:$P$258)</f>
        <v>0</v>
      </c>
      <c r="D174" s="152">
        <f>SUMIF('Faculty Members_List'!BJ$2:BJ$258,'Faculty Members_Stat'!$A174,'Faculty Members_List'!$P$2:$P$258)</f>
        <v>0</v>
      </c>
      <c r="E174" s="158">
        <f>SUMIF('Faculty Members_List'!BK$2:BK$258,'Faculty Members_Stat'!$A174,'Faculty Members_List'!$P$2:$P$258)</f>
        <v>857035.80500000005</v>
      </c>
      <c r="F174" s="154">
        <f>SUMIF('Faculty Members_List'!BL$2:BL$258,'Faculty Members_Stat'!$A174,'Faculty Members_List'!BY$2:BY$258)</f>
        <v>672750.2350000001</v>
      </c>
      <c r="G174" s="34">
        <f>SUMIF('Faculty Members_List'!BM$2:BM$258,'Faculty Members_Stat'!$A174,'Faculty Members_List'!BZ$2:BZ$258)</f>
        <v>390668.26</v>
      </c>
      <c r="H174" s="34">
        <f>SUMIF('Faculty Members_List'!BN$2:BN$258,'Faculty Members_Stat'!$A174,'Faculty Members_List'!CA$2:CA$258)</f>
        <v>390668.26</v>
      </c>
      <c r="I174" s="34">
        <f>SUMIF('Faculty Members_List'!BO$2:BO$258,'Faculty Members_Stat'!$A174,'Faculty Members_List'!CB$2:CB$258)</f>
        <v>390668.26</v>
      </c>
      <c r="J174" s="34">
        <f>SUMIF('Faculty Members_List'!BP$2:BP$258,'Faculty Members_Stat'!$A174,'Faculty Members_List'!CC$2:CC$258)</f>
        <v>390668.26</v>
      </c>
      <c r="K174" s="34">
        <f>SUMIF('Faculty Members_List'!BQ$2:BQ$258,'Faculty Members_Stat'!$A174,'Faculty Members_List'!CD$2:CD$258)</f>
        <v>390668.26</v>
      </c>
      <c r="L174" s="34">
        <f>SUMIF('Faculty Members_List'!BR$2:BR$258,'Faculty Members_Stat'!$A174,'Faculty Members_List'!CE$2:CE$258)</f>
        <v>390668.26</v>
      </c>
      <c r="M174" s="34">
        <f>SUMIF('Faculty Members_List'!BS$2:BS$258,'Faculty Members_Stat'!$A174,'Faculty Members_List'!CF$2:CF$258)</f>
        <v>390668.26</v>
      </c>
      <c r="N174" s="34">
        <f>SUMIF('Faculty Members_List'!BT$2:BT$258,'Faculty Members_Stat'!$A174,'Faculty Members_List'!CG$2:CG$258)</f>
        <v>390668.26</v>
      </c>
      <c r="O174" s="34">
        <f>SUMIF('Faculty Members_List'!BU$2:BU$258,'Faculty Members_Stat'!$A174,'Faculty Members_List'!CH$2:CH$258)</f>
        <v>390668.26</v>
      </c>
      <c r="P174" s="34">
        <f>SUMIF('Faculty Members_List'!BV$2:BV$258,'Faculty Members_Stat'!$A174,'Faculty Members_List'!CI$2:CI$258)</f>
        <v>390668.26</v>
      </c>
      <c r="Q174" s="34">
        <f>SUMIF('Faculty Members_List'!BW$2:BW$258,'Faculty Members_Stat'!$A174,'Faculty Members_List'!CJ$2:CJ$258)</f>
        <v>174581.2</v>
      </c>
    </row>
    <row r="175" spans="1:17" ht="13" x14ac:dyDescent="0.3">
      <c r="A175" s="63" t="s">
        <v>389</v>
      </c>
      <c r="B175" s="152">
        <f>SUMIF('Faculty Members_List'!BH$2:BH$258,'Faculty Members_Stat'!$A175,'Faculty Members_List'!$P$2:$P$258)</f>
        <v>0</v>
      </c>
      <c r="C175" s="152">
        <f>SUMIF('Faculty Members_List'!BI$2:BI$258,'Faculty Members_Stat'!$A175,'Faculty Members_List'!$P$2:$P$258)</f>
        <v>0</v>
      </c>
      <c r="D175" s="152">
        <f>SUMIF('Faculty Members_List'!BJ$2:BJ$258,'Faculty Members_Stat'!$A175,'Faculty Members_List'!$P$2:$P$258)</f>
        <v>0</v>
      </c>
      <c r="E175" s="158">
        <f>SUMIF('Faculty Members_List'!BK$2:BK$258,'Faculty Members_Stat'!$A175,'Faculty Members_List'!$P$2:$P$258)</f>
        <v>383682.61749999999</v>
      </c>
      <c r="F175" s="154">
        <f>SUMIF('Faculty Members_List'!BL$2:BL$258,'Faculty Members_Stat'!$A175,'Faculty Members_List'!BY$2:BY$258)</f>
        <v>567968.1875</v>
      </c>
      <c r="G175" s="34">
        <f>SUMIF('Faculty Members_List'!BM$2:BM$258,'Faculty Members_Stat'!$A175,'Faculty Members_List'!BZ$2:BZ$258)</f>
        <v>1254597.2250000001</v>
      </c>
      <c r="H175" s="34">
        <f>SUMIF('Faculty Members_List'!BN$2:BN$258,'Faculty Members_Stat'!$A175,'Faculty Members_List'!CA$2:CA$258)</f>
        <v>1254597.2250000001</v>
      </c>
      <c r="I175" s="34">
        <f>SUMIF('Faculty Members_List'!BO$2:BO$258,'Faculty Members_Stat'!$A175,'Faculty Members_List'!CB$2:CB$258)</f>
        <v>1453180.0150000001</v>
      </c>
      <c r="J175" s="34">
        <f>SUMIF('Faculty Members_List'!BP$2:BP$258,'Faculty Members_Stat'!$A175,'Faculty Members_List'!CC$2:CC$258)</f>
        <v>2921941.5604166668</v>
      </c>
      <c r="K175" s="34">
        <f>SUMIF('Faculty Members_List'!BQ$2:BQ$258,'Faculty Members_Stat'!$A175,'Faculty Members_List'!CD$2:CD$258)</f>
        <v>3324433.4812500007</v>
      </c>
      <c r="L175" s="34">
        <f>SUMIF('Faculty Members_List'!BR$2:BR$258,'Faculty Members_Stat'!$A175,'Faculty Members_List'!CE$2:CE$258)</f>
        <v>3173684.4300000006</v>
      </c>
      <c r="M175" s="34">
        <f>SUMIF('Faculty Members_List'!BS$2:BS$258,'Faculty Members_Stat'!$A175,'Faculty Members_List'!CF$2:CF$258)</f>
        <v>3173684.4300000006</v>
      </c>
      <c r="N175" s="34">
        <f>SUMIF('Faculty Members_List'!BT$2:BT$258,'Faculty Members_Stat'!$A175,'Faculty Members_List'!CG$2:CG$258)</f>
        <v>2775191.521666667</v>
      </c>
      <c r="O175" s="34">
        <f>SUMIF('Faculty Members_List'!BU$2:BU$258,'Faculty Members_Stat'!$A175,'Faculty Members_List'!CH$2:CH$258)</f>
        <v>2406997.1100000003</v>
      </c>
      <c r="P175" s="34">
        <f>SUMIF('Faculty Members_List'!BV$2:BV$258,'Faculty Members_Stat'!$A175,'Faculty Members_List'!CI$2:CI$258)</f>
        <v>2329260.08</v>
      </c>
      <c r="Q175" s="34">
        <f>SUMIF('Faculty Members_List'!BW$2:BW$258,'Faculty Members_Stat'!$A175,'Faculty Members_List'!CJ$2:CJ$258)</f>
        <v>2122742.8016666672</v>
      </c>
    </row>
    <row r="176" spans="1:17" ht="13" x14ac:dyDescent="0.3">
      <c r="A176" s="63" t="s">
        <v>386</v>
      </c>
      <c r="B176" s="152">
        <f>SUMIF('Faculty Members_List'!BH$2:BH$258,'Faculty Members_Stat'!$A176,'Faculty Members_List'!$P$2:$P$258)</f>
        <v>0</v>
      </c>
      <c r="C176" s="152">
        <f>SUMIF('Faculty Members_List'!BI$2:BI$258,'Faculty Members_Stat'!$A176,'Faculty Members_List'!$P$2:$P$258)</f>
        <v>0</v>
      </c>
      <c r="D176" s="152">
        <f>SUMIF('Faculty Members_List'!BJ$2:BJ$258,'Faculty Members_Stat'!$A176,'Faculty Members_List'!$P$2:$P$258)</f>
        <v>0</v>
      </c>
      <c r="E176" s="158">
        <f>SUMIF('Faculty Members_List'!BK$2:BK$258,'Faculty Members_Stat'!$A176,'Faculty Members_List'!$P$2:$P$258)</f>
        <v>5000</v>
      </c>
      <c r="F176" s="154">
        <f>SUMIF('Faculty Members_List'!BL$2:BL$258,'Faculty Members_Stat'!$A176,'Faculty Members_List'!BY$2:BY$258)</f>
        <v>5000</v>
      </c>
      <c r="G176" s="34">
        <f>SUMIF('Faculty Members_List'!BM$2:BM$258,'Faculty Members_Stat'!$A176,'Faculty Members_List'!BZ$2:BZ$258)</f>
        <v>5000</v>
      </c>
      <c r="H176" s="34">
        <f>SUMIF('Faculty Members_List'!BN$2:BN$258,'Faculty Members_Stat'!$A176,'Faculty Members_List'!CA$2:CA$258)</f>
        <v>5000</v>
      </c>
      <c r="I176" s="34">
        <f>SUMIF('Faculty Members_List'!BO$2:BO$258,'Faculty Members_Stat'!$A176,'Faculty Members_List'!CB$2:CB$258)</f>
        <v>5000</v>
      </c>
      <c r="J176" s="34">
        <f>SUMIF('Faculty Members_List'!BP$2:BP$258,'Faculty Members_Stat'!$A176,'Faculty Members_List'!CC$2:CC$258)</f>
        <v>5000</v>
      </c>
      <c r="K176" s="34">
        <f>SUMIF('Faculty Members_List'!BQ$2:BQ$258,'Faculty Members_Stat'!$A176,'Faculty Members_List'!CD$2:CD$258)</f>
        <v>5000</v>
      </c>
      <c r="L176" s="34">
        <f>SUMIF('Faculty Members_List'!BR$2:BR$258,'Faculty Members_Stat'!$A176,'Faculty Members_List'!CE$2:CE$258)</f>
        <v>5000</v>
      </c>
      <c r="M176" s="34">
        <f>SUMIF('Faculty Members_List'!BS$2:BS$258,'Faculty Members_Stat'!$A176,'Faculty Members_List'!CF$2:CF$258)</f>
        <v>5000</v>
      </c>
      <c r="N176" s="34">
        <f>SUMIF('Faculty Members_List'!BT$2:BT$258,'Faculty Members_Stat'!$A176,'Faculty Members_List'!CG$2:CG$258)</f>
        <v>5000</v>
      </c>
      <c r="O176" s="34">
        <f>SUMIF('Faculty Members_List'!BU$2:BU$258,'Faculty Members_Stat'!$A176,'Faculty Members_List'!CH$2:CH$258)</f>
        <v>5000</v>
      </c>
      <c r="P176" s="34">
        <f>SUMIF('Faculty Members_List'!BV$2:BV$258,'Faculty Members_Stat'!$A176,'Faculty Members_List'!CI$2:CI$258)</f>
        <v>5000</v>
      </c>
      <c r="Q176" s="34">
        <f>SUMIF('Faculty Members_List'!BW$2:BW$258,'Faculty Members_Stat'!$A176,'Faculty Members_List'!CJ$2:CJ$258)</f>
        <v>5000</v>
      </c>
    </row>
    <row r="177" spans="1:22" ht="13" x14ac:dyDescent="0.3">
      <c r="E177" s="159"/>
      <c r="G177" s="12"/>
      <c r="H177" s="12"/>
      <c r="I177" s="12"/>
      <c r="J177" s="13"/>
      <c r="K177" s="12"/>
    </row>
    <row r="178" spans="1:22" ht="13" x14ac:dyDescent="0.3">
      <c r="A178" s="6" t="s">
        <v>305</v>
      </c>
      <c r="B178" s="33">
        <f>SUM(B165:B176)</f>
        <v>88712690.910000011</v>
      </c>
      <c r="C178" s="33">
        <f>SUM(C165:C176)</f>
        <v>85955044.910000011</v>
      </c>
      <c r="D178" s="33">
        <f>SUM(D165:D176)</f>
        <v>84251538.660000011</v>
      </c>
      <c r="E178" s="160">
        <f>SUM(E165:E176)</f>
        <v>82639680.087500021</v>
      </c>
      <c r="F178" s="155">
        <f>SUM(F165:F177)</f>
        <v>65619604.362499997</v>
      </c>
      <c r="G178" s="33">
        <f t="shared" ref="G178:Q178" si="27">SUM(G165:G176)</f>
        <v>65824886.622916661</v>
      </c>
      <c r="H178" s="33">
        <f t="shared" si="27"/>
        <v>66141714.09791667</v>
      </c>
      <c r="I178" s="33">
        <f t="shared" si="27"/>
        <v>67534202.669166654</v>
      </c>
      <c r="J178" s="33">
        <f t="shared" si="27"/>
        <v>64918940.77319444</v>
      </c>
      <c r="K178" s="33">
        <f t="shared" si="27"/>
        <v>64698208.302777782</v>
      </c>
      <c r="L178" s="33">
        <f t="shared" si="27"/>
        <v>65617282.901527777</v>
      </c>
      <c r="M178" s="33">
        <f t="shared" si="27"/>
        <v>66241376.254861116</v>
      </c>
      <c r="N178" s="33">
        <f t="shared" si="27"/>
        <v>66488823.912499994</v>
      </c>
      <c r="O178" s="33">
        <f t="shared" si="27"/>
        <v>64672496.667500004</v>
      </c>
      <c r="P178" s="33">
        <f t="shared" si="27"/>
        <v>62544887.51229167</v>
      </c>
      <c r="Q178" s="33">
        <f t="shared" si="27"/>
        <v>60232926.208333343</v>
      </c>
    </row>
    <row r="179" spans="1:22" ht="14.5" x14ac:dyDescent="0.35">
      <c r="A179" t="s">
        <v>276</v>
      </c>
      <c r="B179" s="34"/>
      <c r="C179" s="34"/>
      <c r="D179" s="34"/>
      <c r="E179" s="161">
        <v>2834849.6</v>
      </c>
      <c r="F179" s="64"/>
      <c r="G179" s="65">
        <v>2757242.2</v>
      </c>
      <c r="H179" s="65">
        <v>2558604.7999999998</v>
      </c>
      <c r="I179" s="65">
        <v>2454667.2000000002</v>
      </c>
      <c r="J179" s="66">
        <f t="shared" ref="J179:J187" si="28">I179</f>
        <v>2454667.2000000002</v>
      </c>
      <c r="K179" s="66">
        <f t="shared" ref="K179:K187" si="29">J179</f>
        <v>2454667.2000000002</v>
      </c>
      <c r="L179" s="66">
        <f t="shared" ref="L179:L187" si="30">K179</f>
        <v>2454667.2000000002</v>
      </c>
      <c r="M179" s="66">
        <f t="shared" ref="M179:M187" si="31">L179</f>
        <v>2454667.2000000002</v>
      </c>
      <c r="N179" s="66">
        <f t="shared" ref="N179:N187" si="32">M179</f>
        <v>2454667.2000000002</v>
      </c>
      <c r="O179" s="66">
        <f t="shared" ref="O179:O187" si="33">N179</f>
        <v>2454667.2000000002</v>
      </c>
      <c r="P179" s="66">
        <f t="shared" ref="P179:P187" si="34">O179</f>
        <v>2454667.2000000002</v>
      </c>
      <c r="Q179" s="66">
        <f t="shared" ref="Q179:Q187" si="35">P179</f>
        <v>2454667.2000000002</v>
      </c>
    </row>
    <row r="180" spans="1:22" ht="14.5" x14ac:dyDescent="0.35">
      <c r="A180" s="58" t="s">
        <v>284</v>
      </c>
      <c r="B180" s="34"/>
      <c r="C180" s="34"/>
      <c r="D180" s="34"/>
      <c r="E180" s="162">
        <f>E223-SUM(E224:E230)</f>
        <v>2792042.125</v>
      </c>
      <c r="F180" s="70"/>
      <c r="G180" s="70">
        <f t="shared" ref="G180:Q180" si="36">G223-SUM(G224:G230)</f>
        <v>1608850.375</v>
      </c>
      <c r="H180" s="70">
        <f t="shared" si="36"/>
        <v>406235.4375</v>
      </c>
      <c r="I180" s="70">
        <f t="shared" si="36"/>
        <v>320544.25</v>
      </c>
      <c r="J180" s="70">
        <f t="shared" si="36"/>
        <v>320544.25</v>
      </c>
      <c r="K180" s="70">
        <f t="shared" si="36"/>
        <v>320544.25</v>
      </c>
      <c r="L180" s="70">
        <f t="shared" si="36"/>
        <v>320544.25</v>
      </c>
      <c r="M180" s="70">
        <f t="shared" si="36"/>
        <v>320544.25</v>
      </c>
      <c r="N180" s="70">
        <f t="shared" si="36"/>
        <v>320544.25</v>
      </c>
      <c r="O180" s="70">
        <f t="shared" si="36"/>
        <v>320544.25</v>
      </c>
      <c r="P180" s="70">
        <f t="shared" si="36"/>
        <v>320544.25</v>
      </c>
      <c r="Q180" s="70">
        <f t="shared" si="36"/>
        <v>320544.25</v>
      </c>
    </row>
    <row r="181" spans="1:22" ht="14.5" x14ac:dyDescent="0.35">
      <c r="A181" t="s">
        <v>281</v>
      </c>
      <c r="B181" s="34"/>
      <c r="C181" s="34"/>
      <c r="D181" s="34"/>
      <c r="E181" s="161">
        <v>1244537.8</v>
      </c>
      <c r="F181" s="64"/>
      <c r="G181" s="65">
        <v>1211328.6499999999</v>
      </c>
      <c r="H181" s="65">
        <v>1164830.8999999999</v>
      </c>
      <c r="I181" s="65">
        <v>1164830.8999999999</v>
      </c>
      <c r="J181" s="66">
        <f t="shared" si="28"/>
        <v>1164830.8999999999</v>
      </c>
      <c r="K181" s="66">
        <f t="shared" si="29"/>
        <v>1164830.8999999999</v>
      </c>
      <c r="L181" s="66">
        <f t="shared" si="30"/>
        <v>1164830.8999999999</v>
      </c>
      <c r="M181" s="66">
        <f t="shared" si="31"/>
        <v>1164830.8999999999</v>
      </c>
      <c r="N181" s="66">
        <f t="shared" si="32"/>
        <v>1164830.8999999999</v>
      </c>
      <c r="O181" s="66">
        <f t="shared" si="33"/>
        <v>1164830.8999999999</v>
      </c>
      <c r="P181" s="66">
        <f t="shared" si="34"/>
        <v>1164830.8999999999</v>
      </c>
      <c r="Q181" s="66">
        <f t="shared" si="35"/>
        <v>1164830.8999999999</v>
      </c>
    </row>
    <row r="182" spans="1:22" ht="14.5" x14ac:dyDescent="0.35">
      <c r="A182" t="s">
        <v>285</v>
      </c>
      <c r="B182" s="34"/>
      <c r="C182" s="34"/>
      <c r="D182" s="34"/>
      <c r="E182" s="161">
        <v>900833.7</v>
      </c>
      <c r="F182" s="64"/>
      <c r="G182" s="65">
        <v>820892.15</v>
      </c>
      <c r="H182" s="65">
        <v>753806.95</v>
      </c>
      <c r="I182" s="65">
        <v>555194.25</v>
      </c>
      <c r="J182" s="66">
        <f t="shared" si="28"/>
        <v>555194.25</v>
      </c>
      <c r="K182" s="66">
        <f t="shared" si="29"/>
        <v>555194.25</v>
      </c>
      <c r="L182" s="66">
        <f t="shared" si="30"/>
        <v>555194.25</v>
      </c>
      <c r="M182" s="66">
        <f t="shared" si="31"/>
        <v>555194.25</v>
      </c>
      <c r="N182" s="66">
        <f t="shared" si="32"/>
        <v>555194.25</v>
      </c>
      <c r="O182" s="66">
        <f t="shared" si="33"/>
        <v>555194.25</v>
      </c>
      <c r="P182" s="66">
        <f t="shared" si="34"/>
        <v>555194.25</v>
      </c>
      <c r="Q182" s="66">
        <f t="shared" si="35"/>
        <v>555194.25</v>
      </c>
    </row>
    <row r="183" spans="1:22" ht="14.5" x14ac:dyDescent="0.35">
      <c r="A183" t="s">
        <v>306</v>
      </c>
      <c r="B183" s="34"/>
      <c r="C183" s="34"/>
      <c r="D183" s="34"/>
      <c r="E183" s="161">
        <v>2955772.95</v>
      </c>
      <c r="F183" s="64"/>
      <c r="G183" s="65">
        <v>2732299.7</v>
      </c>
      <c r="H183" s="65">
        <v>2581345.65</v>
      </c>
      <c r="I183" s="65">
        <v>2515396.65</v>
      </c>
      <c r="J183" s="66">
        <f t="shared" si="28"/>
        <v>2515396.65</v>
      </c>
      <c r="K183" s="66">
        <f t="shared" si="29"/>
        <v>2515396.65</v>
      </c>
      <c r="L183" s="66">
        <f t="shared" si="30"/>
        <v>2515396.65</v>
      </c>
      <c r="M183" s="66">
        <f t="shared" si="31"/>
        <v>2515396.65</v>
      </c>
      <c r="N183" s="66">
        <f t="shared" si="32"/>
        <v>2515396.65</v>
      </c>
      <c r="O183" s="66">
        <f t="shared" si="33"/>
        <v>2515396.65</v>
      </c>
      <c r="P183" s="66">
        <f t="shared" si="34"/>
        <v>2515396.65</v>
      </c>
      <c r="Q183" s="66">
        <f t="shared" si="35"/>
        <v>2515396.65</v>
      </c>
    </row>
    <row r="184" spans="1:22" x14ac:dyDescent="0.25">
      <c r="A184" t="s">
        <v>282</v>
      </c>
      <c r="B184" s="34"/>
      <c r="C184" s="34"/>
      <c r="D184" s="34"/>
      <c r="E184" s="163">
        <f>SUMIF('Faculty Members_List'!BK$2:BK$258,'Faculty Members_Stat'!$A184,'Faculty Members_List'!BY$2:BY$258)</f>
        <v>82724.25</v>
      </c>
      <c r="F184" s="154"/>
      <c r="G184" s="34">
        <f>SUMIF('Faculty Members_List'!BM$2:BM$258,'Faculty Members_Stat'!$A184,'Faculty Members_List'!CA$2:CA$258)</f>
        <v>82724.25</v>
      </c>
      <c r="H184" s="34">
        <f>SUMIF('Faculty Members_List'!BN$2:BN$258,'Faculty Members_Stat'!$A184,'Faculty Members_List'!CB$2:CB$258)</f>
        <v>82724.25</v>
      </c>
      <c r="I184" s="34">
        <f>SUMIF('Faculty Members_List'!BO$2:BO$258,'Faculty Members_Stat'!$A184,'Faculty Members_List'!CC$2:CC$258)</f>
        <v>82724.25</v>
      </c>
      <c r="J184" s="34">
        <f>SUMIF('Faculty Members_List'!BP$2:BP$258,'Faculty Members_Stat'!$A184,'Faculty Members_List'!CD$2:CD$258)</f>
        <v>82724.25</v>
      </c>
      <c r="K184" s="34">
        <f>SUMIF('Faculty Members_List'!BQ$2:BQ$258,'Faculty Members_Stat'!$A184,'Faculty Members_List'!CE$2:CE$258)</f>
        <v>82724.25</v>
      </c>
      <c r="L184" s="34">
        <f>SUMIF('Faculty Members_List'!BR$2:BR$258,'Faculty Members_Stat'!$A184,'Faculty Members_List'!CF$2:CF$258)</f>
        <v>82724.25</v>
      </c>
      <c r="M184" s="34">
        <f>SUMIF('Faculty Members_List'!BS$2:BS$258,'Faculty Members_Stat'!$A184,'Faculty Members_List'!CG$2:CG$258)</f>
        <v>82724.25</v>
      </c>
      <c r="N184" s="34">
        <f>SUMIF('Faculty Members_List'!BT$2:BT$258,'Faculty Members_Stat'!$A184,'Faculty Members_List'!CH$2:CH$258)</f>
        <v>82724.25</v>
      </c>
      <c r="O184" s="34">
        <f>SUMIF('Faculty Members_List'!BU$2:BU$258,'Faculty Members_Stat'!$A184,'Faculty Members_List'!CI$2:CI$258)</f>
        <v>82724.25</v>
      </c>
      <c r="P184" s="34">
        <f>SUMIF('Faculty Members_List'!BV$2:BV$258,'Faculty Members_Stat'!$A184,'Faculty Members_List'!CJ$2:CJ$258)</f>
        <v>82724.25</v>
      </c>
      <c r="Q184" s="34">
        <f>SUMIF('Faculty Members_List'!BW$2:BW$258,'Faculty Members_Stat'!$A184,'Faculty Members_List'!CK$2:CK$258)</f>
        <v>82724.25</v>
      </c>
    </row>
    <row r="185" spans="1:22" ht="14.5" x14ac:dyDescent="0.35">
      <c r="A185" s="53" t="s">
        <v>279</v>
      </c>
      <c r="B185" s="34"/>
      <c r="C185" s="34"/>
      <c r="D185" s="34"/>
      <c r="E185" s="163">
        <f>SUMIF('Faculty Members_List'!BK$2:BK$258,'Faculty Members_Stat'!$A185,'Faculty Members_List'!BY$2:BY$258)</f>
        <v>708834</v>
      </c>
      <c r="F185" s="154"/>
      <c r="G185" s="34">
        <f>SUMIF('Faculty Members_List'!BM$2:BM$258,'Faculty Members_Stat'!$A185,'Faculty Members_List'!CA$2:CA$258)</f>
        <v>708834</v>
      </c>
      <c r="H185" s="34">
        <f>SUMIF('Faculty Members_List'!BN$2:BN$258,'Faculty Members_Stat'!$A185,'Faculty Members_List'!CB$2:CB$258)</f>
        <v>708834</v>
      </c>
      <c r="I185" s="34">
        <f>SUMIF('Faculty Members_List'!BO$2:BO$258,'Faculty Members_Stat'!$A185,'Faculty Members_List'!CC$2:CC$258)</f>
        <v>708834</v>
      </c>
      <c r="J185" s="34">
        <f>SUMIF('Faculty Members_List'!BP$2:BP$258,'Faculty Members_Stat'!$A185,'Faculty Members_List'!CD$2:CD$258)</f>
        <v>708834</v>
      </c>
      <c r="K185" s="34">
        <f>SUMIF('Faculty Members_List'!BQ$2:BQ$258,'Faculty Members_Stat'!$A185,'Faculty Members_List'!CE$2:CE$258)</f>
        <v>708834</v>
      </c>
      <c r="L185" s="34">
        <f>SUMIF('Faculty Members_List'!BR$2:BR$258,'Faculty Members_Stat'!$A185,'Faculty Members_List'!CF$2:CF$258)</f>
        <v>708834</v>
      </c>
      <c r="M185" s="34">
        <f>SUMIF('Faculty Members_List'!BS$2:BS$258,'Faculty Members_Stat'!$A185,'Faculty Members_List'!CG$2:CG$258)</f>
        <v>708834</v>
      </c>
      <c r="N185" s="34">
        <f>SUMIF('Faculty Members_List'!BT$2:BT$258,'Faculty Members_Stat'!$A185,'Faculty Members_List'!CH$2:CH$258)</f>
        <v>708834</v>
      </c>
      <c r="O185" s="34">
        <f>SUMIF('Faculty Members_List'!BU$2:BU$258,'Faculty Members_Stat'!$A185,'Faculty Members_List'!CI$2:CI$258)</f>
        <v>708834</v>
      </c>
      <c r="P185" s="34">
        <f>SUMIF('Faculty Members_List'!BV$2:BV$258,'Faculty Members_Stat'!$A185,'Faculty Members_List'!CJ$2:CJ$258)</f>
        <v>708834</v>
      </c>
      <c r="Q185" s="34">
        <f>SUMIF('Faculty Members_List'!BW$2:BW$258,'Faculty Members_Stat'!$A185,'Faculty Members_List'!CK$2:CK$258)</f>
        <v>708834</v>
      </c>
      <c r="V185" s="32"/>
    </row>
    <row r="186" spans="1:22" ht="14.5" x14ac:dyDescent="0.35">
      <c r="A186" s="53" t="s">
        <v>278</v>
      </c>
      <c r="B186" s="34"/>
      <c r="C186" s="34"/>
      <c r="D186" s="34"/>
      <c r="E186" s="161">
        <v>3909319.85</v>
      </c>
      <c r="F186" s="64"/>
      <c r="G186" s="65">
        <v>3690984.2</v>
      </c>
      <c r="H186" s="65">
        <v>3395189.35</v>
      </c>
      <c r="I186" s="65">
        <v>3330376.55</v>
      </c>
      <c r="J186" s="66">
        <f t="shared" si="28"/>
        <v>3330376.55</v>
      </c>
      <c r="K186" s="66">
        <f t="shared" si="29"/>
        <v>3330376.55</v>
      </c>
      <c r="L186" s="66">
        <f t="shared" si="30"/>
        <v>3330376.55</v>
      </c>
      <c r="M186" s="66">
        <f t="shared" si="31"/>
        <v>3330376.55</v>
      </c>
      <c r="N186" s="66">
        <f t="shared" si="32"/>
        <v>3330376.55</v>
      </c>
      <c r="O186" s="66">
        <f t="shared" si="33"/>
        <v>3330376.55</v>
      </c>
      <c r="P186" s="66">
        <f t="shared" si="34"/>
        <v>3330376.55</v>
      </c>
      <c r="Q186" s="66">
        <f t="shared" si="35"/>
        <v>3330376.55</v>
      </c>
    </row>
    <row r="187" spans="1:22" ht="14.5" x14ac:dyDescent="0.35">
      <c r="A187" s="52" t="s">
        <v>277</v>
      </c>
      <c r="B187" s="34"/>
      <c r="C187" s="34"/>
      <c r="D187" s="34"/>
      <c r="E187" s="161">
        <v>600000</v>
      </c>
      <c r="F187" s="64"/>
      <c r="G187" s="65">
        <v>600000</v>
      </c>
      <c r="H187" s="65">
        <v>600000</v>
      </c>
      <c r="I187" s="65">
        <v>600000</v>
      </c>
      <c r="J187" s="66">
        <f t="shared" si="28"/>
        <v>600000</v>
      </c>
      <c r="K187" s="66">
        <f t="shared" si="29"/>
        <v>600000</v>
      </c>
      <c r="L187" s="66">
        <f t="shared" si="30"/>
        <v>600000</v>
      </c>
      <c r="M187" s="66">
        <f t="shared" si="31"/>
        <v>600000</v>
      </c>
      <c r="N187" s="66">
        <f t="shared" si="32"/>
        <v>600000</v>
      </c>
      <c r="O187" s="66">
        <f t="shared" si="33"/>
        <v>600000</v>
      </c>
      <c r="P187" s="66">
        <f t="shared" si="34"/>
        <v>600000</v>
      </c>
      <c r="Q187" s="66">
        <f t="shared" si="35"/>
        <v>600000</v>
      </c>
    </row>
    <row r="188" spans="1:22" x14ac:dyDescent="0.25">
      <c r="B188" s="34"/>
      <c r="C188" s="34"/>
      <c r="D188" s="34"/>
      <c r="E188" s="163"/>
      <c r="F188" s="15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</row>
    <row r="189" spans="1:22" x14ac:dyDescent="0.25">
      <c r="A189" t="s">
        <v>393</v>
      </c>
      <c r="B189" s="34"/>
      <c r="C189" s="34"/>
      <c r="D189" s="34"/>
      <c r="E189" s="163"/>
      <c r="F189" s="154">
        <f>SUM(F203,F205:F207,F209:F211)-F197</f>
        <v>12154874.3375</v>
      </c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</row>
    <row r="190" spans="1:22" x14ac:dyDescent="0.25">
      <c r="A190" t="s">
        <v>269</v>
      </c>
      <c r="B190" s="34">
        <v>5000000</v>
      </c>
      <c r="C190" s="34">
        <v>5000000</v>
      </c>
      <c r="D190" s="34">
        <v>5000000</v>
      </c>
      <c r="E190" s="163">
        <v>-17751630.44749999</v>
      </c>
      <c r="F190" s="156">
        <f>F203-F175+(F193-SUM(F178,F189,F203-F175))</f>
        <v>2824521.299999997</v>
      </c>
      <c r="G190" s="34">
        <f t="shared" ref="G190:Q190" si="37">G193-G178</f>
        <v>14774113.377083339</v>
      </c>
      <c r="H190" s="34">
        <f t="shared" si="37"/>
        <v>14457285.90208333</v>
      </c>
      <c r="I190" s="34">
        <f t="shared" si="37"/>
        <v>13064797.330833346</v>
      </c>
      <c r="J190" s="34">
        <f t="shared" si="37"/>
        <v>15680059.22680556</v>
      </c>
      <c r="K190" s="34">
        <f t="shared" si="37"/>
        <v>15900791.697222218</v>
      </c>
      <c r="L190" s="34">
        <f t="shared" si="37"/>
        <v>14981717.098472223</v>
      </c>
      <c r="M190" s="34">
        <f t="shared" si="37"/>
        <v>14357623.745138884</v>
      </c>
      <c r="N190" s="34">
        <f t="shared" si="37"/>
        <v>14110176.087500006</v>
      </c>
      <c r="O190" s="34">
        <f t="shared" si="37"/>
        <v>15926503.332499996</v>
      </c>
      <c r="P190" s="34">
        <f t="shared" si="37"/>
        <v>18054112.48770833</v>
      </c>
      <c r="Q190" s="34">
        <f t="shared" si="37"/>
        <v>20366073.791666657</v>
      </c>
    </row>
    <row r="191" spans="1:22" x14ac:dyDescent="0.25">
      <c r="A191" t="s">
        <v>375</v>
      </c>
      <c r="E191" s="164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</row>
    <row r="192" spans="1:22" x14ac:dyDescent="0.25">
      <c r="A192" t="s">
        <v>270</v>
      </c>
      <c r="B192" s="35">
        <f t="shared" ref="B192:Q192" si="38">SUM(B178:B190)</f>
        <v>93712690.910000011</v>
      </c>
      <c r="C192" s="35">
        <f t="shared" si="38"/>
        <v>90955044.910000011</v>
      </c>
      <c r="D192" s="35">
        <f t="shared" si="38"/>
        <v>89251538.660000011</v>
      </c>
      <c r="E192" s="165">
        <f>SUM(E178:E190)</f>
        <v>80916963.915000021</v>
      </c>
      <c r="F192" s="35">
        <f>SUM(F178:F190)</f>
        <v>80599000</v>
      </c>
      <c r="G192" s="35">
        <f t="shared" si="38"/>
        <v>94812155.525000006</v>
      </c>
      <c r="H192" s="35">
        <f t="shared" si="38"/>
        <v>92850571.337500006</v>
      </c>
      <c r="I192" s="35">
        <f>SUM(I178:I190)</f>
        <v>92331568.050000012</v>
      </c>
      <c r="J192" s="35">
        <f t="shared" si="38"/>
        <v>92331568.050000012</v>
      </c>
      <c r="K192" s="35">
        <f t="shared" si="38"/>
        <v>92331568.050000012</v>
      </c>
      <c r="L192" s="35">
        <f t="shared" si="38"/>
        <v>92331568.050000012</v>
      </c>
      <c r="M192" s="35">
        <f t="shared" si="38"/>
        <v>92331568.050000012</v>
      </c>
      <c r="N192" s="35">
        <f t="shared" si="38"/>
        <v>92331568.050000012</v>
      </c>
      <c r="O192" s="35">
        <f t="shared" si="38"/>
        <v>92331568.050000012</v>
      </c>
      <c r="P192" s="35">
        <f t="shared" si="38"/>
        <v>92331568.049999997</v>
      </c>
      <c r="Q192" s="35">
        <f t="shared" si="38"/>
        <v>92331568.049999997</v>
      </c>
    </row>
    <row r="193" spans="1:17" ht="14.5" x14ac:dyDescent="0.35">
      <c r="A193" t="s">
        <v>271</v>
      </c>
      <c r="E193" s="166">
        <v>80611080</v>
      </c>
      <c r="F193" s="59">
        <v>80599000</v>
      </c>
      <c r="G193" s="59">
        <v>80599000</v>
      </c>
      <c r="H193" s="59">
        <v>80599000</v>
      </c>
      <c r="I193" s="59">
        <v>80599000</v>
      </c>
      <c r="J193" s="59">
        <v>80599000</v>
      </c>
      <c r="K193" s="59">
        <v>80599000</v>
      </c>
      <c r="L193" s="59">
        <v>80599000</v>
      </c>
      <c r="M193" s="59">
        <v>80599000</v>
      </c>
      <c r="N193" s="59">
        <v>80599000</v>
      </c>
      <c r="O193" s="59">
        <v>80599000</v>
      </c>
      <c r="P193" s="59">
        <v>80599000</v>
      </c>
      <c r="Q193" s="59">
        <v>80599000</v>
      </c>
    </row>
    <row r="194" spans="1:17" ht="13" x14ac:dyDescent="0.3">
      <c r="A194" t="s">
        <v>373</v>
      </c>
      <c r="E194" s="164"/>
      <c r="F194" s="12"/>
      <c r="G194" s="12"/>
      <c r="H194" s="12"/>
      <c r="I194" s="12"/>
      <c r="J194" s="12"/>
      <c r="K194" s="12"/>
      <c r="L194" s="12"/>
    </row>
    <row r="195" spans="1:17" x14ac:dyDescent="0.25">
      <c r="A195" t="s">
        <v>374</v>
      </c>
      <c r="D195" t="s">
        <v>376</v>
      </c>
      <c r="E195" s="32">
        <f>E193-E192</f>
        <v>-305883.91500002146</v>
      </c>
      <c r="F195" s="32">
        <f>F193-F192</f>
        <v>0</v>
      </c>
      <c r="G195" s="32">
        <f t="shared" ref="G195:Q195" si="39">G193-G192</f>
        <v>-14213155.525000006</v>
      </c>
      <c r="H195" s="32">
        <f t="shared" si="39"/>
        <v>-12251571.337500006</v>
      </c>
      <c r="I195" s="32">
        <f t="shared" si="39"/>
        <v>-11732568.050000012</v>
      </c>
      <c r="J195" s="32">
        <f t="shared" si="39"/>
        <v>-11732568.050000012</v>
      </c>
      <c r="K195" s="32">
        <f t="shared" si="39"/>
        <v>-11732568.050000012</v>
      </c>
      <c r="L195" s="32">
        <f t="shared" si="39"/>
        <v>-11732568.050000012</v>
      </c>
      <c r="M195" s="32">
        <f t="shared" si="39"/>
        <v>-11732568.050000012</v>
      </c>
      <c r="N195" s="32">
        <f t="shared" si="39"/>
        <v>-11732568.050000012</v>
      </c>
      <c r="O195" s="32">
        <f t="shared" si="39"/>
        <v>-11732568.050000012</v>
      </c>
      <c r="P195" s="32">
        <f t="shared" si="39"/>
        <v>-11732568.049999997</v>
      </c>
      <c r="Q195" s="32">
        <f t="shared" si="39"/>
        <v>-11732568.049999997</v>
      </c>
    </row>
    <row r="196" spans="1:17" ht="13" x14ac:dyDescent="0.3">
      <c r="F196" s="12"/>
      <c r="G196" s="12"/>
      <c r="H196" s="12"/>
      <c r="I196" s="12"/>
      <c r="J196" s="12"/>
      <c r="K196" s="12"/>
      <c r="L196" s="12"/>
    </row>
    <row r="197" spans="1:17" ht="14.5" x14ac:dyDescent="0.35">
      <c r="A197" s="149" t="s">
        <v>436</v>
      </c>
      <c r="B197" s="150"/>
      <c r="C197" s="69"/>
      <c r="D197" s="150"/>
      <c r="E197" s="150"/>
      <c r="F197" s="151">
        <f>SUM('Faculty Members_List'!P244,'Faculty Members_List'!P245,'Faculty Members_List'!P87,'Faculty Members_List'!P157,'Faculty Members_List'!P122,'Faculty Members_List'!P13,'Faculty Members_List'!P180,'Faculty Members_List'!P234)</f>
        <v>607365.41249999998</v>
      </c>
      <c r="G197" s="12"/>
      <c r="H197" s="12"/>
      <c r="I197" s="12"/>
      <c r="J197" s="12"/>
      <c r="K197" s="12"/>
    </row>
    <row r="202" spans="1:17" ht="14.5" x14ac:dyDescent="0.35">
      <c r="A202" s="61" t="s">
        <v>280</v>
      </c>
      <c r="B202" s="54"/>
      <c r="C202" s="54"/>
      <c r="D202" s="54"/>
      <c r="E202" s="172">
        <v>58764395.041666664</v>
      </c>
      <c r="F202" s="88">
        <v>59359765.5</v>
      </c>
      <c r="G202" s="169">
        <v>60774639.649999999</v>
      </c>
      <c r="H202" s="169">
        <v>62845967</v>
      </c>
      <c r="I202" s="169">
        <v>65023100.5</v>
      </c>
    </row>
    <row r="203" spans="1:17" ht="14.5" x14ac:dyDescent="0.35">
      <c r="A203" s="57" t="s">
        <v>276</v>
      </c>
      <c r="E203" s="173">
        <v>2834849.6</v>
      </c>
      <c r="F203" s="91">
        <v>3708818.5</v>
      </c>
      <c r="G203" s="170">
        <v>2757242.2</v>
      </c>
      <c r="H203" s="170">
        <v>2558604.7999999998</v>
      </c>
      <c r="I203" s="170">
        <v>2454667.2000000002</v>
      </c>
    </row>
    <row r="204" spans="1:17" ht="14.5" x14ac:dyDescent="0.35">
      <c r="A204" s="58" t="s">
        <v>284</v>
      </c>
      <c r="E204" s="173">
        <v>2985012.7</v>
      </c>
      <c r="F204" s="92">
        <v>2047878</v>
      </c>
      <c r="G204" s="170">
        <v>1738700.1</v>
      </c>
      <c r="H204" s="170">
        <v>591639.19999999995</v>
      </c>
      <c r="I204" s="170">
        <v>320544.25</v>
      </c>
    </row>
    <row r="205" spans="1:17" ht="14.5" x14ac:dyDescent="0.35">
      <c r="A205" s="57" t="s">
        <v>281</v>
      </c>
      <c r="E205" s="173">
        <v>1244537.8</v>
      </c>
      <c r="F205" s="91">
        <v>0</v>
      </c>
      <c r="G205" s="170">
        <v>1211328.6499999999</v>
      </c>
      <c r="H205" s="170">
        <v>1164830.8999999999</v>
      </c>
      <c r="I205" s="170">
        <v>1164830.8999999999</v>
      </c>
    </row>
    <row r="206" spans="1:17" ht="14.5" x14ac:dyDescent="0.35">
      <c r="A206" s="57" t="s">
        <v>285</v>
      </c>
      <c r="E206" s="173">
        <v>900833.7</v>
      </c>
      <c r="F206" s="91">
        <v>1557073</v>
      </c>
      <c r="G206" s="170">
        <v>820892.15</v>
      </c>
      <c r="H206" s="170">
        <v>753806.95</v>
      </c>
      <c r="I206" s="170">
        <v>555194.25</v>
      </c>
    </row>
    <row r="207" spans="1:17" ht="14.5" x14ac:dyDescent="0.35">
      <c r="A207" s="57" t="s">
        <v>286</v>
      </c>
      <c r="E207" s="173">
        <v>2955772.95</v>
      </c>
      <c r="F207" s="91">
        <v>2869647.5</v>
      </c>
      <c r="G207" s="170">
        <v>2732299.7</v>
      </c>
      <c r="H207" s="170">
        <v>2581345.65</v>
      </c>
      <c r="I207" s="170">
        <v>2515396.65</v>
      </c>
    </row>
    <row r="208" spans="1:17" ht="14.5" x14ac:dyDescent="0.35">
      <c r="A208" s="61" t="s">
        <v>287</v>
      </c>
      <c r="B208" s="54"/>
      <c r="C208" s="54"/>
      <c r="D208" s="54"/>
      <c r="E208" s="172">
        <v>6079664.9500000002</v>
      </c>
      <c r="F208" s="88">
        <v>5829605.5</v>
      </c>
      <c r="G208" s="169">
        <v>5570811.2999999998</v>
      </c>
      <c r="H208" s="169">
        <v>5405501.9000000004</v>
      </c>
      <c r="I208" s="169">
        <v>4725704.8499999996</v>
      </c>
    </row>
    <row r="209" spans="1:17" ht="14.5" x14ac:dyDescent="0.35">
      <c r="A209" s="57" t="s">
        <v>282</v>
      </c>
      <c r="E209" s="173">
        <v>82732.649999999994</v>
      </c>
      <c r="F209" s="91">
        <v>82724.25</v>
      </c>
      <c r="G209" s="170">
        <v>82732.649999999994</v>
      </c>
      <c r="H209" s="170">
        <v>82732.649999999994</v>
      </c>
      <c r="I209" s="170">
        <v>82732.649999999994</v>
      </c>
    </row>
    <row r="210" spans="1:17" ht="14.5" x14ac:dyDescent="0.35">
      <c r="A210" s="57" t="s">
        <v>279</v>
      </c>
      <c r="E210" s="173">
        <v>631465.35</v>
      </c>
      <c r="F210" s="91">
        <v>708833.75</v>
      </c>
      <c r="G210" s="170">
        <v>631465.35</v>
      </c>
      <c r="H210" s="170">
        <v>631465.35</v>
      </c>
      <c r="I210" s="170">
        <v>631465.35</v>
      </c>
    </row>
    <row r="211" spans="1:17" ht="14.5" x14ac:dyDescent="0.35">
      <c r="A211" s="57" t="s">
        <v>278</v>
      </c>
      <c r="E211" s="173">
        <v>3909319.85</v>
      </c>
      <c r="F211" s="91">
        <v>3835142.75</v>
      </c>
      <c r="G211" s="170">
        <v>3690984.2</v>
      </c>
      <c r="H211" s="170">
        <v>3395189.35</v>
      </c>
      <c r="I211" s="170">
        <v>3330376.55</v>
      </c>
    </row>
    <row r="212" spans="1:17" ht="14.5" x14ac:dyDescent="0.35">
      <c r="A212" s="58" t="s">
        <v>288</v>
      </c>
      <c r="E212" s="173">
        <v>600000</v>
      </c>
      <c r="F212" s="93">
        <v>600000</v>
      </c>
      <c r="G212" s="170">
        <v>600000</v>
      </c>
      <c r="H212" s="170">
        <v>600000</v>
      </c>
      <c r="I212" s="170">
        <v>600000</v>
      </c>
    </row>
    <row r="213" spans="1:17" ht="14.5" x14ac:dyDescent="0.35">
      <c r="A213" s="60" t="s">
        <v>289</v>
      </c>
      <c r="E213" s="174">
        <v>80988584.591666669</v>
      </c>
      <c r="F213" s="168">
        <v>80599488.75</v>
      </c>
      <c r="G213" s="171">
        <v>80611095.950000003</v>
      </c>
      <c r="H213" s="171">
        <v>80611083.750000015</v>
      </c>
      <c r="I213" s="171">
        <v>81404013.150000006</v>
      </c>
    </row>
    <row r="216" spans="1:17" x14ac:dyDescent="0.25">
      <c r="D216" t="s">
        <v>290</v>
      </c>
      <c r="E216" s="32">
        <f>E202+E208</f>
        <v>64844059.991666667</v>
      </c>
      <c r="F216" s="32">
        <f>F202+F208</f>
        <v>65189371</v>
      </c>
      <c r="G216" s="32">
        <f>G202+G208</f>
        <v>66345450.949999996</v>
      </c>
      <c r="H216" s="32">
        <f>H202+H208</f>
        <v>68251468.900000006</v>
      </c>
      <c r="I216" s="32">
        <f>I202+I208</f>
        <v>69748805.349999994</v>
      </c>
    </row>
    <row r="217" spans="1:17" x14ac:dyDescent="0.25">
      <c r="D217" t="s">
        <v>283</v>
      </c>
      <c r="E217" s="32">
        <f>E178-E216</f>
        <v>17795620.095833354</v>
      </c>
      <c r="F217" s="32">
        <f>F178-F216</f>
        <v>430233.36249999702</v>
      </c>
      <c r="G217" s="32">
        <f>G178-G216</f>
        <v>-520564.32708333433</v>
      </c>
      <c r="H217" s="32">
        <f>H178-H216</f>
        <v>-2109754.8020833358</v>
      </c>
      <c r="I217" s="32">
        <f>I178-I216</f>
        <v>-2214602.6808333397</v>
      </c>
    </row>
    <row r="222" spans="1:17" x14ac:dyDescent="0.25">
      <c r="E222" s="68" t="s">
        <v>336</v>
      </c>
    </row>
    <row r="223" spans="1:17" ht="14.5" x14ac:dyDescent="0.35">
      <c r="A223" s="58" t="s">
        <v>284</v>
      </c>
      <c r="B223" s="34"/>
      <c r="C223" s="34"/>
      <c r="D223" s="34"/>
      <c r="E223" s="64">
        <v>2985012.7</v>
      </c>
      <c r="F223" s="64">
        <v>2177495.6</v>
      </c>
      <c r="G223" s="65">
        <v>1801820.95</v>
      </c>
      <c r="H223" s="65">
        <v>567044.25</v>
      </c>
      <c r="I223" s="65">
        <v>320544.25</v>
      </c>
      <c r="J223" s="66">
        <f t="shared" ref="J223:Q223" si="40">I223</f>
        <v>320544.25</v>
      </c>
      <c r="K223" s="66">
        <f t="shared" si="40"/>
        <v>320544.25</v>
      </c>
      <c r="L223" s="66">
        <f t="shared" si="40"/>
        <v>320544.25</v>
      </c>
      <c r="M223" s="66">
        <f t="shared" si="40"/>
        <v>320544.25</v>
      </c>
      <c r="N223" s="66">
        <f t="shared" si="40"/>
        <v>320544.25</v>
      </c>
      <c r="O223" s="66">
        <f t="shared" si="40"/>
        <v>320544.25</v>
      </c>
      <c r="P223" s="66">
        <f t="shared" si="40"/>
        <v>320544.25</v>
      </c>
      <c r="Q223" s="66">
        <f t="shared" si="40"/>
        <v>320544.25</v>
      </c>
    </row>
    <row r="224" spans="1:17" ht="14.5" x14ac:dyDescent="0.35">
      <c r="D224" s="69" t="s">
        <v>368</v>
      </c>
      <c r="E224" s="32">
        <f>'Faculty Members_List'!BY24</f>
        <v>192970.57500000001</v>
      </c>
      <c r="F224" s="32">
        <f>'Faculty Members_List'!BZ24</f>
        <v>192970.57500000001</v>
      </c>
      <c r="G224" s="32">
        <f>'Faculty Members_List'!CA24</f>
        <v>192970.57500000001</v>
      </c>
      <c r="H224" s="32">
        <f>'Faculty Members_List'!CB24</f>
        <v>160808.8125</v>
      </c>
      <c r="I224" s="32">
        <f>'Faculty Members_List'!CC24</f>
        <v>0</v>
      </c>
      <c r="J224" s="32">
        <f>'Faculty Members_List'!CD24</f>
        <v>0</v>
      </c>
      <c r="K224" s="32">
        <f>'Faculty Members_List'!CE24</f>
        <v>0</v>
      </c>
      <c r="L224" s="32">
        <f>'Faculty Members_List'!CF24</f>
        <v>0</v>
      </c>
      <c r="M224" s="32">
        <f>'Faculty Members_List'!CG24</f>
        <v>0</v>
      </c>
      <c r="N224" s="32">
        <f>'Faculty Members_List'!CH24</f>
        <v>0</v>
      </c>
      <c r="O224" s="32">
        <f>'Faculty Members_List'!CI24</f>
        <v>0</v>
      </c>
      <c r="P224" s="32">
        <f>'Faculty Members_List'!CJ24</f>
        <v>0</v>
      </c>
      <c r="Q224" s="32">
        <f>'Faculty Members_List'!CK24</f>
        <v>0</v>
      </c>
    </row>
    <row r="225" spans="4:17" ht="14.5" x14ac:dyDescent="0.35">
      <c r="D225" s="69" t="s">
        <v>369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4:17" ht="14.5" x14ac:dyDescent="0.35">
      <c r="D226" s="69" t="s">
        <v>370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4:17" ht="14.5" x14ac:dyDescent="0.35">
      <c r="D227" s="69" t="s">
        <v>371</v>
      </c>
    </row>
    <row r="228" spans="4:17" ht="14.5" x14ac:dyDescent="0.35">
      <c r="D228" s="69" t="s">
        <v>372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Q204"/>
  <sheetViews>
    <sheetView zoomScale="90" zoomScaleNormal="90" workbookViewId="0">
      <selection sqref="A1:Q193"/>
    </sheetView>
  </sheetViews>
  <sheetFormatPr baseColWidth="10" defaultColWidth="8.90625" defaultRowHeight="12.5" x14ac:dyDescent="0.25"/>
  <cols>
    <col min="2" max="17" width="10" bestFit="1" customWidth="1"/>
  </cols>
  <sheetData>
    <row r="1" spans="1:17" ht="13" x14ac:dyDescent="0.3">
      <c r="A1" s="20" t="s">
        <v>174</v>
      </c>
      <c r="F1" s="21"/>
      <c r="G1" s="21"/>
      <c r="H1" s="21"/>
      <c r="I1" s="21"/>
      <c r="J1" s="21"/>
      <c r="K1" s="21"/>
      <c r="L1" s="21"/>
    </row>
    <row r="2" spans="1:17" ht="13" x14ac:dyDescent="0.3">
      <c r="F2" s="12"/>
      <c r="G2" s="12"/>
      <c r="H2" s="12"/>
      <c r="I2" s="12"/>
      <c r="J2" s="12"/>
      <c r="K2" s="12"/>
      <c r="L2" s="12"/>
    </row>
    <row r="3" spans="1:17" ht="13" x14ac:dyDescent="0.3">
      <c r="B3" s="11"/>
      <c r="C3" s="11"/>
      <c r="D3" s="11"/>
      <c r="E3" s="11"/>
      <c r="F3" s="12"/>
      <c r="G3" s="12"/>
      <c r="H3" s="12"/>
      <c r="I3" s="12"/>
      <c r="J3" s="12"/>
      <c r="K3" s="12"/>
      <c r="L3" s="12"/>
    </row>
    <row r="4" spans="1:17" ht="13" x14ac:dyDescent="0.3">
      <c r="B4" s="3">
        <v>2015</v>
      </c>
      <c r="C4" s="3">
        <v>2016</v>
      </c>
      <c r="D4" s="3">
        <v>2017</v>
      </c>
      <c r="E4" s="3">
        <v>2018</v>
      </c>
      <c r="F4" s="3">
        <v>2019</v>
      </c>
      <c r="G4" s="3">
        <v>2020</v>
      </c>
      <c r="H4" s="3">
        <v>2021</v>
      </c>
      <c r="I4" s="3">
        <v>2022</v>
      </c>
      <c r="J4" s="3">
        <v>2023</v>
      </c>
      <c r="K4" s="3">
        <v>2024</v>
      </c>
      <c r="L4" s="3">
        <v>2025</v>
      </c>
      <c r="M4" s="3">
        <v>2026</v>
      </c>
      <c r="N4" s="3">
        <v>2027</v>
      </c>
      <c r="O4" s="3">
        <v>2028</v>
      </c>
      <c r="P4" s="3">
        <v>2029</v>
      </c>
      <c r="Q4" s="3">
        <v>2030</v>
      </c>
    </row>
    <row r="5" spans="1:17" x14ac:dyDescent="0.25">
      <c r="A5" s="4" t="s">
        <v>133</v>
      </c>
      <c r="B5" s="2">
        <v>21</v>
      </c>
      <c r="C5" s="2">
        <v>20</v>
      </c>
      <c r="D5" s="2">
        <v>22</v>
      </c>
      <c r="E5" s="2">
        <v>21</v>
      </c>
      <c r="F5" s="2">
        <v>18</v>
      </c>
      <c r="G5" s="2">
        <v>14</v>
      </c>
      <c r="H5" s="2">
        <v>11</v>
      </c>
      <c r="I5" s="2">
        <v>7</v>
      </c>
      <c r="J5" s="2">
        <v>3</v>
      </c>
      <c r="K5" s="2">
        <v>2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</row>
    <row r="6" spans="1:17" x14ac:dyDescent="0.25">
      <c r="A6" s="4" t="s">
        <v>134</v>
      </c>
      <c r="B6" s="2">
        <v>25</v>
      </c>
      <c r="C6" s="2">
        <v>26</v>
      </c>
      <c r="D6" s="2">
        <v>27</v>
      </c>
      <c r="E6" s="2">
        <v>27</v>
      </c>
      <c r="F6" s="2">
        <v>27</v>
      </c>
      <c r="G6" s="2">
        <v>24</v>
      </c>
      <c r="H6" s="2">
        <v>24</v>
      </c>
      <c r="I6" s="2">
        <v>23</v>
      </c>
      <c r="J6" s="2">
        <v>25</v>
      </c>
      <c r="K6" s="2">
        <v>23</v>
      </c>
      <c r="L6" s="2">
        <v>21</v>
      </c>
      <c r="M6" s="2">
        <v>17</v>
      </c>
      <c r="N6" s="2">
        <v>14</v>
      </c>
      <c r="O6" s="2">
        <v>10</v>
      </c>
      <c r="P6" s="2">
        <v>7</v>
      </c>
      <c r="Q6" s="2">
        <v>2</v>
      </c>
    </row>
    <row r="7" spans="1:17" x14ac:dyDescent="0.25">
      <c r="A7" s="4" t="s">
        <v>135</v>
      </c>
      <c r="B7" s="2">
        <v>41</v>
      </c>
      <c r="C7" s="2">
        <v>40</v>
      </c>
      <c r="D7" s="2">
        <v>41</v>
      </c>
      <c r="E7" s="2">
        <v>40</v>
      </c>
      <c r="F7" s="2">
        <v>42</v>
      </c>
      <c r="G7" s="2">
        <v>47</v>
      </c>
      <c r="H7" s="2">
        <v>48</v>
      </c>
      <c r="I7" s="2">
        <v>50</v>
      </c>
      <c r="J7" s="2">
        <v>48</v>
      </c>
      <c r="K7" s="2">
        <v>49</v>
      </c>
      <c r="L7" s="2">
        <v>52</v>
      </c>
      <c r="M7" s="2">
        <v>56</v>
      </c>
      <c r="N7" s="2">
        <v>57</v>
      </c>
      <c r="O7" s="2">
        <v>58</v>
      </c>
      <c r="P7" s="2">
        <v>58</v>
      </c>
      <c r="Q7" s="2">
        <v>62</v>
      </c>
    </row>
    <row r="8" spans="1:17" x14ac:dyDescent="0.25">
      <c r="A8" s="5" t="s">
        <v>130</v>
      </c>
      <c r="B8" s="2">
        <v>2</v>
      </c>
      <c r="C8" s="2">
        <v>2</v>
      </c>
      <c r="D8" s="2">
        <v>1</v>
      </c>
      <c r="E8" s="2">
        <v>1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>
        <v>1</v>
      </c>
      <c r="L8" s="2">
        <v>1</v>
      </c>
      <c r="M8" s="2">
        <v>1</v>
      </c>
      <c r="N8" s="2">
        <v>1</v>
      </c>
      <c r="O8" s="2">
        <v>1</v>
      </c>
      <c r="P8" s="2">
        <v>1</v>
      </c>
      <c r="Q8" s="2">
        <v>1</v>
      </c>
    </row>
    <row r="9" spans="1:17" x14ac:dyDescent="0.25">
      <c r="A9" s="5" t="s">
        <v>131</v>
      </c>
      <c r="B9" s="2">
        <v>20</v>
      </c>
      <c r="C9" s="2">
        <v>19</v>
      </c>
      <c r="D9" s="2">
        <v>18</v>
      </c>
      <c r="E9" s="2">
        <v>17</v>
      </c>
      <c r="F9" s="2">
        <v>15</v>
      </c>
      <c r="G9" s="2">
        <v>15</v>
      </c>
      <c r="H9" s="2">
        <v>14</v>
      </c>
      <c r="I9" s="2">
        <v>13</v>
      </c>
      <c r="J9" s="2">
        <v>10</v>
      </c>
      <c r="K9" s="2">
        <v>8</v>
      </c>
      <c r="L9" s="2">
        <v>8</v>
      </c>
      <c r="M9" s="2">
        <v>8</v>
      </c>
      <c r="N9" s="2">
        <v>8</v>
      </c>
      <c r="O9" s="2">
        <v>6</v>
      </c>
      <c r="P9" s="2">
        <v>5</v>
      </c>
      <c r="Q9" s="2">
        <v>4</v>
      </c>
    </row>
    <row r="10" spans="1:17" x14ac:dyDescent="0.25">
      <c r="A10" s="5" t="s">
        <v>132</v>
      </c>
      <c r="B10" s="2">
        <v>5</v>
      </c>
      <c r="C10" s="2">
        <v>5</v>
      </c>
      <c r="D10" s="2">
        <v>5</v>
      </c>
      <c r="E10" s="2">
        <v>5</v>
      </c>
      <c r="F10" s="2">
        <v>5</v>
      </c>
      <c r="G10" s="2">
        <v>5</v>
      </c>
      <c r="H10" s="2">
        <v>5</v>
      </c>
      <c r="I10" s="2">
        <v>5</v>
      </c>
      <c r="J10" s="2">
        <v>5</v>
      </c>
      <c r="K10" s="2">
        <v>5</v>
      </c>
      <c r="L10" s="2">
        <v>5</v>
      </c>
      <c r="M10" s="2">
        <v>5</v>
      </c>
      <c r="N10" s="2">
        <v>4</v>
      </c>
      <c r="O10" s="2">
        <v>4</v>
      </c>
      <c r="P10" s="2">
        <v>4</v>
      </c>
      <c r="Q10" s="2">
        <v>4</v>
      </c>
    </row>
    <row r="11" spans="1:17" x14ac:dyDescent="0.25">
      <c r="A11" s="5" t="s">
        <v>129</v>
      </c>
      <c r="B11" s="2">
        <v>26</v>
      </c>
      <c r="C11" s="2">
        <v>27</v>
      </c>
      <c r="D11" s="2">
        <v>26</v>
      </c>
      <c r="E11" s="2">
        <v>26</v>
      </c>
      <c r="F11" s="2">
        <v>24</v>
      </c>
      <c r="G11" s="2">
        <v>24</v>
      </c>
      <c r="H11" s="2">
        <v>23</v>
      </c>
      <c r="I11" s="2">
        <v>22</v>
      </c>
      <c r="J11" s="2">
        <v>21</v>
      </c>
      <c r="K11" s="2">
        <v>21</v>
      </c>
      <c r="L11" s="2">
        <v>20</v>
      </c>
      <c r="M11" s="2">
        <v>18</v>
      </c>
      <c r="N11" s="2">
        <v>16</v>
      </c>
      <c r="O11" s="2">
        <v>15</v>
      </c>
      <c r="P11" s="2">
        <v>15</v>
      </c>
      <c r="Q11" s="2">
        <v>10</v>
      </c>
    </row>
    <row r="12" spans="1:17" x14ac:dyDescent="0.25">
      <c r="A12" s="5" t="s">
        <v>137</v>
      </c>
      <c r="B12" s="2">
        <v>3</v>
      </c>
      <c r="C12" s="2">
        <v>3</v>
      </c>
      <c r="D12" s="2">
        <v>3</v>
      </c>
      <c r="E12" s="2">
        <v>3</v>
      </c>
      <c r="F12" s="2">
        <v>3</v>
      </c>
      <c r="G12" s="2">
        <v>3</v>
      </c>
      <c r="H12" s="2">
        <v>3</v>
      </c>
      <c r="I12" s="2">
        <v>3</v>
      </c>
      <c r="J12" s="2">
        <v>3</v>
      </c>
      <c r="K12" s="2">
        <v>2</v>
      </c>
      <c r="L12" s="2">
        <v>2</v>
      </c>
      <c r="M12" s="2">
        <v>2</v>
      </c>
      <c r="N12" s="2">
        <v>2</v>
      </c>
      <c r="O12" s="2">
        <v>2</v>
      </c>
      <c r="P12" s="2">
        <v>2</v>
      </c>
      <c r="Q12" s="2">
        <v>2</v>
      </c>
    </row>
    <row r="13" spans="1:17" ht="13" x14ac:dyDescent="0.3">
      <c r="F13" s="12"/>
      <c r="G13" s="12"/>
      <c r="H13" s="12"/>
      <c r="I13" s="12"/>
      <c r="J13" s="12"/>
      <c r="K13" s="12"/>
    </row>
    <row r="14" spans="1:17" ht="13" x14ac:dyDescent="0.3">
      <c r="A14" s="6" t="s">
        <v>154</v>
      </c>
      <c r="B14" s="3">
        <v>143</v>
      </c>
      <c r="C14" s="3">
        <v>142</v>
      </c>
      <c r="D14" s="3">
        <v>143</v>
      </c>
      <c r="E14" s="3">
        <v>140</v>
      </c>
      <c r="F14" s="3">
        <v>135</v>
      </c>
      <c r="G14" s="3">
        <v>133</v>
      </c>
      <c r="H14" s="3">
        <v>129</v>
      </c>
      <c r="I14" s="3">
        <v>124</v>
      </c>
      <c r="J14" s="3">
        <v>116</v>
      </c>
      <c r="K14" s="3">
        <v>111</v>
      </c>
      <c r="L14" s="3">
        <v>109</v>
      </c>
      <c r="M14" s="3">
        <v>107</v>
      </c>
      <c r="N14" s="3">
        <v>102</v>
      </c>
      <c r="O14" s="3">
        <v>96</v>
      </c>
      <c r="P14" s="3">
        <v>92</v>
      </c>
      <c r="Q14" s="3">
        <v>85</v>
      </c>
    </row>
    <row r="15" spans="1:17" ht="13" x14ac:dyDescent="0.3">
      <c r="F15" s="12"/>
      <c r="G15" s="12"/>
      <c r="H15" s="12"/>
      <c r="I15" s="12"/>
      <c r="J15" s="12"/>
      <c r="K15" s="12"/>
      <c r="L15" s="12"/>
    </row>
    <row r="16" spans="1:17" ht="13" x14ac:dyDescent="0.3">
      <c r="A16" t="s">
        <v>275</v>
      </c>
      <c r="B16">
        <v>3</v>
      </c>
      <c r="C16">
        <v>4</v>
      </c>
      <c r="D16">
        <v>4</v>
      </c>
      <c r="E16">
        <v>1</v>
      </c>
      <c r="F16" s="12">
        <v>1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ht="13" x14ac:dyDescent="0.3">
      <c r="F17" s="12"/>
      <c r="G17" s="12"/>
      <c r="H17" s="12"/>
      <c r="I17" s="12"/>
      <c r="J17" s="12"/>
      <c r="K17" s="12"/>
      <c r="L17" s="12"/>
    </row>
    <row r="18" spans="1:17" x14ac:dyDescent="0.25">
      <c r="A18" s="7" t="s">
        <v>161</v>
      </c>
      <c r="B18" s="7">
        <v>41</v>
      </c>
      <c r="C18" s="7">
        <v>40</v>
      </c>
      <c r="D18" s="7">
        <v>41</v>
      </c>
      <c r="E18" s="7">
        <v>40</v>
      </c>
      <c r="F18" s="7">
        <v>42</v>
      </c>
      <c r="G18" s="7">
        <v>47</v>
      </c>
      <c r="H18" s="7">
        <v>48</v>
      </c>
      <c r="I18" s="7">
        <v>50</v>
      </c>
      <c r="J18" s="7">
        <v>48</v>
      </c>
      <c r="K18" s="7">
        <v>49</v>
      </c>
      <c r="L18" s="7">
        <v>52</v>
      </c>
      <c r="M18" s="7">
        <v>56</v>
      </c>
      <c r="N18" s="7">
        <v>57</v>
      </c>
      <c r="O18" s="7">
        <v>58</v>
      </c>
      <c r="P18" s="7">
        <v>58</v>
      </c>
      <c r="Q18" s="7">
        <v>62</v>
      </c>
    </row>
    <row r="19" spans="1:17" x14ac:dyDescent="0.25">
      <c r="A19" s="8" t="s">
        <v>162</v>
      </c>
      <c r="B19" s="8">
        <v>25</v>
      </c>
      <c r="C19" s="8">
        <v>26</v>
      </c>
      <c r="D19" s="8">
        <v>27</v>
      </c>
      <c r="E19" s="8">
        <v>27</v>
      </c>
      <c r="F19" s="8">
        <v>27</v>
      </c>
      <c r="G19" s="8">
        <v>24</v>
      </c>
      <c r="H19" s="8">
        <v>24</v>
      </c>
      <c r="I19" s="8">
        <v>23</v>
      </c>
      <c r="J19" s="8">
        <v>25</v>
      </c>
      <c r="K19" s="8">
        <v>23</v>
      </c>
      <c r="L19" s="8">
        <v>21</v>
      </c>
      <c r="M19" s="8">
        <v>17</v>
      </c>
      <c r="N19" s="8">
        <v>14</v>
      </c>
      <c r="O19" s="8">
        <v>10</v>
      </c>
      <c r="P19" s="8">
        <v>7</v>
      </c>
      <c r="Q19" s="8">
        <v>2</v>
      </c>
    </row>
    <row r="20" spans="1:17" x14ac:dyDescent="0.25">
      <c r="A20" s="9" t="s">
        <v>163</v>
      </c>
      <c r="B20" s="9">
        <v>21</v>
      </c>
      <c r="C20" s="9">
        <v>20</v>
      </c>
      <c r="D20" s="9">
        <v>22</v>
      </c>
      <c r="E20" s="9">
        <v>21</v>
      </c>
      <c r="F20" s="9">
        <v>18</v>
      </c>
      <c r="G20" s="9">
        <v>14</v>
      </c>
      <c r="H20" s="9">
        <v>11</v>
      </c>
      <c r="I20" s="9">
        <v>7</v>
      </c>
      <c r="J20" s="9">
        <v>3</v>
      </c>
      <c r="K20" s="9">
        <v>2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</row>
    <row r="21" spans="1:17" x14ac:dyDescent="0.25">
      <c r="A21" t="s">
        <v>130</v>
      </c>
      <c r="B21">
        <v>2</v>
      </c>
      <c r="C21">
        <v>2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</row>
    <row r="22" spans="1:17" x14ac:dyDescent="0.25">
      <c r="A22" t="s">
        <v>255</v>
      </c>
      <c r="B22">
        <v>25</v>
      </c>
      <c r="C22">
        <v>24</v>
      </c>
      <c r="D22">
        <v>23</v>
      </c>
      <c r="E22">
        <v>22</v>
      </c>
      <c r="F22">
        <v>20</v>
      </c>
      <c r="G22">
        <v>20</v>
      </c>
      <c r="H22">
        <v>19</v>
      </c>
      <c r="I22">
        <v>18</v>
      </c>
      <c r="J22">
        <v>15</v>
      </c>
      <c r="K22">
        <v>13</v>
      </c>
      <c r="L22">
        <v>13</v>
      </c>
      <c r="M22">
        <v>13</v>
      </c>
      <c r="N22">
        <v>12</v>
      </c>
      <c r="O22">
        <v>10</v>
      </c>
      <c r="P22">
        <v>9</v>
      </c>
      <c r="Q22">
        <v>8</v>
      </c>
    </row>
    <row r="23" spans="1:17" x14ac:dyDescent="0.25">
      <c r="A23" t="s">
        <v>254</v>
      </c>
      <c r="B23">
        <v>29</v>
      </c>
      <c r="C23">
        <v>30</v>
      </c>
      <c r="D23">
        <v>29</v>
      </c>
      <c r="E23">
        <v>29</v>
      </c>
      <c r="F23">
        <v>27</v>
      </c>
      <c r="G23">
        <v>27</v>
      </c>
      <c r="H23">
        <v>26</v>
      </c>
      <c r="I23">
        <v>25</v>
      </c>
      <c r="J23">
        <v>24</v>
      </c>
      <c r="K23">
        <v>23</v>
      </c>
      <c r="L23">
        <v>22</v>
      </c>
      <c r="M23">
        <v>20</v>
      </c>
      <c r="N23">
        <v>18</v>
      </c>
      <c r="O23">
        <v>17</v>
      </c>
      <c r="P23">
        <v>17</v>
      </c>
      <c r="Q23">
        <v>12</v>
      </c>
    </row>
    <row r="24" spans="1:17" ht="13" x14ac:dyDescent="0.3">
      <c r="A24" s="6" t="s">
        <v>164</v>
      </c>
      <c r="B24" s="3">
        <v>143</v>
      </c>
      <c r="C24" s="3">
        <v>142</v>
      </c>
      <c r="D24" s="3">
        <v>143</v>
      </c>
      <c r="E24" s="3">
        <v>140</v>
      </c>
      <c r="F24" s="3">
        <v>135</v>
      </c>
      <c r="G24" s="3">
        <v>133</v>
      </c>
      <c r="H24" s="3">
        <v>129</v>
      </c>
      <c r="I24" s="3">
        <v>124</v>
      </c>
      <c r="J24" s="3">
        <v>116</v>
      </c>
      <c r="K24" s="3">
        <v>111</v>
      </c>
      <c r="L24" s="3">
        <v>109</v>
      </c>
      <c r="M24" s="3">
        <v>107</v>
      </c>
      <c r="N24" s="3">
        <v>102</v>
      </c>
      <c r="O24" s="3">
        <v>96</v>
      </c>
      <c r="P24" s="3">
        <v>92</v>
      </c>
      <c r="Q24" s="3">
        <v>85</v>
      </c>
    </row>
    <row r="25" spans="1:17" ht="13" x14ac:dyDescent="0.3">
      <c r="F25" s="12"/>
      <c r="G25" s="12"/>
      <c r="H25" s="12"/>
      <c r="I25" s="12"/>
      <c r="J25" s="12"/>
      <c r="K25" s="12"/>
      <c r="L25" s="12"/>
    </row>
    <row r="26" spans="1:17" ht="13" x14ac:dyDescent="0.3">
      <c r="F26" s="12"/>
      <c r="G26" s="12"/>
      <c r="H26" s="12"/>
      <c r="I26" s="12"/>
      <c r="J26" s="12"/>
      <c r="K26" s="12"/>
      <c r="L26" s="12"/>
    </row>
    <row r="27" spans="1:17" ht="13" x14ac:dyDescent="0.3">
      <c r="F27" s="12"/>
      <c r="G27" s="12"/>
      <c r="H27" s="12"/>
      <c r="I27" s="12"/>
      <c r="J27" s="12"/>
      <c r="K27" s="12"/>
      <c r="L27" s="12"/>
    </row>
    <row r="28" spans="1:17" ht="13" x14ac:dyDescent="0.3">
      <c r="A28" t="s">
        <v>175</v>
      </c>
      <c r="F28" s="12"/>
      <c r="G28" s="12"/>
      <c r="H28" s="12"/>
      <c r="I28" s="12"/>
      <c r="J28" s="12"/>
      <c r="K28" s="12"/>
      <c r="L28" s="12"/>
    </row>
    <row r="29" spans="1:17" ht="13" x14ac:dyDescent="0.3">
      <c r="F29" s="12"/>
      <c r="G29" s="12"/>
      <c r="H29" s="12"/>
      <c r="I29" s="12"/>
      <c r="J29" s="12"/>
      <c r="K29" s="12"/>
      <c r="L29" s="12"/>
    </row>
    <row r="30" spans="1:17" ht="13" x14ac:dyDescent="0.3">
      <c r="B30" s="3">
        <v>2015</v>
      </c>
      <c r="C30" s="3">
        <v>2016</v>
      </c>
      <c r="D30" s="3">
        <v>2017</v>
      </c>
      <c r="E30" s="3">
        <v>2018</v>
      </c>
      <c r="F30" s="3">
        <v>2019</v>
      </c>
      <c r="G30" s="3">
        <v>2020</v>
      </c>
      <c r="H30" s="3">
        <v>2021</v>
      </c>
      <c r="I30" s="3">
        <v>2022</v>
      </c>
      <c r="J30" s="3">
        <v>2023</v>
      </c>
      <c r="K30" s="3">
        <v>2024</v>
      </c>
      <c r="L30" s="3">
        <v>2025</v>
      </c>
      <c r="M30" s="3">
        <v>2026</v>
      </c>
      <c r="N30" s="3">
        <v>2027</v>
      </c>
      <c r="O30" s="3">
        <v>2028</v>
      </c>
      <c r="P30" s="3">
        <v>2029</v>
      </c>
      <c r="Q30" s="3">
        <v>2030</v>
      </c>
    </row>
    <row r="31" spans="1:17" x14ac:dyDescent="0.25">
      <c r="A31" s="4" t="s">
        <v>133</v>
      </c>
      <c r="B31" s="2">
        <v>6</v>
      </c>
      <c r="C31" s="2">
        <v>7</v>
      </c>
      <c r="D31" s="2">
        <v>8</v>
      </c>
      <c r="E31" s="2">
        <v>7</v>
      </c>
      <c r="F31" s="2">
        <v>5</v>
      </c>
      <c r="G31" s="2">
        <v>5</v>
      </c>
      <c r="H31" s="2">
        <v>4</v>
      </c>
      <c r="I31" s="2">
        <v>2</v>
      </c>
      <c r="J31" s="2">
        <v>1</v>
      </c>
      <c r="K31" s="2">
        <v>1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</row>
    <row r="32" spans="1:17" x14ac:dyDescent="0.25">
      <c r="A32" s="4" t="s">
        <v>134</v>
      </c>
      <c r="B32" s="2">
        <v>5</v>
      </c>
      <c r="C32" s="2">
        <v>6</v>
      </c>
      <c r="D32" s="2">
        <v>6</v>
      </c>
      <c r="E32" s="2">
        <v>7</v>
      </c>
      <c r="F32" s="2">
        <v>8</v>
      </c>
      <c r="G32" s="2">
        <v>8</v>
      </c>
      <c r="H32" s="2">
        <v>8</v>
      </c>
      <c r="I32" s="2">
        <v>9</v>
      </c>
      <c r="J32" s="2">
        <v>10</v>
      </c>
      <c r="K32" s="2">
        <v>9</v>
      </c>
      <c r="L32" s="2">
        <v>7</v>
      </c>
      <c r="M32" s="2">
        <v>5</v>
      </c>
      <c r="N32" s="2">
        <v>5</v>
      </c>
      <c r="O32" s="2">
        <v>4</v>
      </c>
      <c r="P32" s="2">
        <v>2</v>
      </c>
      <c r="Q32" s="2">
        <v>1</v>
      </c>
    </row>
    <row r="33" spans="1:17" x14ac:dyDescent="0.25">
      <c r="A33" s="4" t="s">
        <v>135</v>
      </c>
      <c r="B33" s="2">
        <v>4</v>
      </c>
      <c r="C33" s="2">
        <v>3</v>
      </c>
      <c r="D33" s="2">
        <v>4</v>
      </c>
      <c r="E33" s="2">
        <v>4</v>
      </c>
      <c r="F33" s="2">
        <v>6</v>
      </c>
      <c r="G33" s="2">
        <v>6</v>
      </c>
      <c r="H33" s="2">
        <v>7</v>
      </c>
      <c r="I33" s="2">
        <v>8</v>
      </c>
      <c r="J33" s="2">
        <v>7</v>
      </c>
      <c r="K33" s="2">
        <v>8</v>
      </c>
      <c r="L33" s="2">
        <v>11</v>
      </c>
      <c r="M33" s="2">
        <v>13</v>
      </c>
      <c r="N33" s="2">
        <v>13</v>
      </c>
      <c r="O33" s="2">
        <v>14</v>
      </c>
      <c r="P33" s="2">
        <v>15</v>
      </c>
      <c r="Q33" s="2">
        <v>16</v>
      </c>
    </row>
    <row r="34" spans="1:17" x14ac:dyDescent="0.25">
      <c r="A34" s="5" t="s">
        <v>130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</row>
    <row r="35" spans="1:17" x14ac:dyDescent="0.25">
      <c r="A35" s="5" t="s">
        <v>131</v>
      </c>
      <c r="B35" s="2">
        <v>3</v>
      </c>
      <c r="C35" s="2">
        <v>3</v>
      </c>
      <c r="D35" s="2">
        <v>2</v>
      </c>
      <c r="E35" s="2">
        <v>2</v>
      </c>
      <c r="F35" s="2">
        <v>2</v>
      </c>
      <c r="G35" s="2">
        <v>2</v>
      </c>
      <c r="H35" s="2">
        <v>2</v>
      </c>
      <c r="I35" s="2">
        <v>1</v>
      </c>
      <c r="J35" s="2">
        <v>1</v>
      </c>
      <c r="K35" s="2">
        <v>1</v>
      </c>
      <c r="L35" s="2">
        <v>1</v>
      </c>
      <c r="M35" s="2">
        <v>1</v>
      </c>
      <c r="N35" s="2">
        <v>1</v>
      </c>
      <c r="O35" s="2">
        <v>0</v>
      </c>
      <c r="P35" s="2">
        <v>0</v>
      </c>
      <c r="Q35" s="2">
        <v>0</v>
      </c>
    </row>
    <row r="36" spans="1:17" x14ac:dyDescent="0.25">
      <c r="A36" s="5" t="s">
        <v>132</v>
      </c>
      <c r="B36" s="2">
        <v>1</v>
      </c>
      <c r="C36" s="2">
        <v>1</v>
      </c>
      <c r="D36" s="2">
        <v>1</v>
      </c>
      <c r="E36" s="2">
        <v>1</v>
      </c>
      <c r="F36" s="2">
        <v>1</v>
      </c>
      <c r="G36" s="2">
        <v>1</v>
      </c>
      <c r="H36" s="2">
        <v>1</v>
      </c>
      <c r="I36" s="2">
        <v>1</v>
      </c>
      <c r="J36" s="2">
        <v>1</v>
      </c>
      <c r="K36" s="2">
        <v>1</v>
      </c>
      <c r="L36" s="2">
        <v>1</v>
      </c>
      <c r="M36" s="2">
        <v>1</v>
      </c>
      <c r="N36" s="2">
        <v>1</v>
      </c>
      <c r="O36" s="2">
        <v>1</v>
      </c>
      <c r="P36" s="2">
        <v>1</v>
      </c>
      <c r="Q36" s="2">
        <v>1</v>
      </c>
    </row>
    <row r="37" spans="1:17" x14ac:dyDescent="0.25">
      <c r="A37" s="5" t="s">
        <v>129</v>
      </c>
      <c r="B37" s="2">
        <v>2</v>
      </c>
      <c r="C37" s="2">
        <v>1</v>
      </c>
      <c r="D37" s="2">
        <v>1</v>
      </c>
      <c r="E37" s="2">
        <v>1</v>
      </c>
      <c r="F37" s="2">
        <v>1</v>
      </c>
      <c r="G37" s="2">
        <v>1</v>
      </c>
      <c r="H37" s="2">
        <v>1</v>
      </c>
      <c r="I37" s="2">
        <v>1</v>
      </c>
      <c r="J37" s="2">
        <v>1</v>
      </c>
      <c r="K37" s="2">
        <v>1</v>
      </c>
      <c r="L37" s="2">
        <v>1</v>
      </c>
      <c r="M37" s="2">
        <v>1</v>
      </c>
      <c r="N37" s="2">
        <v>1</v>
      </c>
      <c r="O37" s="2">
        <v>1</v>
      </c>
      <c r="P37" s="2">
        <v>1</v>
      </c>
      <c r="Q37" s="2">
        <v>1</v>
      </c>
    </row>
    <row r="38" spans="1:17" x14ac:dyDescent="0.25">
      <c r="A38" s="5" t="s">
        <v>137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</row>
    <row r="39" spans="1:17" ht="13" x14ac:dyDescent="0.3">
      <c r="F39" s="12"/>
      <c r="G39" s="12"/>
      <c r="H39" s="12"/>
      <c r="I39" s="12"/>
      <c r="J39" s="12"/>
      <c r="K39" s="12"/>
    </row>
    <row r="40" spans="1:17" ht="13" x14ac:dyDescent="0.3">
      <c r="A40" s="6" t="s">
        <v>154</v>
      </c>
      <c r="B40" s="3">
        <v>21</v>
      </c>
      <c r="C40" s="3">
        <v>21</v>
      </c>
      <c r="D40" s="3">
        <v>22</v>
      </c>
      <c r="E40" s="3">
        <v>22</v>
      </c>
      <c r="F40" s="3">
        <v>23</v>
      </c>
      <c r="G40" s="3">
        <v>23</v>
      </c>
      <c r="H40" s="3">
        <v>23</v>
      </c>
      <c r="I40" s="3">
        <v>22</v>
      </c>
      <c r="J40" s="3">
        <v>21</v>
      </c>
      <c r="K40" s="3">
        <v>21</v>
      </c>
      <c r="L40" s="3">
        <v>21</v>
      </c>
      <c r="M40" s="3">
        <v>21</v>
      </c>
      <c r="N40" s="3">
        <v>21</v>
      </c>
      <c r="O40" s="3">
        <v>20</v>
      </c>
      <c r="P40" s="3">
        <v>19</v>
      </c>
      <c r="Q40" s="3">
        <v>19</v>
      </c>
    </row>
    <row r="41" spans="1:17" ht="13" x14ac:dyDescent="0.3">
      <c r="F41" s="12"/>
      <c r="G41" s="12"/>
      <c r="H41" s="12"/>
      <c r="I41" s="12"/>
      <c r="J41" s="12"/>
      <c r="K41" s="12"/>
    </row>
    <row r="42" spans="1:17" ht="13" x14ac:dyDescent="0.3">
      <c r="F42" s="12"/>
      <c r="G42" s="12"/>
      <c r="H42" s="12"/>
      <c r="I42" s="12"/>
      <c r="J42" s="12"/>
      <c r="K42" s="12"/>
      <c r="L42" s="12"/>
    </row>
    <row r="43" spans="1:17" ht="13" x14ac:dyDescent="0.3">
      <c r="F43" s="12"/>
      <c r="G43" s="12"/>
      <c r="H43" s="12"/>
      <c r="I43" s="12"/>
      <c r="J43" s="12"/>
      <c r="K43" s="12"/>
      <c r="L43" s="12"/>
    </row>
    <row r="44" spans="1:17" ht="13" x14ac:dyDescent="0.3">
      <c r="A44" t="s">
        <v>176</v>
      </c>
      <c r="F44" s="12"/>
      <c r="G44" s="12"/>
      <c r="H44" s="12"/>
      <c r="I44" s="12"/>
      <c r="J44" s="12"/>
      <c r="K44" s="12"/>
      <c r="L44" s="12"/>
    </row>
    <row r="45" spans="1:17" ht="13" x14ac:dyDescent="0.3">
      <c r="F45" s="12"/>
      <c r="G45" s="12"/>
      <c r="H45" s="12"/>
      <c r="I45" s="12"/>
      <c r="J45" s="12"/>
      <c r="K45" s="12"/>
      <c r="L45" s="12"/>
    </row>
    <row r="46" spans="1:17" ht="13" x14ac:dyDescent="0.3">
      <c r="B46" s="3">
        <v>2015</v>
      </c>
      <c r="C46" s="3">
        <v>2016</v>
      </c>
      <c r="D46" s="3">
        <v>2017</v>
      </c>
      <c r="E46" s="3">
        <v>2018</v>
      </c>
      <c r="F46" s="3">
        <v>2019</v>
      </c>
      <c r="G46" s="3">
        <v>2020</v>
      </c>
      <c r="H46" s="3">
        <v>2021</v>
      </c>
      <c r="I46" s="3">
        <v>2022</v>
      </c>
      <c r="J46" s="3">
        <v>2023</v>
      </c>
      <c r="K46" s="3">
        <v>2024</v>
      </c>
      <c r="L46" s="3">
        <v>2025</v>
      </c>
      <c r="M46" s="3">
        <v>2026</v>
      </c>
      <c r="N46" s="3">
        <v>2027</v>
      </c>
      <c r="O46" s="3">
        <v>2028</v>
      </c>
      <c r="P46" s="3">
        <v>2029</v>
      </c>
      <c r="Q46" s="3">
        <v>2030</v>
      </c>
    </row>
    <row r="47" spans="1:17" x14ac:dyDescent="0.25">
      <c r="A47" s="4" t="s">
        <v>133</v>
      </c>
      <c r="B47" s="2">
        <v>15</v>
      </c>
      <c r="C47" s="2">
        <v>13</v>
      </c>
      <c r="D47" s="2">
        <v>14</v>
      </c>
      <c r="E47" s="2">
        <v>14</v>
      </c>
      <c r="F47" s="2">
        <v>13</v>
      </c>
      <c r="G47" s="2">
        <v>9</v>
      </c>
      <c r="H47" s="2">
        <v>7</v>
      </c>
      <c r="I47" s="2">
        <v>5</v>
      </c>
      <c r="J47" s="2">
        <v>2</v>
      </c>
      <c r="K47" s="2">
        <v>1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</row>
    <row r="48" spans="1:17" x14ac:dyDescent="0.25">
      <c r="A48" s="4" t="s">
        <v>134</v>
      </c>
      <c r="B48" s="2">
        <v>20</v>
      </c>
      <c r="C48" s="2">
        <v>20</v>
      </c>
      <c r="D48" s="2">
        <v>21</v>
      </c>
      <c r="E48" s="2">
        <v>20</v>
      </c>
      <c r="F48" s="2">
        <v>19</v>
      </c>
      <c r="G48" s="2">
        <v>16</v>
      </c>
      <c r="H48" s="2">
        <v>16</v>
      </c>
      <c r="I48" s="2">
        <v>14</v>
      </c>
      <c r="J48" s="2">
        <v>15</v>
      </c>
      <c r="K48" s="2">
        <v>14</v>
      </c>
      <c r="L48" s="2">
        <v>14</v>
      </c>
      <c r="M48" s="2">
        <v>12</v>
      </c>
      <c r="N48" s="2">
        <v>9</v>
      </c>
      <c r="O48" s="2">
        <v>6</v>
      </c>
      <c r="P48" s="2">
        <v>5</v>
      </c>
      <c r="Q48" s="2">
        <v>1</v>
      </c>
    </row>
    <row r="49" spans="1:17" x14ac:dyDescent="0.25">
      <c r="A49" s="4" t="s">
        <v>135</v>
      </c>
      <c r="B49" s="2">
        <v>37</v>
      </c>
      <c r="C49" s="2">
        <v>37</v>
      </c>
      <c r="D49" s="2">
        <v>37</v>
      </c>
      <c r="E49" s="2">
        <v>36</v>
      </c>
      <c r="F49" s="2">
        <v>36</v>
      </c>
      <c r="G49" s="2">
        <v>41</v>
      </c>
      <c r="H49" s="2">
        <v>41</v>
      </c>
      <c r="I49" s="2">
        <v>42</v>
      </c>
      <c r="J49" s="2">
        <v>41</v>
      </c>
      <c r="K49" s="2">
        <v>41</v>
      </c>
      <c r="L49" s="2">
        <v>41</v>
      </c>
      <c r="M49" s="2">
        <v>43</v>
      </c>
      <c r="N49" s="2">
        <v>44</v>
      </c>
      <c r="O49" s="2">
        <v>44</v>
      </c>
      <c r="P49" s="2">
        <v>43</v>
      </c>
      <c r="Q49" s="2">
        <v>46</v>
      </c>
    </row>
    <row r="50" spans="1:17" x14ac:dyDescent="0.25">
      <c r="A50" s="5" t="s">
        <v>130</v>
      </c>
      <c r="B50" s="2">
        <v>2</v>
      </c>
      <c r="C50" s="2">
        <v>2</v>
      </c>
      <c r="D50" s="2">
        <v>1</v>
      </c>
      <c r="E50" s="2">
        <v>1</v>
      </c>
      <c r="F50" s="2">
        <v>1</v>
      </c>
      <c r="G50" s="2">
        <v>1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1</v>
      </c>
      <c r="N50" s="2">
        <v>1</v>
      </c>
      <c r="O50" s="2">
        <v>1</v>
      </c>
      <c r="P50" s="2">
        <v>1</v>
      </c>
      <c r="Q50" s="2">
        <v>1</v>
      </c>
    </row>
    <row r="51" spans="1:17" x14ac:dyDescent="0.25">
      <c r="A51" s="5" t="s">
        <v>131</v>
      </c>
      <c r="B51" s="2">
        <v>17</v>
      </c>
      <c r="C51" s="2">
        <v>16</v>
      </c>
      <c r="D51" s="2">
        <v>16</v>
      </c>
      <c r="E51" s="2">
        <v>15</v>
      </c>
      <c r="F51" s="2">
        <v>13</v>
      </c>
      <c r="G51" s="2">
        <v>13</v>
      </c>
      <c r="H51" s="2">
        <v>12</v>
      </c>
      <c r="I51" s="2">
        <v>12</v>
      </c>
      <c r="J51" s="2">
        <v>9</v>
      </c>
      <c r="K51" s="2">
        <v>7</v>
      </c>
      <c r="L51" s="2">
        <v>7</v>
      </c>
      <c r="M51" s="2">
        <v>7</v>
      </c>
      <c r="N51" s="2">
        <v>7</v>
      </c>
      <c r="O51" s="2">
        <v>6</v>
      </c>
      <c r="P51" s="2">
        <v>5</v>
      </c>
      <c r="Q51" s="2">
        <v>4</v>
      </c>
    </row>
    <row r="52" spans="1:17" x14ac:dyDescent="0.25">
      <c r="A52" s="5" t="s">
        <v>132</v>
      </c>
      <c r="B52" s="2">
        <v>4</v>
      </c>
      <c r="C52" s="2">
        <v>4</v>
      </c>
      <c r="D52" s="2">
        <v>4</v>
      </c>
      <c r="E52" s="2">
        <v>4</v>
      </c>
      <c r="F52" s="2">
        <v>4</v>
      </c>
      <c r="G52" s="2">
        <v>4</v>
      </c>
      <c r="H52" s="2">
        <v>4</v>
      </c>
      <c r="I52" s="2">
        <v>4</v>
      </c>
      <c r="J52" s="2">
        <v>4</v>
      </c>
      <c r="K52" s="2">
        <v>4</v>
      </c>
      <c r="L52" s="2">
        <v>4</v>
      </c>
      <c r="M52" s="2">
        <v>4</v>
      </c>
      <c r="N52" s="2">
        <v>3</v>
      </c>
      <c r="O52" s="2">
        <v>3</v>
      </c>
      <c r="P52" s="2">
        <v>3</v>
      </c>
      <c r="Q52" s="2">
        <v>3</v>
      </c>
    </row>
    <row r="53" spans="1:17" x14ac:dyDescent="0.25">
      <c r="A53" s="5" t="s">
        <v>129</v>
      </c>
      <c r="B53" s="2">
        <v>24</v>
      </c>
      <c r="C53" s="2">
        <v>26</v>
      </c>
      <c r="D53" s="2">
        <v>25</v>
      </c>
      <c r="E53" s="2">
        <v>25</v>
      </c>
      <c r="F53" s="2">
        <v>23</v>
      </c>
      <c r="G53" s="2">
        <v>23</v>
      </c>
      <c r="H53" s="2">
        <v>22</v>
      </c>
      <c r="I53" s="2">
        <v>21</v>
      </c>
      <c r="J53" s="2">
        <v>20</v>
      </c>
      <c r="K53" s="2">
        <v>20</v>
      </c>
      <c r="L53" s="2">
        <v>19</v>
      </c>
      <c r="M53" s="2">
        <v>17</v>
      </c>
      <c r="N53" s="2">
        <v>15</v>
      </c>
      <c r="O53" s="2">
        <v>14</v>
      </c>
      <c r="P53" s="2">
        <v>14</v>
      </c>
      <c r="Q53" s="2">
        <v>9</v>
      </c>
    </row>
    <row r="54" spans="1:17" x14ac:dyDescent="0.25">
      <c r="A54" s="5" t="s">
        <v>137</v>
      </c>
      <c r="B54" s="2">
        <v>3</v>
      </c>
      <c r="C54" s="2">
        <v>3</v>
      </c>
      <c r="D54" s="2">
        <v>3</v>
      </c>
      <c r="E54" s="2">
        <v>3</v>
      </c>
      <c r="F54" s="2">
        <v>3</v>
      </c>
      <c r="G54" s="2">
        <v>3</v>
      </c>
      <c r="H54" s="2">
        <v>3</v>
      </c>
      <c r="I54" s="2">
        <v>3</v>
      </c>
      <c r="J54" s="2">
        <v>3</v>
      </c>
      <c r="K54" s="2">
        <v>2</v>
      </c>
      <c r="L54" s="2">
        <v>2</v>
      </c>
      <c r="M54" s="2">
        <v>2</v>
      </c>
      <c r="N54" s="2">
        <v>2</v>
      </c>
      <c r="O54" s="2">
        <v>2</v>
      </c>
      <c r="P54" s="2">
        <v>2</v>
      </c>
      <c r="Q54" s="2">
        <v>2</v>
      </c>
    </row>
    <row r="55" spans="1:17" ht="13" x14ac:dyDescent="0.3">
      <c r="F55" s="12"/>
      <c r="G55" s="12"/>
      <c r="H55" s="12"/>
      <c r="I55" s="12"/>
      <c r="J55" s="12"/>
      <c r="K55" s="12"/>
      <c r="L55" s="12"/>
    </row>
    <row r="56" spans="1:17" ht="13" x14ac:dyDescent="0.3">
      <c r="A56" s="6" t="s">
        <v>154</v>
      </c>
      <c r="B56" s="3">
        <v>122</v>
      </c>
      <c r="C56" s="3">
        <v>121</v>
      </c>
      <c r="D56" s="3">
        <v>121</v>
      </c>
      <c r="E56" s="3">
        <v>118</v>
      </c>
      <c r="F56" s="3">
        <v>112</v>
      </c>
      <c r="G56" s="3">
        <v>110</v>
      </c>
      <c r="H56" s="3">
        <v>106</v>
      </c>
      <c r="I56" s="3">
        <v>102</v>
      </c>
      <c r="J56" s="3">
        <v>95</v>
      </c>
      <c r="K56" s="3">
        <v>90</v>
      </c>
      <c r="L56" s="3">
        <v>88</v>
      </c>
      <c r="M56" s="3">
        <v>86</v>
      </c>
      <c r="N56" s="3">
        <v>81</v>
      </c>
      <c r="O56" s="3">
        <v>76</v>
      </c>
      <c r="P56" s="3">
        <v>73</v>
      </c>
      <c r="Q56" s="3">
        <v>66</v>
      </c>
    </row>
    <row r="57" spans="1:17" ht="13" x14ac:dyDescent="0.3">
      <c r="F57" s="12"/>
      <c r="G57" s="12"/>
      <c r="H57" s="12"/>
      <c r="I57" s="12"/>
      <c r="J57" s="12"/>
      <c r="K57" s="12"/>
      <c r="L57" s="12"/>
    </row>
    <row r="58" spans="1:17" ht="13" x14ac:dyDescent="0.3">
      <c r="F58" s="12"/>
      <c r="G58" s="12"/>
      <c r="H58" s="12"/>
      <c r="I58" s="12"/>
      <c r="J58" s="12"/>
      <c r="K58" s="12"/>
      <c r="L58" s="12"/>
    </row>
    <row r="59" spans="1:17" ht="13" x14ac:dyDescent="0.3">
      <c r="F59" s="12"/>
      <c r="G59" s="12"/>
      <c r="H59" s="12"/>
      <c r="I59" s="12"/>
      <c r="J59" s="12"/>
      <c r="K59" s="12"/>
      <c r="L59" s="12"/>
    </row>
    <row r="60" spans="1:17" ht="13" x14ac:dyDescent="0.3">
      <c r="B60" s="3">
        <v>2015</v>
      </c>
      <c r="C60" s="3">
        <v>2016</v>
      </c>
      <c r="D60" s="3">
        <v>2017</v>
      </c>
      <c r="E60" s="3">
        <v>2018</v>
      </c>
      <c r="F60" s="3">
        <v>2019</v>
      </c>
      <c r="G60" s="3">
        <v>2020</v>
      </c>
      <c r="H60" s="3">
        <v>2021</v>
      </c>
      <c r="I60" s="3">
        <v>2022</v>
      </c>
      <c r="J60" s="3">
        <v>2023</v>
      </c>
      <c r="K60" s="3">
        <v>2024</v>
      </c>
      <c r="L60" s="3">
        <v>2025</v>
      </c>
      <c r="M60" s="3">
        <v>2026</v>
      </c>
      <c r="N60" s="3">
        <v>2027</v>
      </c>
      <c r="O60" s="3">
        <v>2028</v>
      </c>
      <c r="P60" s="3">
        <v>2029</v>
      </c>
      <c r="Q60" s="3">
        <v>2030</v>
      </c>
    </row>
    <row r="61" spans="1:17" x14ac:dyDescent="0.25">
      <c r="A61" t="s">
        <v>179</v>
      </c>
      <c r="B61">
        <v>87</v>
      </c>
      <c r="C61">
        <v>86</v>
      </c>
      <c r="D61">
        <v>90</v>
      </c>
      <c r="E61">
        <v>88</v>
      </c>
      <c r="F61">
        <v>87</v>
      </c>
      <c r="G61">
        <v>85</v>
      </c>
      <c r="H61">
        <v>83</v>
      </c>
      <c r="I61">
        <v>80</v>
      </c>
      <c r="J61">
        <v>76</v>
      </c>
      <c r="K61">
        <v>74</v>
      </c>
      <c r="L61">
        <v>73</v>
      </c>
      <c r="M61">
        <v>73</v>
      </c>
      <c r="N61">
        <v>71</v>
      </c>
      <c r="O61">
        <v>68</v>
      </c>
      <c r="P61">
        <v>65</v>
      </c>
      <c r="Q61">
        <v>64</v>
      </c>
    </row>
    <row r="62" spans="1:17" x14ac:dyDescent="0.25">
      <c r="A62" t="s">
        <v>180</v>
      </c>
      <c r="B62">
        <v>15</v>
      </c>
      <c r="C62">
        <v>16</v>
      </c>
      <c r="D62">
        <v>18</v>
      </c>
      <c r="E62">
        <v>18</v>
      </c>
      <c r="F62">
        <v>19</v>
      </c>
      <c r="G62">
        <v>19</v>
      </c>
      <c r="H62">
        <v>19</v>
      </c>
      <c r="I62">
        <v>19</v>
      </c>
      <c r="J62">
        <v>18</v>
      </c>
      <c r="K62">
        <v>18</v>
      </c>
      <c r="L62">
        <v>18</v>
      </c>
      <c r="M62">
        <v>18</v>
      </c>
      <c r="N62">
        <v>18</v>
      </c>
      <c r="O62">
        <v>18</v>
      </c>
      <c r="P62">
        <v>17</v>
      </c>
      <c r="Q62">
        <v>17</v>
      </c>
    </row>
    <row r="63" spans="1:17" x14ac:dyDescent="0.25">
      <c r="A63" t="s">
        <v>186</v>
      </c>
      <c r="B63" s="10">
        <v>0.17241379310344829</v>
      </c>
      <c r="C63" s="10">
        <v>0.18604651162790697</v>
      </c>
      <c r="D63" s="10">
        <v>0.2</v>
      </c>
      <c r="E63" s="10">
        <v>0.20454545454545456</v>
      </c>
      <c r="F63" s="10">
        <v>0.21839080459770116</v>
      </c>
      <c r="G63" s="10">
        <v>0.22352941176470589</v>
      </c>
      <c r="H63" s="10">
        <v>0.2289156626506024</v>
      </c>
      <c r="I63" s="10">
        <v>0.23749999999999999</v>
      </c>
      <c r="J63" s="10">
        <v>0.23684210526315788</v>
      </c>
      <c r="K63" s="10">
        <v>0.24324324324324326</v>
      </c>
      <c r="L63" s="10">
        <v>0.24657534246575341</v>
      </c>
      <c r="M63" s="10">
        <v>0.24657534246575341</v>
      </c>
      <c r="N63" s="10">
        <v>0.25352112676056338</v>
      </c>
      <c r="O63" s="10">
        <v>0.26470588235294118</v>
      </c>
      <c r="P63" s="10">
        <v>0.26153846153846155</v>
      </c>
      <c r="Q63" s="10">
        <v>0.265625</v>
      </c>
    </row>
    <row r="64" spans="1:17" x14ac:dyDescent="0.25">
      <c r="A64" t="s">
        <v>187</v>
      </c>
      <c r="B64" s="10">
        <v>0.2857142857142857</v>
      </c>
      <c r="C64" s="10">
        <v>0.35</v>
      </c>
      <c r="D64" s="10">
        <v>0.36363636363636365</v>
      </c>
      <c r="E64" s="10">
        <v>0.33333333333333331</v>
      </c>
      <c r="F64" s="10">
        <v>0.27777777777777779</v>
      </c>
      <c r="G64" s="10">
        <v>0.35714285714285715</v>
      </c>
      <c r="H64" s="10">
        <v>0.36363636363636365</v>
      </c>
      <c r="I64" s="10">
        <v>0.2857142857142857</v>
      </c>
      <c r="J64" s="10">
        <v>0.33333333333333331</v>
      </c>
      <c r="K64" s="10">
        <v>0.5</v>
      </c>
      <c r="L64" s="10" t="e">
        <v>#DIV/0!</v>
      </c>
      <c r="M64" s="10" t="e">
        <v>#DIV/0!</v>
      </c>
      <c r="N64" s="10" t="e">
        <v>#DIV/0!</v>
      </c>
      <c r="O64" s="10" t="e">
        <v>#DIV/0!</v>
      </c>
      <c r="P64" s="10" t="e">
        <v>#DIV/0!</v>
      </c>
      <c r="Q64" s="10" t="e">
        <v>#DIV/0!</v>
      </c>
    </row>
    <row r="65" spans="1:17" ht="13" x14ac:dyDescent="0.3">
      <c r="F65" s="12"/>
      <c r="G65" s="12"/>
      <c r="H65" s="12"/>
      <c r="I65" s="12"/>
      <c r="J65" s="12"/>
      <c r="K65" s="12"/>
      <c r="L65" s="12"/>
    </row>
    <row r="66" spans="1:17" ht="13" x14ac:dyDescent="0.3">
      <c r="F66" s="12"/>
      <c r="G66" s="12"/>
      <c r="H66" s="12"/>
      <c r="I66" s="12"/>
      <c r="J66" s="12"/>
      <c r="K66" s="12"/>
      <c r="L66" s="12"/>
    </row>
    <row r="67" spans="1:17" ht="13" x14ac:dyDescent="0.3">
      <c r="B67" s="3">
        <v>2015</v>
      </c>
      <c r="C67" s="3">
        <v>2016</v>
      </c>
      <c r="D67" s="3">
        <v>2017</v>
      </c>
      <c r="E67" s="3">
        <v>2018</v>
      </c>
      <c r="F67" s="3">
        <v>2019</v>
      </c>
      <c r="G67" s="3">
        <v>2020</v>
      </c>
      <c r="H67" s="3">
        <v>2021</v>
      </c>
      <c r="I67" s="3">
        <v>2022</v>
      </c>
      <c r="J67" s="3">
        <v>2023</v>
      </c>
      <c r="K67" s="3">
        <v>2024</v>
      </c>
      <c r="L67" s="3">
        <v>2025</v>
      </c>
      <c r="M67" s="3">
        <v>2026</v>
      </c>
      <c r="N67" s="3">
        <v>2027</v>
      </c>
      <c r="O67" s="3">
        <v>2028</v>
      </c>
      <c r="P67" s="3">
        <v>2029</v>
      </c>
      <c r="Q67" s="3">
        <v>2030</v>
      </c>
    </row>
    <row r="68" spans="1:17" x14ac:dyDescent="0.25">
      <c r="A68" t="s">
        <v>179</v>
      </c>
      <c r="B68" s="2">
        <v>87</v>
      </c>
      <c r="C68" s="2">
        <v>86</v>
      </c>
      <c r="D68" s="2">
        <v>90</v>
      </c>
      <c r="E68" s="2">
        <v>88</v>
      </c>
      <c r="F68" s="2">
        <v>87</v>
      </c>
      <c r="G68" s="2">
        <v>85</v>
      </c>
      <c r="H68" s="2">
        <v>83</v>
      </c>
      <c r="I68" s="2">
        <v>80</v>
      </c>
      <c r="J68" s="2">
        <v>76</v>
      </c>
      <c r="K68" s="2">
        <v>74</v>
      </c>
      <c r="L68" s="2">
        <v>73</v>
      </c>
      <c r="M68" s="2">
        <v>73</v>
      </c>
      <c r="N68" s="2">
        <v>71</v>
      </c>
      <c r="O68" s="2">
        <v>68</v>
      </c>
      <c r="P68" s="2">
        <v>65</v>
      </c>
      <c r="Q68" s="2">
        <v>64</v>
      </c>
    </row>
    <row r="69" spans="1:17" x14ac:dyDescent="0.25">
      <c r="A69" t="s">
        <v>208</v>
      </c>
      <c r="B69" s="2">
        <v>56</v>
      </c>
      <c r="C69" s="2">
        <v>56</v>
      </c>
      <c r="D69" s="2">
        <v>53</v>
      </c>
      <c r="E69" s="2">
        <v>52</v>
      </c>
      <c r="F69" s="2">
        <v>48</v>
      </c>
      <c r="G69" s="2">
        <v>48</v>
      </c>
      <c r="H69" s="2">
        <v>46</v>
      </c>
      <c r="I69" s="2">
        <v>44</v>
      </c>
      <c r="J69" s="2">
        <v>40</v>
      </c>
      <c r="K69" s="2">
        <v>37</v>
      </c>
      <c r="L69" s="2">
        <v>36</v>
      </c>
      <c r="M69" s="2">
        <v>34</v>
      </c>
      <c r="N69" s="2">
        <v>31</v>
      </c>
      <c r="O69" s="2">
        <v>28</v>
      </c>
      <c r="P69" s="2">
        <v>27</v>
      </c>
      <c r="Q69" s="2">
        <v>21</v>
      </c>
    </row>
    <row r="70" spans="1:17" x14ac:dyDescent="0.25">
      <c r="A70" t="s">
        <v>207</v>
      </c>
      <c r="B70" s="2">
        <v>143</v>
      </c>
      <c r="C70" s="2">
        <v>142</v>
      </c>
      <c r="D70" s="2">
        <v>143</v>
      </c>
      <c r="E70" s="2">
        <v>140</v>
      </c>
      <c r="F70" s="2">
        <v>135</v>
      </c>
      <c r="G70" s="2">
        <v>133</v>
      </c>
      <c r="H70" s="2">
        <v>129</v>
      </c>
      <c r="I70" s="2">
        <v>124</v>
      </c>
      <c r="J70" s="2">
        <v>116</v>
      </c>
      <c r="K70" s="2">
        <v>111</v>
      </c>
      <c r="L70" s="2">
        <v>109</v>
      </c>
      <c r="M70" s="2">
        <v>107</v>
      </c>
      <c r="N70" s="2">
        <v>102</v>
      </c>
      <c r="O70" s="2">
        <v>96</v>
      </c>
      <c r="P70" s="2">
        <v>92</v>
      </c>
      <c r="Q70" s="2">
        <v>85</v>
      </c>
    </row>
    <row r="71" spans="1:17" ht="13" x14ac:dyDescent="0.3">
      <c r="F71" s="12"/>
      <c r="G71" s="12"/>
      <c r="H71" s="12"/>
      <c r="I71" s="12"/>
      <c r="J71" s="12"/>
      <c r="K71" s="12"/>
    </row>
    <row r="72" spans="1:17" ht="13" x14ac:dyDescent="0.3">
      <c r="F72" s="12"/>
      <c r="G72" s="12"/>
      <c r="H72" s="12"/>
      <c r="I72" s="12"/>
      <c r="J72" s="12"/>
      <c r="K72" s="12"/>
      <c r="L72" s="12"/>
    </row>
    <row r="73" spans="1:17" ht="13" x14ac:dyDescent="0.3">
      <c r="F73" s="12"/>
      <c r="G73" s="12"/>
      <c r="H73" s="12"/>
      <c r="I73" s="12"/>
      <c r="J73" s="12"/>
      <c r="K73" s="12"/>
      <c r="L73" s="12"/>
    </row>
    <row r="74" spans="1:17" ht="13" x14ac:dyDescent="0.3">
      <c r="F74" s="12"/>
      <c r="G74" s="12"/>
      <c r="H74" s="12"/>
      <c r="I74" s="12"/>
      <c r="J74" s="12"/>
      <c r="K74" s="12"/>
      <c r="L74" s="12"/>
    </row>
    <row r="75" spans="1:17" ht="13" x14ac:dyDescent="0.3">
      <c r="F75" s="12"/>
      <c r="G75" s="12"/>
      <c r="H75" s="12"/>
      <c r="I75" s="12"/>
      <c r="J75" s="12"/>
      <c r="K75" s="12"/>
      <c r="L75" s="12"/>
    </row>
    <row r="76" spans="1:17" ht="13" x14ac:dyDescent="0.3">
      <c r="A76" t="s">
        <v>196</v>
      </c>
      <c r="B76" t="s">
        <v>225</v>
      </c>
      <c r="F76" s="12"/>
      <c r="G76" s="12"/>
      <c r="H76" s="12"/>
      <c r="I76" s="12"/>
      <c r="J76" s="12"/>
      <c r="K76" s="12"/>
    </row>
    <row r="77" spans="1:17" ht="13" x14ac:dyDescent="0.3">
      <c r="F77" s="12"/>
      <c r="G77" s="12"/>
      <c r="H77" s="12"/>
      <c r="I77" s="12"/>
      <c r="J77" s="12"/>
      <c r="K77" s="12"/>
      <c r="L77" s="12"/>
    </row>
    <row r="78" spans="1:17" ht="13" x14ac:dyDescent="0.3">
      <c r="B78" s="3">
        <v>2015</v>
      </c>
      <c r="C78" s="3">
        <v>2016</v>
      </c>
      <c r="D78" s="3">
        <v>2017</v>
      </c>
      <c r="E78" s="3">
        <v>2018</v>
      </c>
      <c r="F78" s="3">
        <v>2019</v>
      </c>
      <c r="G78" s="3">
        <v>2020</v>
      </c>
      <c r="H78" s="3">
        <v>2021</v>
      </c>
      <c r="I78" s="3">
        <v>2022</v>
      </c>
      <c r="J78" s="3">
        <v>2023</v>
      </c>
      <c r="K78" s="3">
        <v>2024</v>
      </c>
      <c r="L78" s="3">
        <v>2025</v>
      </c>
      <c r="M78" s="3">
        <v>2026</v>
      </c>
      <c r="N78" s="3">
        <v>2027</v>
      </c>
      <c r="O78" s="3">
        <v>2028</v>
      </c>
      <c r="P78" s="3">
        <v>2029</v>
      </c>
      <c r="Q78" s="3">
        <v>2030</v>
      </c>
    </row>
    <row r="79" spans="1:17" x14ac:dyDescent="0.25">
      <c r="A79" s="4" t="s">
        <v>133</v>
      </c>
      <c r="B79" s="2">
        <v>6</v>
      </c>
      <c r="C79" s="2">
        <v>5</v>
      </c>
      <c r="D79" s="2">
        <v>6</v>
      </c>
      <c r="E79" s="2">
        <v>4</v>
      </c>
      <c r="F79" s="2">
        <v>3</v>
      </c>
      <c r="G79" s="2">
        <v>2</v>
      </c>
      <c r="H79" s="2">
        <v>1</v>
      </c>
      <c r="I79" s="2">
        <v>1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</row>
    <row r="80" spans="1:17" x14ac:dyDescent="0.25">
      <c r="A80" s="4" t="s">
        <v>134</v>
      </c>
      <c r="B80" s="2">
        <v>5</v>
      </c>
      <c r="C80" s="2">
        <v>6</v>
      </c>
      <c r="D80" s="2">
        <v>5</v>
      </c>
      <c r="E80" s="2">
        <v>7</v>
      </c>
      <c r="F80" s="2">
        <v>8</v>
      </c>
      <c r="G80" s="2">
        <v>5</v>
      </c>
      <c r="H80" s="2">
        <v>6</v>
      </c>
      <c r="I80" s="2">
        <v>6</v>
      </c>
      <c r="J80" s="2">
        <v>6</v>
      </c>
      <c r="K80" s="2">
        <v>6</v>
      </c>
      <c r="L80" s="2">
        <v>3</v>
      </c>
      <c r="M80" s="2">
        <v>3</v>
      </c>
      <c r="N80" s="2">
        <v>2</v>
      </c>
      <c r="O80" s="2">
        <v>1</v>
      </c>
      <c r="P80" s="2">
        <v>1</v>
      </c>
      <c r="Q80" s="2">
        <v>0</v>
      </c>
    </row>
    <row r="81" spans="1:17" x14ac:dyDescent="0.25">
      <c r="A81" s="4" t="s">
        <v>135</v>
      </c>
      <c r="B81" s="2">
        <v>8</v>
      </c>
      <c r="C81" s="2">
        <v>7</v>
      </c>
      <c r="D81" s="2">
        <v>8</v>
      </c>
      <c r="E81" s="2">
        <v>8</v>
      </c>
      <c r="F81" s="2">
        <v>8</v>
      </c>
      <c r="G81" s="2">
        <v>12</v>
      </c>
      <c r="H81" s="2">
        <v>10</v>
      </c>
      <c r="I81" s="2">
        <v>10</v>
      </c>
      <c r="J81" s="2">
        <v>11</v>
      </c>
      <c r="K81" s="2">
        <v>11</v>
      </c>
      <c r="L81" s="2">
        <v>13</v>
      </c>
      <c r="M81" s="2">
        <v>13</v>
      </c>
      <c r="N81" s="2">
        <v>14</v>
      </c>
      <c r="O81" s="2">
        <v>14</v>
      </c>
      <c r="P81" s="2">
        <v>14</v>
      </c>
      <c r="Q81" s="2">
        <v>14</v>
      </c>
    </row>
    <row r="82" spans="1:17" x14ac:dyDescent="0.25">
      <c r="A82" s="5" t="s">
        <v>130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</row>
    <row r="83" spans="1:17" x14ac:dyDescent="0.25">
      <c r="A83" s="5" t="s">
        <v>131</v>
      </c>
      <c r="B83" s="2">
        <v>6</v>
      </c>
      <c r="C83" s="2">
        <v>6</v>
      </c>
      <c r="D83" s="2">
        <v>6</v>
      </c>
      <c r="E83" s="2">
        <v>6</v>
      </c>
      <c r="F83" s="2">
        <v>6</v>
      </c>
      <c r="G83" s="2">
        <v>6</v>
      </c>
      <c r="H83" s="2">
        <v>5</v>
      </c>
      <c r="I83" s="2">
        <v>4</v>
      </c>
      <c r="J83" s="2">
        <v>4</v>
      </c>
      <c r="K83" s="2">
        <v>3</v>
      </c>
      <c r="L83" s="2">
        <v>3</v>
      </c>
      <c r="M83" s="2">
        <v>3</v>
      </c>
      <c r="N83" s="2">
        <v>3</v>
      </c>
      <c r="O83" s="2">
        <v>1</v>
      </c>
      <c r="P83" s="2">
        <v>1</v>
      </c>
      <c r="Q83" s="2">
        <v>1</v>
      </c>
    </row>
    <row r="84" spans="1:17" x14ac:dyDescent="0.25">
      <c r="A84" s="5" t="s">
        <v>132</v>
      </c>
      <c r="B84" s="2">
        <v>2</v>
      </c>
      <c r="C84" s="2">
        <v>2</v>
      </c>
      <c r="D84" s="2">
        <v>2</v>
      </c>
      <c r="E84" s="2">
        <v>2</v>
      </c>
      <c r="F84" s="2">
        <v>2</v>
      </c>
      <c r="G84" s="2">
        <v>2</v>
      </c>
      <c r="H84" s="2">
        <v>2</v>
      </c>
      <c r="I84" s="2">
        <v>2</v>
      </c>
      <c r="J84" s="2">
        <v>2</v>
      </c>
      <c r="K84" s="2">
        <v>2</v>
      </c>
      <c r="L84" s="2">
        <v>2</v>
      </c>
      <c r="M84" s="2">
        <v>2</v>
      </c>
      <c r="N84" s="2">
        <v>2</v>
      </c>
      <c r="O84" s="2">
        <v>2</v>
      </c>
      <c r="P84" s="2">
        <v>2</v>
      </c>
      <c r="Q84" s="2">
        <v>2</v>
      </c>
    </row>
    <row r="85" spans="1:17" x14ac:dyDescent="0.25">
      <c r="A85" s="5" t="s">
        <v>129</v>
      </c>
      <c r="B85" s="2">
        <v>9</v>
      </c>
      <c r="C85" s="2">
        <v>9</v>
      </c>
      <c r="D85" s="2">
        <v>8</v>
      </c>
      <c r="E85" s="2">
        <v>8</v>
      </c>
      <c r="F85" s="2">
        <v>8</v>
      </c>
      <c r="G85" s="2">
        <v>8</v>
      </c>
      <c r="H85" s="2">
        <v>8</v>
      </c>
      <c r="I85" s="2">
        <v>8</v>
      </c>
      <c r="J85" s="2">
        <v>7</v>
      </c>
      <c r="K85" s="2">
        <v>7</v>
      </c>
      <c r="L85" s="2">
        <v>6</v>
      </c>
      <c r="M85" s="2">
        <v>6</v>
      </c>
      <c r="N85" s="2">
        <v>4</v>
      </c>
      <c r="O85" s="2">
        <v>4</v>
      </c>
      <c r="P85" s="2">
        <v>4</v>
      </c>
      <c r="Q85" s="2">
        <v>2</v>
      </c>
    </row>
    <row r="86" spans="1:17" x14ac:dyDescent="0.25">
      <c r="A86" s="5" t="s">
        <v>137</v>
      </c>
      <c r="B86" s="2">
        <v>2</v>
      </c>
      <c r="C86" s="2">
        <v>2</v>
      </c>
      <c r="D86" s="2">
        <v>2</v>
      </c>
      <c r="E86" s="2">
        <v>2</v>
      </c>
      <c r="F86" s="2">
        <v>2</v>
      </c>
      <c r="G86" s="2">
        <v>2</v>
      </c>
      <c r="H86" s="2">
        <v>2</v>
      </c>
      <c r="I86" s="2">
        <v>2</v>
      </c>
      <c r="J86" s="2">
        <v>2</v>
      </c>
      <c r="K86" s="2">
        <v>2</v>
      </c>
      <c r="L86" s="2">
        <v>2</v>
      </c>
      <c r="M86" s="2">
        <v>2</v>
      </c>
      <c r="N86" s="2">
        <v>2</v>
      </c>
      <c r="O86" s="2">
        <v>2</v>
      </c>
      <c r="P86" s="2">
        <v>2</v>
      </c>
      <c r="Q86" s="2">
        <v>2</v>
      </c>
    </row>
    <row r="87" spans="1:17" ht="13" x14ac:dyDescent="0.3">
      <c r="F87" s="12"/>
      <c r="G87" s="12"/>
      <c r="H87" s="12"/>
      <c r="I87" s="12"/>
      <c r="J87" s="12"/>
      <c r="K87" s="12"/>
    </row>
    <row r="88" spans="1:17" ht="13" x14ac:dyDescent="0.3">
      <c r="A88" s="6" t="s">
        <v>154</v>
      </c>
      <c r="B88" s="3">
        <v>38</v>
      </c>
      <c r="C88" s="3">
        <v>37</v>
      </c>
      <c r="D88" s="3">
        <v>37</v>
      </c>
      <c r="E88" s="3">
        <v>37</v>
      </c>
      <c r="F88" s="3">
        <v>37</v>
      </c>
      <c r="G88" s="3">
        <v>37</v>
      </c>
      <c r="H88" s="3">
        <v>34</v>
      </c>
      <c r="I88" s="3">
        <v>33</v>
      </c>
      <c r="J88" s="3">
        <v>32</v>
      </c>
      <c r="K88" s="3">
        <v>31</v>
      </c>
      <c r="L88" s="3">
        <v>29</v>
      </c>
      <c r="M88" s="3">
        <v>29</v>
      </c>
      <c r="N88" s="3">
        <v>27</v>
      </c>
      <c r="O88" s="3">
        <v>24</v>
      </c>
      <c r="P88" s="3">
        <v>24</v>
      </c>
      <c r="Q88" s="3">
        <v>21</v>
      </c>
    </row>
    <row r="89" spans="1:17" x14ac:dyDescent="0.25">
      <c r="A89" t="s">
        <v>179</v>
      </c>
      <c r="B89">
        <v>19</v>
      </c>
      <c r="C89">
        <v>18</v>
      </c>
      <c r="D89">
        <v>19</v>
      </c>
      <c r="E89">
        <v>19</v>
      </c>
      <c r="F89">
        <v>19</v>
      </c>
      <c r="G89">
        <v>19</v>
      </c>
      <c r="H89">
        <v>17</v>
      </c>
      <c r="I89">
        <v>17</v>
      </c>
      <c r="J89">
        <v>17</v>
      </c>
      <c r="K89">
        <v>17</v>
      </c>
      <c r="L89">
        <v>16</v>
      </c>
      <c r="M89">
        <v>16</v>
      </c>
      <c r="N89">
        <v>16</v>
      </c>
      <c r="O89">
        <v>15</v>
      </c>
      <c r="P89">
        <v>15</v>
      </c>
      <c r="Q89">
        <v>14</v>
      </c>
    </row>
    <row r="90" spans="1:17" ht="13" x14ac:dyDescent="0.3">
      <c r="F90" s="12"/>
      <c r="G90" s="12"/>
      <c r="H90" s="12"/>
      <c r="I90" s="12"/>
      <c r="J90" s="12"/>
      <c r="K90" s="12"/>
    </row>
    <row r="91" spans="1:17" ht="13" x14ac:dyDescent="0.3">
      <c r="F91" s="12"/>
      <c r="G91" s="12"/>
      <c r="H91" s="12"/>
      <c r="I91" s="12"/>
      <c r="J91" s="12"/>
      <c r="K91" s="12"/>
      <c r="L91" s="12"/>
    </row>
    <row r="92" spans="1:17" ht="13" x14ac:dyDescent="0.3">
      <c r="A92" t="s">
        <v>197</v>
      </c>
      <c r="B92" t="s">
        <v>225</v>
      </c>
      <c r="F92" s="12"/>
      <c r="G92" s="12"/>
      <c r="H92" s="12"/>
      <c r="I92" s="12"/>
      <c r="J92" s="12"/>
      <c r="K92" s="12"/>
      <c r="L92" s="12"/>
    </row>
    <row r="93" spans="1:17" ht="13" x14ac:dyDescent="0.3">
      <c r="F93" s="12"/>
      <c r="G93" s="12"/>
      <c r="H93" s="12"/>
      <c r="I93" s="12"/>
      <c r="J93" s="12"/>
      <c r="K93" s="12"/>
      <c r="L93" s="12"/>
    </row>
    <row r="94" spans="1:17" ht="13" x14ac:dyDescent="0.3">
      <c r="B94" s="3">
        <v>2015</v>
      </c>
      <c r="C94" s="3">
        <v>2016</v>
      </c>
      <c r="D94" s="3">
        <v>2017</v>
      </c>
      <c r="E94" s="3">
        <v>2018</v>
      </c>
      <c r="F94" s="3">
        <v>2019</v>
      </c>
      <c r="G94" s="3">
        <v>2020</v>
      </c>
      <c r="H94" s="3">
        <v>2021</v>
      </c>
      <c r="I94" s="3">
        <v>2022</v>
      </c>
      <c r="J94" s="3">
        <v>2023</v>
      </c>
      <c r="K94" s="3">
        <v>2024</v>
      </c>
      <c r="L94" s="3">
        <v>2025</v>
      </c>
      <c r="M94" s="3">
        <v>2026</v>
      </c>
      <c r="N94" s="3">
        <v>2027</v>
      </c>
      <c r="O94" s="3">
        <v>2028</v>
      </c>
      <c r="P94" s="3">
        <v>2029</v>
      </c>
      <c r="Q94" s="3">
        <v>2030</v>
      </c>
    </row>
    <row r="95" spans="1:17" x14ac:dyDescent="0.25">
      <c r="A95" s="4" t="s">
        <v>133</v>
      </c>
      <c r="B95" s="2">
        <v>7</v>
      </c>
      <c r="C95" s="2">
        <v>7</v>
      </c>
      <c r="D95" s="2">
        <v>8</v>
      </c>
      <c r="E95" s="2">
        <v>8</v>
      </c>
      <c r="F95" s="2">
        <v>6</v>
      </c>
      <c r="G95" s="2">
        <v>5</v>
      </c>
      <c r="H95" s="2">
        <v>5</v>
      </c>
      <c r="I95" s="2">
        <v>3</v>
      </c>
      <c r="J95" s="2">
        <v>2</v>
      </c>
      <c r="K95" s="2">
        <v>1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</row>
    <row r="96" spans="1:17" x14ac:dyDescent="0.25">
      <c r="A96" s="4" t="s">
        <v>134</v>
      </c>
      <c r="B96" s="2">
        <v>2</v>
      </c>
      <c r="C96" s="2">
        <v>2</v>
      </c>
      <c r="D96" s="2">
        <v>3</v>
      </c>
      <c r="E96" s="2">
        <v>3</v>
      </c>
      <c r="F96" s="2">
        <v>6</v>
      </c>
      <c r="G96" s="2">
        <v>6</v>
      </c>
      <c r="H96" s="2">
        <v>6</v>
      </c>
      <c r="I96" s="2">
        <v>7</v>
      </c>
      <c r="J96" s="2">
        <v>8</v>
      </c>
      <c r="K96" s="2">
        <v>8</v>
      </c>
      <c r="L96" s="2">
        <v>8</v>
      </c>
      <c r="M96" s="2">
        <v>6</v>
      </c>
      <c r="N96" s="2">
        <v>5</v>
      </c>
      <c r="O96" s="2">
        <v>5</v>
      </c>
      <c r="P96" s="2">
        <v>3</v>
      </c>
      <c r="Q96" s="2">
        <v>1</v>
      </c>
    </row>
    <row r="97" spans="1:17" x14ac:dyDescent="0.25">
      <c r="A97" s="4" t="s">
        <v>135</v>
      </c>
      <c r="B97" s="2">
        <v>7</v>
      </c>
      <c r="C97" s="2">
        <v>8</v>
      </c>
      <c r="D97" s="2">
        <v>8</v>
      </c>
      <c r="E97" s="2">
        <v>7</v>
      </c>
      <c r="F97" s="2">
        <v>7</v>
      </c>
      <c r="G97" s="2">
        <v>6</v>
      </c>
      <c r="H97" s="2">
        <v>6</v>
      </c>
      <c r="I97" s="2">
        <v>7</v>
      </c>
      <c r="J97" s="2">
        <v>7</v>
      </c>
      <c r="K97" s="2">
        <v>7</v>
      </c>
      <c r="L97" s="2">
        <v>8</v>
      </c>
      <c r="M97" s="2">
        <v>10</v>
      </c>
      <c r="N97" s="2">
        <v>11</v>
      </c>
      <c r="O97" s="2">
        <v>11</v>
      </c>
      <c r="P97" s="2">
        <v>12</v>
      </c>
      <c r="Q97" s="2">
        <v>14</v>
      </c>
    </row>
    <row r="98" spans="1:17" x14ac:dyDescent="0.25">
      <c r="A98" s="5" t="s">
        <v>130</v>
      </c>
      <c r="B98" s="2">
        <v>1</v>
      </c>
      <c r="C98" s="2">
        <v>1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</row>
    <row r="99" spans="1:17" x14ac:dyDescent="0.25">
      <c r="A99" s="5" t="s">
        <v>131</v>
      </c>
      <c r="B99" s="2">
        <v>3</v>
      </c>
      <c r="C99" s="2">
        <v>4</v>
      </c>
      <c r="D99" s="2">
        <v>4</v>
      </c>
      <c r="E99" s="2">
        <v>4</v>
      </c>
      <c r="F99" s="2">
        <v>3</v>
      </c>
      <c r="G99" s="2">
        <v>3</v>
      </c>
      <c r="H99" s="2">
        <v>3</v>
      </c>
      <c r="I99" s="2">
        <v>3</v>
      </c>
      <c r="J99" s="2">
        <v>2</v>
      </c>
      <c r="K99" s="2">
        <v>2</v>
      </c>
      <c r="L99" s="2">
        <v>2</v>
      </c>
      <c r="M99" s="2">
        <v>2</v>
      </c>
      <c r="N99" s="2">
        <v>2</v>
      </c>
      <c r="O99" s="2">
        <v>2</v>
      </c>
      <c r="P99" s="2">
        <v>1</v>
      </c>
      <c r="Q99" s="2">
        <v>1</v>
      </c>
    </row>
    <row r="100" spans="1:17" x14ac:dyDescent="0.25">
      <c r="A100" s="5" t="s">
        <v>132</v>
      </c>
      <c r="B100" s="2">
        <v>0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</row>
    <row r="101" spans="1:17" x14ac:dyDescent="0.25">
      <c r="A101" s="5" t="s">
        <v>129</v>
      </c>
      <c r="B101" s="2">
        <v>6</v>
      </c>
      <c r="C101" s="2">
        <v>5</v>
      </c>
      <c r="D101" s="2">
        <v>5</v>
      </c>
      <c r="E101" s="2">
        <v>5</v>
      </c>
      <c r="F101" s="2">
        <v>5</v>
      </c>
      <c r="G101" s="2">
        <v>5</v>
      </c>
      <c r="H101" s="2">
        <v>4</v>
      </c>
      <c r="I101" s="2">
        <v>3</v>
      </c>
      <c r="J101" s="2">
        <v>3</v>
      </c>
      <c r="K101" s="2">
        <v>3</v>
      </c>
      <c r="L101" s="2">
        <v>3</v>
      </c>
      <c r="M101" s="2">
        <v>3</v>
      </c>
      <c r="N101" s="2">
        <v>3</v>
      </c>
      <c r="O101" s="2">
        <v>2</v>
      </c>
      <c r="P101" s="2">
        <v>2</v>
      </c>
      <c r="Q101" s="2">
        <v>1</v>
      </c>
    </row>
    <row r="102" spans="1:17" x14ac:dyDescent="0.25">
      <c r="A102" s="5" t="s">
        <v>137</v>
      </c>
      <c r="B102" s="2">
        <v>0</v>
      </c>
      <c r="C102" s="2">
        <v>0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</row>
    <row r="103" spans="1:17" ht="13" x14ac:dyDescent="0.3">
      <c r="F103" s="12"/>
      <c r="G103" s="12"/>
      <c r="H103" s="12"/>
      <c r="I103" s="12"/>
      <c r="J103" s="12"/>
      <c r="K103" s="12"/>
      <c r="L103" s="12"/>
    </row>
    <row r="104" spans="1:17" ht="13" x14ac:dyDescent="0.3">
      <c r="A104" s="6" t="s">
        <v>154</v>
      </c>
      <c r="B104" s="3">
        <v>26</v>
      </c>
      <c r="C104" s="3">
        <v>27</v>
      </c>
      <c r="D104" s="3">
        <v>28</v>
      </c>
      <c r="E104" s="3">
        <v>27</v>
      </c>
      <c r="F104" s="3">
        <v>27</v>
      </c>
      <c r="G104" s="3">
        <v>25</v>
      </c>
      <c r="H104" s="3">
        <v>24</v>
      </c>
      <c r="I104" s="3">
        <v>23</v>
      </c>
      <c r="J104" s="3">
        <v>22</v>
      </c>
      <c r="K104" s="3">
        <v>21</v>
      </c>
      <c r="L104" s="3">
        <v>21</v>
      </c>
      <c r="M104" s="3">
        <v>21</v>
      </c>
      <c r="N104" s="3">
        <v>21</v>
      </c>
      <c r="O104" s="3">
        <v>20</v>
      </c>
      <c r="P104" s="3">
        <v>18</v>
      </c>
      <c r="Q104" s="3">
        <v>17</v>
      </c>
    </row>
    <row r="105" spans="1:17" x14ac:dyDescent="0.25">
      <c r="A105" t="s">
        <v>179</v>
      </c>
      <c r="B105">
        <v>16</v>
      </c>
      <c r="C105">
        <v>17</v>
      </c>
      <c r="D105">
        <v>19</v>
      </c>
      <c r="E105">
        <v>18</v>
      </c>
      <c r="F105">
        <v>19</v>
      </c>
      <c r="G105">
        <v>17</v>
      </c>
      <c r="H105">
        <v>17</v>
      </c>
      <c r="I105">
        <v>17</v>
      </c>
      <c r="J105">
        <v>17</v>
      </c>
      <c r="K105">
        <v>16</v>
      </c>
      <c r="L105">
        <v>16</v>
      </c>
      <c r="M105">
        <v>16</v>
      </c>
      <c r="N105">
        <v>16</v>
      </c>
      <c r="O105">
        <v>16</v>
      </c>
      <c r="P105">
        <v>15</v>
      </c>
      <c r="Q105">
        <v>15</v>
      </c>
    </row>
    <row r="106" spans="1:17" ht="13" x14ac:dyDescent="0.3">
      <c r="F106" s="12"/>
      <c r="G106" s="12"/>
      <c r="H106" s="12"/>
      <c r="I106" s="12"/>
      <c r="J106" s="12"/>
      <c r="K106" s="12"/>
      <c r="L106" s="12"/>
    </row>
    <row r="107" spans="1:17" ht="13" x14ac:dyDescent="0.3">
      <c r="F107" s="12"/>
      <c r="G107" s="12"/>
      <c r="H107" s="12"/>
      <c r="I107" s="12"/>
      <c r="J107" s="12"/>
      <c r="K107" s="12"/>
    </row>
    <row r="108" spans="1:17" ht="13" x14ac:dyDescent="0.3">
      <c r="A108" t="s">
        <v>198</v>
      </c>
      <c r="B108" t="s">
        <v>225</v>
      </c>
      <c r="F108" s="12"/>
      <c r="G108" s="12"/>
      <c r="H108" s="12"/>
      <c r="I108" s="12"/>
      <c r="J108" s="12"/>
      <c r="K108" s="12"/>
      <c r="L108" s="12"/>
    </row>
    <row r="109" spans="1:17" ht="13" x14ac:dyDescent="0.3">
      <c r="F109" s="12"/>
      <c r="G109" s="12"/>
      <c r="H109" s="12"/>
      <c r="I109" s="12"/>
      <c r="J109" s="12"/>
      <c r="K109" s="12"/>
      <c r="L109" s="12"/>
    </row>
    <row r="110" spans="1:17" ht="13" x14ac:dyDescent="0.3">
      <c r="B110" s="3">
        <v>2015</v>
      </c>
      <c r="C110" s="3">
        <v>2016</v>
      </c>
      <c r="D110" s="3">
        <v>2017</v>
      </c>
      <c r="E110" s="3">
        <v>2018</v>
      </c>
      <c r="F110" s="3">
        <v>2019</v>
      </c>
      <c r="G110" s="3">
        <v>2020</v>
      </c>
      <c r="H110" s="3">
        <v>2021</v>
      </c>
      <c r="I110" s="3">
        <v>2022</v>
      </c>
      <c r="J110" s="3">
        <v>2023</v>
      </c>
      <c r="K110" s="3">
        <v>2024</v>
      </c>
      <c r="L110" s="3">
        <v>2025</v>
      </c>
      <c r="M110" s="3">
        <v>2026</v>
      </c>
      <c r="N110" s="3">
        <v>2027</v>
      </c>
      <c r="O110" s="3">
        <v>2028</v>
      </c>
      <c r="P110" s="3">
        <v>2029</v>
      </c>
      <c r="Q110" s="3">
        <v>2030</v>
      </c>
    </row>
    <row r="111" spans="1:17" x14ac:dyDescent="0.25">
      <c r="A111" s="4" t="s">
        <v>133</v>
      </c>
      <c r="B111" s="2">
        <v>2</v>
      </c>
      <c r="C111" s="2">
        <v>1</v>
      </c>
      <c r="D111" s="2">
        <v>1</v>
      </c>
      <c r="E111" s="2">
        <v>1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</row>
    <row r="112" spans="1:17" x14ac:dyDescent="0.25">
      <c r="A112" s="4" t="s">
        <v>134</v>
      </c>
      <c r="B112" s="2">
        <v>8</v>
      </c>
      <c r="C112" s="2">
        <v>7</v>
      </c>
      <c r="D112" s="2">
        <v>6</v>
      </c>
      <c r="E112" s="2">
        <v>5</v>
      </c>
      <c r="F112" s="2">
        <v>5</v>
      </c>
      <c r="G112" s="2">
        <v>3</v>
      </c>
      <c r="H112" s="2">
        <v>2</v>
      </c>
      <c r="I112" s="2">
        <v>1</v>
      </c>
      <c r="J112" s="2">
        <v>1</v>
      </c>
      <c r="K112" s="2">
        <v>1</v>
      </c>
      <c r="L112" s="2">
        <v>1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</row>
    <row r="113" spans="1:17" x14ac:dyDescent="0.25">
      <c r="A113" s="4" t="s">
        <v>135</v>
      </c>
      <c r="B113" s="2">
        <v>16</v>
      </c>
      <c r="C113" s="2">
        <v>16</v>
      </c>
      <c r="D113" s="2">
        <v>16</v>
      </c>
      <c r="E113" s="2">
        <v>16</v>
      </c>
      <c r="F113" s="2">
        <v>16</v>
      </c>
      <c r="G113" s="2">
        <v>18</v>
      </c>
      <c r="H113" s="2">
        <v>19</v>
      </c>
      <c r="I113" s="2">
        <v>18</v>
      </c>
      <c r="J113" s="2">
        <v>15</v>
      </c>
      <c r="K113" s="2">
        <v>14</v>
      </c>
      <c r="L113" s="2">
        <v>14</v>
      </c>
      <c r="M113" s="2">
        <v>15</v>
      </c>
      <c r="N113" s="2">
        <v>15</v>
      </c>
      <c r="O113" s="2">
        <v>13</v>
      </c>
      <c r="P113" s="2">
        <v>11</v>
      </c>
      <c r="Q113" s="2">
        <v>11</v>
      </c>
    </row>
    <row r="114" spans="1:17" x14ac:dyDescent="0.25">
      <c r="A114" s="5" t="s">
        <v>130</v>
      </c>
      <c r="B114" s="2">
        <v>1</v>
      </c>
      <c r="C114" s="2">
        <v>1</v>
      </c>
      <c r="D114" s="2">
        <v>1</v>
      </c>
      <c r="E114" s="2">
        <v>1</v>
      </c>
      <c r="F114" s="2">
        <v>1</v>
      </c>
      <c r="G114" s="2">
        <v>1</v>
      </c>
      <c r="H114" s="2">
        <v>1</v>
      </c>
      <c r="I114" s="2">
        <v>1</v>
      </c>
      <c r="J114" s="2">
        <v>1</v>
      </c>
      <c r="K114" s="2">
        <v>1</v>
      </c>
      <c r="L114" s="2">
        <v>1</v>
      </c>
      <c r="M114" s="2">
        <v>1</v>
      </c>
      <c r="N114" s="2">
        <v>1</v>
      </c>
      <c r="O114" s="2">
        <v>1</v>
      </c>
      <c r="P114" s="2">
        <v>1</v>
      </c>
      <c r="Q114" s="2">
        <v>1</v>
      </c>
    </row>
    <row r="115" spans="1:17" x14ac:dyDescent="0.25">
      <c r="A115" s="5" t="s">
        <v>131</v>
      </c>
      <c r="B115" s="2">
        <v>4</v>
      </c>
      <c r="C115" s="2">
        <v>3</v>
      </c>
      <c r="D115" s="2">
        <v>3</v>
      </c>
      <c r="E115" s="2">
        <v>2</v>
      </c>
      <c r="F115" s="2">
        <v>2</v>
      </c>
      <c r="G115" s="2">
        <v>2</v>
      </c>
      <c r="H115" s="2">
        <v>2</v>
      </c>
      <c r="I115" s="2">
        <v>2</v>
      </c>
      <c r="J115" s="2">
        <v>2</v>
      </c>
      <c r="K115" s="2">
        <v>2</v>
      </c>
      <c r="L115" s="2">
        <v>2</v>
      </c>
      <c r="M115" s="2">
        <v>2</v>
      </c>
      <c r="N115" s="2">
        <v>2</v>
      </c>
      <c r="O115" s="2">
        <v>2</v>
      </c>
      <c r="P115" s="2">
        <v>2</v>
      </c>
      <c r="Q115" s="2">
        <v>2</v>
      </c>
    </row>
    <row r="116" spans="1:17" x14ac:dyDescent="0.25">
      <c r="A116" s="5" t="s">
        <v>132</v>
      </c>
      <c r="B116" s="2">
        <v>1</v>
      </c>
      <c r="C116" s="2">
        <v>1</v>
      </c>
      <c r="D116" s="2">
        <v>1</v>
      </c>
      <c r="E116" s="2">
        <v>1</v>
      </c>
      <c r="F116" s="2">
        <v>1</v>
      </c>
      <c r="G116" s="2">
        <v>1</v>
      </c>
      <c r="H116" s="2">
        <v>1</v>
      </c>
      <c r="I116" s="2">
        <v>1</v>
      </c>
      <c r="J116" s="2">
        <v>1</v>
      </c>
      <c r="K116" s="2">
        <v>1</v>
      </c>
      <c r="L116" s="2">
        <v>1</v>
      </c>
      <c r="M116" s="2">
        <v>1</v>
      </c>
      <c r="N116" s="2">
        <v>0</v>
      </c>
      <c r="O116" s="2">
        <v>0</v>
      </c>
      <c r="P116" s="2">
        <v>0</v>
      </c>
      <c r="Q116" s="2">
        <v>0</v>
      </c>
    </row>
    <row r="117" spans="1:17" x14ac:dyDescent="0.25">
      <c r="A117" s="5" t="s">
        <v>129</v>
      </c>
      <c r="B117" s="2">
        <v>6</v>
      </c>
      <c r="C117" s="2">
        <v>7</v>
      </c>
      <c r="D117" s="2">
        <v>7</v>
      </c>
      <c r="E117" s="2">
        <v>7</v>
      </c>
      <c r="F117" s="2">
        <v>6</v>
      </c>
      <c r="G117" s="2">
        <v>6</v>
      </c>
      <c r="H117" s="2">
        <v>6</v>
      </c>
      <c r="I117" s="2">
        <v>6</v>
      </c>
      <c r="J117" s="2">
        <v>6</v>
      </c>
      <c r="K117" s="2">
        <v>6</v>
      </c>
      <c r="L117" s="2">
        <v>6</v>
      </c>
      <c r="M117" s="2">
        <v>6</v>
      </c>
      <c r="N117" s="2">
        <v>6</v>
      </c>
      <c r="O117" s="2">
        <v>6</v>
      </c>
      <c r="P117" s="2">
        <v>6</v>
      </c>
      <c r="Q117" s="2">
        <v>6</v>
      </c>
    </row>
    <row r="118" spans="1:17" x14ac:dyDescent="0.25">
      <c r="A118" s="5" t="s">
        <v>137</v>
      </c>
      <c r="B118" s="2">
        <v>0</v>
      </c>
      <c r="C118" s="2">
        <v>0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</row>
    <row r="119" spans="1:17" ht="13" x14ac:dyDescent="0.3">
      <c r="F119" s="12"/>
      <c r="G119" s="12"/>
      <c r="H119" s="12"/>
      <c r="I119" s="12"/>
      <c r="J119" s="12"/>
      <c r="K119" s="12"/>
      <c r="L119" s="12"/>
    </row>
    <row r="120" spans="1:17" ht="13" x14ac:dyDescent="0.3">
      <c r="A120" s="6" t="s">
        <v>154</v>
      </c>
      <c r="B120" s="3">
        <v>38</v>
      </c>
      <c r="C120" s="3">
        <v>36</v>
      </c>
      <c r="D120" s="3">
        <v>35</v>
      </c>
      <c r="E120" s="3">
        <v>33</v>
      </c>
      <c r="F120" s="3">
        <v>31</v>
      </c>
      <c r="G120" s="3">
        <v>31</v>
      </c>
      <c r="H120" s="3">
        <v>31</v>
      </c>
      <c r="I120" s="3">
        <v>29</v>
      </c>
      <c r="J120" s="3">
        <v>26</v>
      </c>
      <c r="K120" s="3">
        <v>25</v>
      </c>
      <c r="L120" s="3">
        <v>25</v>
      </c>
      <c r="M120" s="3">
        <v>25</v>
      </c>
      <c r="N120" s="3">
        <v>24</v>
      </c>
      <c r="O120" s="3">
        <v>22</v>
      </c>
      <c r="P120" s="3">
        <v>20</v>
      </c>
      <c r="Q120" s="3">
        <v>20</v>
      </c>
    </row>
    <row r="121" spans="1:17" x14ac:dyDescent="0.25">
      <c r="A121" t="s">
        <v>179</v>
      </c>
      <c r="B121">
        <v>26</v>
      </c>
      <c r="C121">
        <v>24</v>
      </c>
      <c r="D121">
        <v>23</v>
      </c>
      <c r="E121">
        <v>22</v>
      </c>
      <c r="F121">
        <v>21</v>
      </c>
      <c r="G121">
        <v>21</v>
      </c>
      <c r="H121">
        <v>21</v>
      </c>
      <c r="I121">
        <v>19</v>
      </c>
      <c r="J121">
        <v>16</v>
      </c>
      <c r="K121">
        <v>15</v>
      </c>
      <c r="L121">
        <v>15</v>
      </c>
      <c r="M121">
        <v>15</v>
      </c>
      <c r="N121">
        <v>15</v>
      </c>
      <c r="O121">
        <v>13</v>
      </c>
      <c r="P121">
        <v>11</v>
      </c>
      <c r="Q121">
        <v>11</v>
      </c>
    </row>
    <row r="122" spans="1:17" ht="13" x14ac:dyDescent="0.3">
      <c r="F122" s="12"/>
      <c r="G122" s="12"/>
      <c r="H122" s="12"/>
      <c r="I122" s="12"/>
      <c r="J122" s="12"/>
      <c r="K122" s="12"/>
      <c r="L122" s="12"/>
    </row>
    <row r="123" spans="1:17" ht="13" x14ac:dyDescent="0.3">
      <c r="F123" s="12"/>
      <c r="G123" s="12"/>
      <c r="H123" s="12"/>
      <c r="I123" s="12"/>
      <c r="J123" s="12"/>
      <c r="K123" s="12"/>
      <c r="L123" s="12"/>
    </row>
    <row r="124" spans="1:17" ht="13" x14ac:dyDescent="0.3">
      <c r="A124" t="s">
        <v>200</v>
      </c>
      <c r="B124" t="s">
        <v>225</v>
      </c>
      <c r="F124" s="12"/>
      <c r="G124" s="12"/>
      <c r="H124" s="12"/>
      <c r="I124" s="12"/>
      <c r="J124" s="12"/>
      <c r="K124" s="12"/>
      <c r="L124" s="12"/>
    </row>
    <row r="125" spans="1:17" ht="13" x14ac:dyDescent="0.3">
      <c r="F125" s="12"/>
      <c r="G125" s="12"/>
      <c r="H125" s="12"/>
      <c r="I125" s="12"/>
      <c r="J125" s="12"/>
      <c r="K125" s="12"/>
    </row>
    <row r="126" spans="1:17" ht="13" x14ac:dyDescent="0.3">
      <c r="B126" s="3">
        <v>2015</v>
      </c>
      <c r="C126" s="3">
        <v>2016</v>
      </c>
      <c r="D126" s="3">
        <v>2017</v>
      </c>
      <c r="E126" s="3">
        <v>2018</v>
      </c>
      <c r="F126" s="3">
        <v>2019</v>
      </c>
      <c r="G126" s="3">
        <v>2020</v>
      </c>
      <c r="H126" s="3">
        <v>2021</v>
      </c>
      <c r="I126" s="3">
        <v>2022</v>
      </c>
      <c r="J126" s="3">
        <v>2023</v>
      </c>
      <c r="K126" s="3">
        <v>2024</v>
      </c>
      <c r="L126" s="3">
        <v>2025</v>
      </c>
      <c r="M126" s="3">
        <v>2026</v>
      </c>
      <c r="N126" s="3">
        <v>2027</v>
      </c>
      <c r="O126" s="3">
        <v>2028</v>
      </c>
      <c r="P126" s="3">
        <v>2029</v>
      </c>
      <c r="Q126" s="3">
        <v>2030</v>
      </c>
    </row>
    <row r="127" spans="1:17" x14ac:dyDescent="0.25">
      <c r="A127" s="4" t="s">
        <v>133</v>
      </c>
      <c r="B127" s="2">
        <v>4</v>
      </c>
      <c r="C127" s="2">
        <v>5</v>
      </c>
      <c r="D127" s="2">
        <v>6</v>
      </c>
      <c r="E127" s="2">
        <v>7</v>
      </c>
      <c r="F127" s="2">
        <v>7</v>
      </c>
      <c r="G127" s="2">
        <v>5</v>
      </c>
      <c r="H127" s="2">
        <v>4</v>
      </c>
      <c r="I127" s="2">
        <v>3</v>
      </c>
      <c r="J127" s="2">
        <v>1</v>
      </c>
      <c r="K127" s="2">
        <v>1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</row>
    <row r="128" spans="1:17" x14ac:dyDescent="0.25">
      <c r="A128" s="4" t="s">
        <v>134</v>
      </c>
      <c r="B128" s="2">
        <v>7</v>
      </c>
      <c r="C128" s="2">
        <v>7</v>
      </c>
      <c r="D128" s="2">
        <v>8</v>
      </c>
      <c r="E128" s="2">
        <v>8</v>
      </c>
      <c r="F128" s="2">
        <v>6</v>
      </c>
      <c r="G128" s="2">
        <v>6</v>
      </c>
      <c r="H128" s="2">
        <v>6</v>
      </c>
      <c r="I128" s="2">
        <v>6</v>
      </c>
      <c r="J128" s="2">
        <v>7</v>
      </c>
      <c r="K128" s="2">
        <v>6</v>
      </c>
      <c r="L128" s="2">
        <v>7</v>
      </c>
      <c r="M128" s="2">
        <v>6</v>
      </c>
      <c r="N128" s="2">
        <v>5</v>
      </c>
      <c r="O128" s="2">
        <v>4</v>
      </c>
      <c r="P128" s="2">
        <v>3</v>
      </c>
      <c r="Q128" s="2">
        <v>1</v>
      </c>
    </row>
    <row r="129" spans="1:17" x14ac:dyDescent="0.25">
      <c r="A129" s="4" t="s">
        <v>135</v>
      </c>
      <c r="B129" s="2">
        <v>12</v>
      </c>
      <c r="C129" s="2">
        <v>12</v>
      </c>
      <c r="D129" s="2">
        <v>12</v>
      </c>
      <c r="E129" s="2">
        <v>11</v>
      </c>
      <c r="F129" s="2">
        <v>13</v>
      </c>
      <c r="G129" s="2">
        <v>13</v>
      </c>
      <c r="H129" s="2">
        <v>14</v>
      </c>
      <c r="I129" s="2">
        <v>14</v>
      </c>
      <c r="J129" s="2">
        <v>14</v>
      </c>
      <c r="K129" s="2">
        <v>15</v>
      </c>
      <c r="L129" s="2">
        <v>15</v>
      </c>
      <c r="M129" s="2">
        <v>16</v>
      </c>
      <c r="N129" s="2">
        <v>16</v>
      </c>
      <c r="O129" s="2">
        <v>16</v>
      </c>
      <c r="P129" s="2">
        <v>16</v>
      </c>
      <c r="Q129" s="2">
        <v>18</v>
      </c>
    </row>
    <row r="130" spans="1:17" x14ac:dyDescent="0.25">
      <c r="A130" s="5" t="s">
        <v>130</v>
      </c>
      <c r="B130" s="2">
        <v>0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</row>
    <row r="131" spans="1:17" x14ac:dyDescent="0.25">
      <c r="A131" s="5" t="s">
        <v>131</v>
      </c>
      <c r="B131" s="2">
        <v>5</v>
      </c>
      <c r="C131" s="2">
        <v>4</v>
      </c>
      <c r="D131" s="2">
        <v>3</v>
      </c>
      <c r="E131" s="2">
        <v>3</v>
      </c>
      <c r="F131" s="2">
        <v>2</v>
      </c>
      <c r="G131" s="2">
        <v>2</v>
      </c>
      <c r="H131" s="2">
        <v>2</v>
      </c>
      <c r="I131" s="2">
        <v>2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</row>
    <row r="132" spans="1:17" x14ac:dyDescent="0.25">
      <c r="A132" s="5" t="s">
        <v>132</v>
      </c>
      <c r="B132" s="2">
        <v>1</v>
      </c>
      <c r="C132" s="2">
        <v>1</v>
      </c>
      <c r="D132" s="2">
        <v>1</v>
      </c>
      <c r="E132" s="2">
        <v>1</v>
      </c>
      <c r="F132" s="2">
        <v>1</v>
      </c>
      <c r="G132" s="2">
        <v>1</v>
      </c>
      <c r="H132" s="2">
        <v>1</v>
      </c>
      <c r="I132" s="2">
        <v>1</v>
      </c>
      <c r="J132" s="2">
        <v>1</v>
      </c>
      <c r="K132" s="2">
        <v>1</v>
      </c>
      <c r="L132" s="2">
        <v>1</v>
      </c>
      <c r="M132" s="2">
        <v>1</v>
      </c>
      <c r="N132" s="2">
        <v>1</v>
      </c>
      <c r="O132" s="2">
        <v>1</v>
      </c>
      <c r="P132" s="2">
        <v>1</v>
      </c>
      <c r="Q132" s="2">
        <v>1</v>
      </c>
    </row>
    <row r="133" spans="1:17" x14ac:dyDescent="0.25">
      <c r="A133" s="5" t="s">
        <v>129</v>
      </c>
      <c r="B133" s="2">
        <v>6</v>
      </c>
      <c r="C133" s="2">
        <v>7</v>
      </c>
      <c r="D133" s="2">
        <v>7</v>
      </c>
      <c r="E133" s="2">
        <v>7</v>
      </c>
      <c r="F133" s="2">
        <v>6</v>
      </c>
      <c r="G133" s="2">
        <v>6</v>
      </c>
      <c r="H133" s="2">
        <v>6</v>
      </c>
      <c r="I133" s="2">
        <v>6</v>
      </c>
      <c r="J133" s="2">
        <v>6</v>
      </c>
      <c r="K133" s="2">
        <v>6</v>
      </c>
      <c r="L133" s="2">
        <v>6</v>
      </c>
      <c r="M133" s="2">
        <v>4</v>
      </c>
      <c r="N133" s="2">
        <v>4</v>
      </c>
      <c r="O133" s="2">
        <v>4</v>
      </c>
      <c r="P133" s="2">
        <v>4</v>
      </c>
      <c r="Q133" s="2">
        <v>2</v>
      </c>
    </row>
    <row r="134" spans="1:17" x14ac:dyDescent="0.25">
      <c r="A134" s="5" t="s">
        <v>137</v>
      </c>
      <c r="B134" s="2">
        <v>0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</row>
    <row r="135" spans="1:17" ht="13" x14ac:dyDescent="0.3">
      <c r="F135" s="12"/>
      <c r="G135" s="12"/>
      <c r="H135" s="12"/>
      <c r="I135" s="12"/>
      <c r="J135" s="12"/>
      <c r="K135" s="12"/>
      <c r="L135" s="12"/>
    </row>
    <row r="136" spans="1:17" ht="13" x14ac:dyDescent="0.3">
      <c r="A136" s="6" t="s">
        <v>154</v>
      </c>
      <c r="B136" s="3">
        <v>35</v>
      </c>
      <c r="C136" s="3">
        <v>36</v>
      </c>
      <c r="D136" s="3">
        <v>37</v>
      </c>
      <c r="E136" s="3">
        <v>37</v>
      </c>
      <c r="F136" s="3">
        <v>35</v>
      </c>
      <c r="G136" s="3">
        <v>33</v>
      </c>
      <c r="H136" s="3">
        <v>33</v>
      </c>
      <c r="I136" s="3">
        <v>32</v>
      </c>
      <c r="J136" s="3">
        <v>29</v>
      </c>
      <c r="K136" s="3">
        <v>29</v>
      </c>
      <c r="L136" s="3">
        <v>29</v>
      </c>
      <c r="M136" s="3">
        <v>27</v>
      </c>
      <c r="N136" s="3">
        <v>26</v>
      </c>
      <c r="O136" s="3">
        <v>25</v>
      </c>
      <c r="P136" s="3">
        <v>24</v>
      </c>
      <c r="Q136" s="3">
        <v>22</v>
      </c>
    </row>
    <row r="137" spans="1:17" x14ac:dyDescent="0.25">
      <c r="A137" t="s">
        <v>179</v>
      </c>
      <c r="B137">
        <v>23</v>
      </c>
      <c r="C137">
        <v>24</v>
      </c>
      <c r="D137">
        <v>26</v>
      </c>
      <c r="E137">
        <v>26</v>
      </c>
      <c r="F137">
        <v>26</v>
      </c>
      <c r="G137">
        <v>24</v>
      </c>
      <c r="H137">
        <v>24</v>
      </c>
      <c r="I137">
        <v>23</v>
      </c>
      <c r="J137">
        <v>22</v>
      </c>
      <c r="K137">
        <v>22</v>
      </c>
      <c r="L137">
        <v>22</v>
      </c>
      <c r="M137">
        <v>22</v>
      </c>
      <c r="N137">
        <v>21</v>
      </c>
      <c r="O137">
        <v>20</v>
      </c>
      <c r="P137">
        <v>19</v>
      </c>
      <c r="Q137">
        <v>19</v>
      </c>
    </row>
    <row r="138" spans="1:17" ht="13" x14ac:dyDescent="0.3">
      <c r="F138" s="12"/>
      <c r="G138" s="12"/>
      <c r="H138" s="12"/>
      <c r="I138" s="12"/>
      <c r="J138" s="12"/>
      <c r="K138" s="12"/>
      <c r="L138" s="12"/>
    </row>
    <row r="139" spans="1:17" ht="13" x14ac:dyDescent="0.3">
      <c r="F139" s="12"/>
      <c r="G139" s="12"/>
      <c r="H139" s="12"/>
      <c r="I139" s="12"/>
      <c r="J139" s="12"/>
      <c r="K139" s="12"/>
      <c r="L139" s="12"/>
    </row>
    <row r="140" spans="1:17" ht="13" x14ac:dyDescent="0.3">
      <c r="F140" s="12"/>
      <c r="G140" s="12"/>
      <c r="H140" s="12"/>
      <c r="I140" s="12"/>
      <c r="J140" s="12"/>
      <c r="K140" s="12"/>
      <c r="L140" s="12"/>
    </row>
    <row r="141" spans="1:17" ht="13" x14ac:dyDescent="0.3">
      <c r="A141" t="s">
        <v>201</v>
      </c>
      <c r="B141" t="s">
        <v>225</v>
      </c>
      <c r="F141" s="12"/>
      <c r="G141" s="12"/>
      <c r="H141" s="12"/>
      <c r="I141" s="12"/>
      <c r="J141" s="12"/>
      <c r="K141" s="12"/>
      <c r="L141" s="12"/>
    </row>
    <row r="142" spans="1:17" ht="13" x14ac:dyDescent="0.3">
      <c r="F142" s="12"/>
      <c r="G142" s="12"/>
      <c r="H142" s="12"/>
      <c r="I142" s="12"/>
      <c r="J142" s="12"/>
      <c r="K142" s="12"/>
      <c r="L142" s="12"/>
    </row>
    <row r="143" spans="1:17" ht="13" x14ac:dyDescent="0.3">
      <c r="B143" s="3">
        <v>2015</v>
      </c>
      <c r="C143" s="3">
        <v>2016</v>
      </c>
      <c r="D143" s="3">
        <v>2017</v>
      </c>
      <c r="E143" s="3">
        <v>2018</v>
      </c>
      <c r="F143" s="3">
        <v>2019</v>
      </c>
      <c r="G143" s="3">
        <v>2020</v>
      </c>
      <c r="H143" s="3">
        <v>2021</v>
      </c>
      <c r="I143" s="3">
        <v>2022</v>
      </c>
      <c r="J143" s="3">
        <v>2023</v>
      </c>
      <c r="K143" s="3">
        <v>2024</v>
      </c>
      <c r="L143" s="3">
        <v>2025</v>
      </c>
      <c r="M143" s="3">
        <v>2026</v>
      </c>
      <c r="N143" s="3">
        <v>2027</v>
      </c>
      <c r="O143" s="3">
        <v>2028</v>
      </c>
      <c r="P143" s="3">
        <v>2029</v>
      </c>
      <c r="Q143" s="3">
        <v>2030</v>
      </c>
    </row>
    <row r="144" spans="1:17" x14ac:dyDescent="0.25">
      <c r="A144" s="4" t="s">
        <v>133</v>
      </c>
      <c r="B144" s="2">
        <v>10</v>
      </c>
      <c r="C144" s="2">
        <v>10</v>
      </c>
      <c r="D144" s="2">
        <v>10</v>
      </c>
      <c r="E144" s="2">
        <v>10</v>
      </c>
      <c r="F144" s="2">
        <v>8</v>
      </c>
      <c r="G144" s="2">
        <v>6</v>
      </c>
      <c r="H144" s="2">
        <v>6</v>
      </c>
      <c r="I144" s="2">
        <v>4</v>
      </c>
      <c r="J144" s="2">
        <v>5</v>
      </c>
      <c r="K144" s="2">
        <v>4</v>
      </c>
      <c r="L144" s="2">
        <v>3</v>
      </c>
      <c r="M144" s="2">
        <v>3</v>
      </c>
      <c r="N144" s="2">
        <v>3</v>
      </c>
      <c r="O144" s="2">
        <v>1</v>
      </c>
      <c r="P144" s="2">
        <v>1</v>
      </c>
      <c r="Q144" s="2">
        <v>0</v>
      </c>
    </row>
    <row r="145" spans="1:17" x14ac:dyDescent="0.25">
      <c r="A145" s="4" t="s">
        <v>134</v>
      </c>
      <c r="B145" s="2">
        <v>4</v>
      </c>
      <c r="C145" s="2">
        <v>5</v>
      </c>
      <c r="D145" s="2">
        <v>6</v>
      </c>
      <c r="E145" s="2">
        <v>7</v>
      </c>
      <c r="F145" s="2">
        <v>8</v>
      </c>
      <c r="G145" s="2">
        <v>10</v>
      </c>
      <c r="H145" s="2">
        <v>11</v>
      </c>
      <c r="I145" s="2">
        <v>14</v>
      </c>
      <c r="J145" s="2">
        <v>12</v>
      </c>
      <c r="K145" s="2">
        <v>13</v>
      </c>
      <c r="L145" s="2">
        <v>14</v>
      </c>
      <c r="M145" s="2">
        <v>14</v>
      </c>
      <c r="N145" s="2">
        <v>13</v>
      </c>
      <c r="O145" s="2">
        <v>15</v>
      </c>
      <c r="P145" s="2">
        <v>15</v>
      </c>
      <c r="Q145" s="2">
        <v>16</v>
      </c>
    </row>
    <row r="146" spans="1:17" x14ac:dyDescent="0.25">
      <c r="A146" s="4" t="s">
        <v>135</v>
      </c>
      <c r="B146" s="2">
        <v>0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</row>
    <row r="147" spans="1:17" x14ac:dyDescent="0.25">
      <c r="A147" s="5" t="s">
        <v>130</v>
      </c>
      <c r="B147" s="2">
        <v>1</v>
      </c>
      <c r="C147" s="2">
        <v>1</v>
      </c>
      <c r="D147" s="2">
        <v>1</v>
      </c>
      <c r="E147" s="2">
        <v>1</v>
      </c>
      <c r="F147" s="2">
        <v>1</v>
      </c>
      <c r="G147" s="2">
        <v>1</v>
      </c>
      <c r="H147" s="2">
        <v>1</v>
      </c>
      <c r="I147" s="2">
        <v>1</v>
      </c>
      <c r="J147" s="2">
        <v>1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</row>
    <row r="148" spans="1:17" x14ac:dyDescent="0.25">
      <c r="A148" s="5" t="s">
        <v>131</v>
      </c>
      <c r="B148" s="2">
        <v>1</v>
      </c>
      <c r="C148" s="2">
        <v>1</v>
      </c>
      <c r="D148" s="2">
        <v>1</v>
      </c>
      <c r="E148" s="2">
        <v>1</v>
      </c>
      <c r="F148" s="2">
        <v>1</v>
      </c>
      <c r="G148" s="2">
        <v>1</v>
      </c>
      <c r="H148" s="2">
        <v>1</v>
      </c>
      <c r="I148" s="2">
        <v>1</v>
      </c>
      <c r="J148" s="2">
        <v>1</v>
      </c>
      <c r="K148" s="2">
        <v>1</v>
      </c>
      <c r="L148" s="2">
        <v>1</v>
      </c>
      <c r="M148" s="2">
        <v>1</v>
      </c>
      <c r="N148" s="2">
        <v>1</v>
      </c>
      <c r="O148" s="2">
        <v>1</v>
      </c>
      <c r="P148" s="2">
        <v>1</v>
      </c>
      <c r="Q148" s="2">
        <v>1</v>
      </c>
    </row>
    <row r="149" spans="1:17" x14ac:dyDescent="0.25">
      <c r="A149" s="5" t="s">
        <v>132</v>
      </c>
      <c r="B149" s="2">
        <v>0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</row>
    <row r="150" spans="1:17" x14ac:dyDescent="0.25">
      <c r="A150" s="5" t="s">
        <v>129</v>
      </c>
      <c r="B150" s="2">
        <v>0</v>
      </c>
      <c r="C150" s="2">
        <v>0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</row>
    <row r="151" spans="1:17" x14ac:dyDescent="0.25">
      <c r="A151" s="5" t="s">
        <v>137</v>
      </c>
      <c r="B151" s="2">
        <v>0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</row>
    <row r="152" spans="1:17" ht="13" x14ac:dyDescent="0.3">
      <c r="F152" s="12"/>
      <c r="G152" s="12"/>
      <c r="H152" s="12"/>
      <c r="I152" s="12"/>
      <c r="J152" s="12"/>
      <c r="K152" s="12"/>
      <c r="L152" s="12"/>
    </row>
    <row r="153" spans="1:17" ht="13" x14ac:dyDescent="0.3">
      <c r="A153" s="6" t="s">
        <v>154</v>
      </c>
      <c r="B153" s="3">
        <v>16</v>
      </c>
      <c r="C153" s="3">
        <v>17</v>
      </c>
      <c r="D153" s="3">
        <v>18</v>
      </c>
      <c r="E153" s="3">
        <v>19</v>
      </c>
      <c r="F153" s="3">
        <v>18</v>
      </c>
      <c r="G153" s="3">
        <v>18</v>
      </c>
      <c r="H153" s="3">
        <v>19</v>
      </c>
      <c r="I153" s="3">
        <v>20</v>
      </c>
      <c r="J153" s="3">
        <v>19</v>
      </c>
      <c r="K153" s="3">
        <v>18</v>
      </c>
      <c r="L153" s="3">
        <v>18</v>
      </c>
      <c r="M153" s="3">
        <v>18</v>
      </c>
      <c r="N153" s="3">
        <v>17</v>
      </c>
      <c r="O153" s="3">
        <v>17</v>
      </c>
      <c r="P153" s="3">
        <v>17</v>
      </c>
      <c r="Q153" s="3">
        <v>17</v>
      </c>
    </row>
    <row r="154" spans="1:17" x14ac:dyDescent="0.25">
      <c r="A154" t="s">
        <v>179</v>
      </c>
      <c r="B154">
        <v>14</v>
      </c>
      <c r="C154">
        <v>15</v>
      </c>
      <c r="D154">
        <v>16</v>
      </c>
      <c r="E154">
        <v>17</v>
      </c>
      <c r="F154">
        <v>16</v>
      </c>
      <c r="G154">
        <v>16</v>
      </c>
      <c r="H154">
        <v>17</v>
      </c>
      <c r="I154">
        <v>18</v>
      </c>
      <c r="J154">
        <v>17</v>
      </c>
      <c r="K154">
        <v>17</v>
      </c>
      <c r="L154">
        <v>17</v>
      </c>
      <c r="M154">
        <v>17</v>
      </c>
      <c r="N154">
        <v>16</v>
      </c>
      <c r="O154">
        <v>16</v>
      </c>
      <c r="P154">
        <v>16</v>
      </c>
      <c r="Q154">
        <v>16</v>
      </c>
    </row>
    <row r="155" spans="1:17" ht="13" x14ac:dyDescent="0.3">
      <c r="F155" s="12"/>
      <c r="G155" s="12"/>
      <c r="H155" s="12"/>
      <c r="I155" s="12"/>
      <c r="J155" s="12"/>
      <c r="K155" s="12"/>
      <c r="L155" s="12"/>
    </row>
    <row r="156" spans="1:17" ht="13" x14ac:dyDescent="0.3">
      <c r="F156" s="12"/>
      <c r="G156" s="12"/>
      <c r="H156" s="12"/>
      <c r="I156" s="12"/>
      <c r="J156" s="12"/>
      <c r="K156" s="12"/>
      <c r="L156" s="12"/>
    </row>
    <row r="157" spans="1:17" ht="13" x14ac:dyDescent="0.3">
      <c r="F157" s="12"/>
      <c r="G157" s="12"/>
      <c r="H157" s="12"/>
      <c r="I157" s="12"/>
      <c r="J157" s="12"/>
      <c r="K157" s="12"/>
      <c r="L157" s="12"/>
    </row>
    <row r="158" spans="1:17" ht="13" x14ac:dyDescent="0.3">
      <c r="F158" s="12"/>
      <c r="G158" s="12"/>
      <c r="H158" s="12"/>
      <c r="I158" s="12"/>
      <c r="J158" s="12"/>
      <c r="K158" s="12"/>
      <c r="L158" s="12"/>
    </row>
    <row r="159" spans="1:17" ht="13" x14ac:dyDescent="0.3">
      <c r="F159" s="12"/>
      <c r="G159" s="12"/>
      <c r="H159" s="12"/>
      <c r="I159" s="12"/>
      <c r="J159" s="12"/>
      <c r="K159" s="12"/>
      <c r="L159" s="12"/>
    </row>
    <row r="160" spans="1:17" ht="13" x14ac:dyDescent="0.3">
      <c r="F160" s="12"/>
      <c r="G160" s="12"/>
      <c r="H160" s="12"/>
      <c r="I160" s="12"/>
      <c r="J160" s="12"/>
      <c r="K160" s="12"/>
      <c r="L160" s="12"/>
      <c r="M160" s="12"/>
    </row>
    <row r="161" spans="1:17" ht="13" x14ac:dyDescent="0.3">
      <c r="F161" s="12"/>
      <c r="G161" s="12"/>
      <c r="H161" s="12"/>
      <c r="I161" s="12"/>
      <c r="J161" s="12"/>
      <c r="K161" s="12"/>
      <c r="L161" s="12"/>
      <c r="M161" s="12"/>
    </row>
    <row r="162" spans="1:17" ht="13" x14ac:dyDescent="0.3">
      <c r="A162" s="36" t="s">
        <v>268</v>
      </c>
      <c r="F162" s="37"/>
      <c r="G162" s="37"/>
      <c r="H162" s="37"/>
      <c r="I162" s="37"/>
      <c r="J162" s="38"/>
      <c r="K162" s="37"/>
    </row>
    <row r="163" spans="1:17" ht="13" x14ac:dyDescent="0.3">
      <c r="F163" s="12"/>
      <c r="G163" s="12"/>
      <c r="H163" s="12"/>
      <c r="I163" s="12"/>
      <c r="J163" s="13"/>
      <c r="K163" s="12"/>
    </row>
    <row r="164" spans="1:17" ht="13" x14ac:dyDescent="0.3">
      <c r="A164" t="s">
        <v>304</v>
      </c>
      <c r="B164" s="3">
        <v>2015</v>
      </c>
      <c r="C164" s="3">
        <v>2016</v>
      </c>
      <c r="D164" s="3">
        <v>2017</v>
      </c>
      <c r="E164" s="3">
        <v>2018</v>
      </c>
      <c r="F164" s="3">
        <v>2019</v>
      </c>
      <c r="G164" s="3">
        <v>2020</v>
      </c>
      <c r="H164" s="3">
        <v>2021</v>
      </c>
      <c r="I164" s="3">
        <v>2022</v>
      </c>
      <c r="J164" s="3">
        <v>2023</v>
      </c>
      <c r="K164" s="3">
        <v>2024</v>
      </c>
      <c r="L164" s="3">
        <v>2025</v>
      </c>
      <c r="M164" s="3">
        <v>2026</v>
      </c>
      <c r="N164" s="3">
        <v>2027</v>
      </c>
      <c r="O164" s="3">
        <v>2028</v>
      </c>
      <c r="P164" s="3">
        <v>2029</v>
      </c>
      <c r="Q164" s="3">
        <v>2030</v>
      </c>
    </row>
    <row r="165" spans="1:17" x14ac:dyDescent="0.25">
      <c r="A165" s="4" t="s">
        <v>133</v>
      </c>
      <c r="B165" s="34">
        <v>9349200</v>
      </c>
      <c r="C165" s="34">
        <v>8904000</v>
      </c>
      <c r="D165" s="34">
        <v>9794400</v>
      </c>
      <c r="E165" s="34">
        <v>9349200</v>
      </c>
      <c r="F165" s="34">
        <v>7999776</v>
      </c>
      <c r="G165" s="34">
        <v>6208210.625</v>
      </c>
      <c r="H165" s="34">
        <v>4727036.041666667</v>
      </c>
      <c r="I165" s="34">
        <v>3284950.9583333335</v>
      </c>
      <c r="J165" s="34">
        <v>1235876.75</v>
      </c>
      <c r="K165" s="34">
        <v>723365.75</v>
      </c>
      <c r="L165" s="34">
        <v>0</v>
      </c>
      <c r="M165" s="34">
        <v>0</v>
      </c>
      <c r="N165" s="34">
        <v>0</v>
      </c>
      <c r="O165" s="34">
        <v>0</v>
      </c>
      <c r="P165" s="34">
        <v>0</v>
      </c>
      <c r="Q165" s="34">
        <v>0</v>
      </c>
    </row>
    <row r="166" spans="1:17" x14ac:dyDescent="0.25">
      <c r="A166" s="4" t="s">
        <v>134</v>
      </c>
      <c r="B166" s="34">
        <v>19598750</v>
      </c>
      <c r="C166" s="34">
        <v>20382700</v>
      </c>
      <c r="D166" s="34">
        <v>21166650</v>
      </c>
      <c r="E166" s="34">
        <v>21166650</v>
      </c>
      <c r="F166" s="34">
        <v>16447085.25</v>
      </c>
      <c r="G166" s="34">
        <v>15576141.25</v>
      </c>
      <c r="H166" s="34">
        <v>16561861.5</v>
      </c>
      <c r="I166" s="34">
        <v>15371150.25</v>
      </c>
      <c r="J166" s="34">
        <v>16273714.954861112</v>
      </c>
      <c r="K166" s="34">
        <v>15094464.454861112</v>
      </c>
      <c r="L166" s="34">
        <v>13821363.413194444</v>
      </c>
      <c r="M166" s="34">
        <v>11461431.663194444</v>
      </c>
      <c r="N166" s="34">
        <v>9837678.9583333321</v>
      </c>
      <c r="O166" s="34">
        <v>6970316.708333334</v>
      </c>
      <c r="P166" s="34">
        <v>5048316</v>
      </c>
      <c r="Q166" s="34">
        <v>1442376</v>
      </c>
    </row>
    <row r="167" spans="1:17" x14ac:dyDescent="0.25">
      <c r="A167" s="4" t="s">
        <v>135</v>
      </c>
      <c r="B167" s="34">
        <v>44511650</v>
      </c>
      <c r="C167" s="34">
        <v>43426000</v>
      </c>
      <c r="D167" s="34">
        <v>44511650</v>
      </c>
      <c r="E167" s="34">
        <v>43426000</v>
      </c>
      <c r="F167" s="34">
        <v>32415438.850000001</v>
      </c>
      <c r="G167" s="34">
        <v>35392765.266666666</v>
      </c>
      <c r="H167" s="34">
        <v>36719852.299999997</v>
      </c>
      <c r="I167" s="34">
        <v>39754172.625</v>
      </c>
      <c r="J167" s="34">
        <v>38585942.25</v>
      </c>
      <c r="K167" s="34">
        <v>40352092.416666672</v>
      </c>
      <c r="L167" s="34">
        <v>43904738.25</v>
      </c>
      <c r="M167" s="34">
        <v>47627051.75</v>
      </c>
      <c r="N167" s="34">
        <v>49711557</v>
      </c>
      <c r="O167" s="34">
        <v>50474624.125</v>
      </c>
      <c r="P167" s="34">
        <v>50586299.125</v>
      </c>
      <c r="Q167" s="34">
        <v>54210897</v>
      </c>
    </row>
    <row r="168" spans="1:17" x14ac:dyDescent="0.25">
      <c r="A168" s="5" t="s">
        <v>130</v>
      </c>
      <c r="B168" s="34">
        <v>297623.75</v>
      </c>
      <c r="C168" s="34">
        <v>297623.75</v>
      </c>
      <c r="D168" s="34">
        <v>0</v>
      </c>
      <c r="E168" s="34">
        <v>0</v>
      </c>
      <c r="F168" s="34">
        <v>0</v>
      </c>
      <c r="G168" s="34">
        <v>0</v>
      </c>
      <c r="H168" s="34">
        <v>0</v>
      </c>
      <c r="I168" s="34">
        <v>0</v>
      </c>
      <c r="J168" s="34">
        <v>0</v>
      </c>
      <c r="K168" s="34">
        <v>0</v>
      </c>
      <c r="L168" s="34">
        <v>0</v>
      </c>
      <c r="M168" s="34">
        <v>0</v>
      </c>
      <c r="N168" s="34">
        <v>0</v>
      </c>
      <c r="O168" s="34">
        <v>0</v>
      </c>
      <c r="P168" s="34">
        <v>0</v>
      </c>
      <c r="Q168" s="34">
        <v>0</v>
      </c>
    </row>
    <row r="169" spans="1:17" x14ac:dyDescent="0.25">
      <c r="A169" s="5" t="s">
        <v>131</v>
      </c>
      <c r="B169" s="34">
        <v>4421825.6399999997</v>
      </c>
      <c r="C169" s="34">
        <v>4718003.6399999997</v>
      </c>
      <c r="D169" s="34">
        <v>4034733.6399999997</v>
      </c>
      <c r="E169" s="34">
        <v>4034733.6399999997</v>
      </c>
      <c r="F169" s="34">
        <v>3864512.8899999997</v>
      </c>
      <c r="G169" s="34">
        <v>3864512.8899999997</v>
      </c>
      <c r="H169" s="34">
        <v>3547820.9983333331</v>
      </c>
      <c r="I169" s="34">
        <v>2956723.3191666668</v>
      </c>
      <c r="J169" s="34">
        <v>2086418.4858333333</v>
      </c>
      <c r="K169" s="34">
        <v>1963885.0899999999</v>
      </c>
      <c r="L169" s="34">
        <v>1963885.0899999999</v>
      </c>
      <c r="M169" s="34">
        <v>1963885.0899999999</v>
      </c>
      <c r="N169" s="34">
        <v>1863013.9233333331</v>
      </c>
      <c r="O169" s="34">
        <v>1248013.1316666666</v>
      </c>
      <c r="P169" s="34">
        <v>1128335.8399999999</v>
      </c>
      <c r="Q169" s="34">
        <v>1004053.7566666666</v>
      </c>
    </row>
    <row r="170" spans="1:17" x14ac:dyDescent="0.25">
      <c r="A170" s="5" t="s">
        <v>132</v>
      </c>
      <c r="B170" s="34">
        <v>0</v>
      </c>
      <c r="C170" s="34">
        <v>0</v>
      </c>
      <c r="D170" s="34">
        <v>0</v>
      </c>
      <c r="E170" s="34">
        <v>0</v>
      </c>
      <c r="F170" s="34">
        <v>0</v>
      </c>
      <c r="G170" s="34">
        <v>0</v>
      </c>
      <c r="H170" s="34">
        <v>0</v>
      </c>
      <c r="I170" s="34">
        <v>0</v>
      </c>
      <c r="J170" s="34">
        <v>0</v>
      </c>
      <c r="K170" s="34">
        <v>0</v>
      </c>
      <c r="L170" s="34">
        <v>0</v>
      </c>
      <c r="M170" s="34">
        <v>0</v>
      </c>
      <c r="N170" s="34">
        <v>0</v>
      </c>
      <c r="O170" s="34">
        <v>0</v>
      </c>
      <c r="P170" s="34">
        <v>0</v>
      </c>
      <c r="Q170" s="34">
        <v>0</v>
      </c>
    </row>
    <row r="171" spans="1:17" x14ac:dyDescent="0.25">
      <c r="A171" s="5" t="s">
        <v>129</v>
      </c>
      <c r="B171" s="34">
        <v>2855176.7750000004</v>
      </c>
      <c r="C171" s="34">
        <v>2972242.0250000004</v>
      </c>
      <c r="D171" s="34">
        <v>2972242.0250000004</v>
      </c>
      <c r="E171" s="34">
        <v>2972242.0250000004</v>
      </c>
      <c r="F171" s="34">
        <v>2917875.0250000004</v>
      </c>
      <c r="G171" s="34">
        <v>2917875.0250000004</v>
      </c>
      <c r="H171" s="34">
        <v>2772381.1916666669</v>
      </c>
      <c r="I171" s="34">
        <v>2649822.0666666669</v>
      </c>
      <c r="J171" s="34">
        <v>2444837.5250000004</v>
      </c>
      <c r="K171" s="34">
        <v>2340862.1083333339</v>
      </c>
      <c r="L171" s="34">
        <v>2051828.3541666667</v>
      </c>
      <c r="M171" s="34">
        <v>1619655.0616666668</v>
      </c>
      <c r="N171" s="34">
        <v>1333294.0825</v>
      </c>
      <c r="O171" s="34">
        <v>1348977.145</v>
      </c>
      <c r="P171" s="34">
        <v>1087723.7104166667</v>
      </c>
      <c r="Q171" s="34">
        <v>1023181.7</v>
      </c>
    </row>
    <row r="172" spans="1:17" x14ac:dyDescent="0.25">
      <c r="A172" s="5" t="s">
        <v>137</v>
      </c>
      <c r="B172" s="34">
        <v>0</v>
      </c>
      <c r="C172" s="34">
        <v>0</v>
      </c>
      <c r="D172" s="34">
        <v>0</v>
      </c>
      <c r="E172" s="34">
        <v>0</v>
      </c>
      <c r="F172" s="34">
        <v>0</v>
      </c>
      <c r="G172" s="34">
        <v>0</v>
      </c>
      <c r="H172" s="34">
        <v>0</v>
      </c>
      <c r="I172" s="34">
        <v>0</v>
      </c>
      <c r="J172" s="34">
        <v>0</v>
      </c>
      <c r="K172" s="34">
        <v>0</v>
      </c>
      <c r="L172" s="34">
        <v>0</v>
      </c>
      <c r="M172" s="34">
        <v>0</v>
      </c>
      <c r="N172" s="34">
        <v>0</v>
      </c>
      <c r="O172" s="34">
        <v>0</v>
      </c>
      <c r="P172" s="34">
        <v>0</v>
      </c>
      <c r="Q172" s="34">
        <v>0</v>
      </c>
    </row>
    <row r="173" spans="1:17" x14ac:dyDescent="0.25">
      <c r="A173" s="62" t="s">
        <v>138</v>
      </c>
      <c r="B173" s="34">
        <v>7678464.7450000001</v>
      </c>
      <c r="C173" s="34">
        <v>5254475.4950000001</v>
      </c>
      <c r="D173" s="34">
        <v>1771862.9950000001</v>
      </c>
      <c r="E173" s="34">
        <v>445136</v>
      </c>
      <c r="F173" s="34">
        <v>729197.92500000005</v>
      </c>
      <c r="G173" s="34">
        <v>215116.08124999996</v>
      </c>
      <c r="H173" s="34">
        <v>162496.58124999999</v>
      </c>
      <c r="I173" s="34">
        <v>1668535.175</v>
      </c>
      <c r="J173" s="34">
        <v>974540.98708333331</v>
      </c>
      <c r="K173" s="34">
        <v>503436.74166666658</v>
      </c>
      <c r="L173" s="34">
        <v>306115.10416666669</v>
      </c>
      <c r="M173" s="34">
        <v>0</v>
      </c>
      <c r="N173" s="34">
        <v>572420.16666666663</v>
      </c>
      <c r="O173" s="34">
        <v>1827900.1875</v>
      </c>
      <c r="P173" s="34">
        <v>1969284.4968750002</v>
      </c>
      <c r="Q173" s="34">
        <v>250093.75</v>
      </c>
    </row>
    <row r="174" spans="1:17" x14ac:dyDescent="0.25">
      <c r="A174" s="62" t="s">
        <v>388</v>
      </c>
      <c r="B174" s="34">
        <v>0</v>
      </c>
      <c r="C174" s="34">
        <v>0</v>
      </c>
      <c r="D174" s="34">
        <v>0</v>
      </c>
      <c r="E174" s="34">
        <v>857035.80500000005</v>
      </c>
      <c r="F174" s="34">
        <v>672750.2350000001</v>
      </c>
      <c r="G174" s="34">
        <v>390668.26</v>
      </c>
      <c r="H174" s="34">
        <v>390668.26</v>
      </c>
      <c r="I174" s="34">
        <v>390668.26</v>
      </c>
      <c r="J174" s="34">
        <v>390668.26</v>
      </c>
      <c r="K174" s="34">
        <v>390668.26</v>
      </c>
      <c r="L174" s="34">
        <v>390668.26</v>
      </c>
      <c r="M174" s="34">
        <v>390668.26</v>
      </c>
      <c r="N174" s="34">
        <v>390668.26</v>
      </c>
      <c r="O174" s="34">
        <v>390668.26</v>
      </c>
      <c r="P174" s="34">
        <v>390668.26</v>
      </c>
      <c r="Q174" s="34">
        <v>174581.2</v>
      </c>
    </row>
    <row r="175" spans="1:17" x14ac:dyDescent="0.25">
      <c r="A175" s="62" t="s">
        <v>389</v>
      </c>
      <c r="B175" s="34">
        <v>0</v>
      </c>
      <c r="C175" s="34">
        <v>0</v>
      </c>
      <c r="D175" s="34">
        <v>0</v>
      </c>
      <c r="E175" s="34">
        <v>383682.61749999999</v>
      </c>
      <c r="F175" s="34">
        <v>567968.1875</v>
      </c>
      <c r="G175" s="34">
        <v>1254597.2250000001</v>
      </c>
      <c r="H175" s="34">
        <v>1254597.2250000001</v>
      </c>
      <c r="I175" s="34">
        <v>1453180.0150000001</v>
      </c>
      <c r="J175" s="34">
        <v>2921941.5604166668</v>
      </c>
      <c r="K175" s="34">
        <v>3324433.4812500007</v>
      </c>
      <c r="L175" s="34">
        <v>3173684.4300000006</v>
      </c>
      <c r="M175" s="34">
        <v>3173684.4300000006</v>
      </c>
      <c r="N175" s="34">
        <v>2775191.521666667</v>
      </c>
      <c r="O175" s="34">
        <v>2406997.1100000003</v>
      </c>
      <c r="P175" s="34">
        <v>2329260.08</v>
      </c>
      <c r="Q175" s="34">
        <v>2122742.8016666672</v>
      </c>
    </row>
    <row r="176" spans="1:17" x14ac:dyDescent="0.25">
      <c r="A176" s="62" t="s">
        <v>386</v>
      </c>
      <c r="B176" s="34">
        <v>0</v>
      </c>
      <c r="C176" s="34">
        <v>0</v>
      </c>
      <c r="D176" s="34">
        <v>0</v>
      </c>
      <c r="E176" s="34">
        <v>5000</v>
      </c>
      <c r="F176" s="34">
        <v>5000</v>
      </c>
      <c r="G176" s="34">
        <v>5000</v>
      </c>
      <c r="H176" s="34">
        <v>5000</v>
      </c>
      <c r="I176" s="34">
        <v>5000</v>
      </c>
      <c r="J176" s="34">
        <v>5000</v>
      </c>
      <c r="K176" s="34">
        <v>5000</v>
      </c>
      <c r="L176" s="34">
        <v>5000</v>
      </c>
      <c r="M176" s="34">
        <v>5000</v>
      </c>
      <c r="N176" s="34">
        <v>5000</v>
      </c>
      <c r="O176" s="34">
        <v>5000</v>
      </c>
      <c r="P176" s="34">
        <v>5000</v>
      </c>
      <c r="Q176" s="34">
        <v>5000</v>
      </c>
    </row>
    <row r="178" spans="1:17" ht="13" x14ac:dyDescent="0.3">
      <c r="A178" s="6" t="s">
        <v>305</v>
      </c>
      <c r="B178" s="33">
        <v>88712690.910000011</v>
      </c>
      <c r="C178" s="33">
        <v>85955044.910000011</v>
      </c>
      <c r="D178" s="33">
        <v>84251538.660000011</v>
      </c>
      <c r="E178" s="33">
        <v>82639680.087500021</v>
      </c>
      <c r="F178" s="33">
        <v>65619604.362499997</v>
      </c>
      <c r="G178" s="33">
        <v>65824886.622916661</v>
      </c>
      <c r="H178" s="33">
        <v>66141714.09791667</v>
      </c>
      <c r="I178" s="33">
        <v>67534202.669166654</v>
      </c>
      <c r="J178" s="33">
        <v>64918940.77319444</v>
      </c>
      <c r="K178" s="33">
        <v>64698208.302777782</v>
      </c>
      <c r="L178" s="33">
        <v>65617282.901527777</v>
      </c>
      <c r="M178" s="33">
        <v>66241376.254861116</v>
      </c>
      <c r="N178" s="33">
        <v>66488823.912499994</v>
      </c>
      <c r="O178" s="33">
        <v>64672496.667500004</v>
      </c>
      <c r="P178" s="33">
        <v>62544887.51229167</v>
      </c>
      <c r="Q178" s="33">
        <v>60232926.208333343</v>
      </c>
    </row>
    <row r="179" spans="1:17" x14ac:dyDescent="0.25">
      <c r="A179" t="s">
        <v>276</v>
      </c>
      <c r="B179" s="34"/>
      <c r="C179" s="34"/>
      <c r="D179" s="34"/>
      <c r="E179" s="34">
        <v>2834849.6</v>
      </c>
      <c r="F179" s="34"/>
      <c r="G179" s="34">
        <v>2757242.2</v>
      </c>
      <c r="H179" s="34">
        <v>2558604.7999999998</v>
      </c>
      <c r="I179" s="34">
        <v>2454667.2000000002</v>
      </c>
      <c r="J179" s="34">
        <v>2454667.2000000002</v>
      </c>
      <c r="K179" s="34">
        <v>2454667.2000000002</v>
      </c>
      <c r="L179" s="34">
        <v>2454667.2000000002</v>
      </c>
      <c r="M179" s="34">
        <v>2454667.2000000002</v>
      </c>
      <c r="N179" s="34">
        <v>2454667.2000000002</v>
      </c>
      <c r="O179" s="34">
        <v>2454667.2000000002</v>
      </c>
      <c r="P179" s="34">
        <v>2454667.2000000002</v>
      </c>
      <c r="Q179" s="34">
        <v>2454667.2000000002</v>
      </c>
    </row>
    <row r="180" spans="1:17" x14ac:dyDescent="0.25">
      <c r="A180" t="s">
        <v>284</v>
      </c>
      <c r="B180" s="34"/>
      <c r="C180" s="34"/>
      <c r="D180" s="34"/>
      <c r="E180" s="34">
        <v>2792042.125</v>
      </c>
      <c r="F180" s="34"/>
      <c r="G180" s="34">
        <v>1608850.375</v>
      </c>
      <c r="H180" s="34">
        <v>406235.4375</v>
      </c>
      <c r="I180" s="34">
        <v>320544.25</v>
      </c>
      <c r="J180" s="34">
        <v>320544.25</v>
      </c>
      <c r="K180" s="34">
        <v>320544.25</v>
      </c>
      <c r="L180" s="34">
        <v>320544.25</v>
      </c>
      <c r="M180" s="34">
        <v>320544.25</v>
      </c>
      <c r="N180" s="34">
        <v>320544.25</v>
      </c>
      <c r="O180" s="34">
        <v>320544.25</v>
      </c>
      <c r="P180" s="34">
        <v>320544.25</v>
      </c>
      <c r="Q180" s="34">
        <v>320544.25</v>
      </c>
    </row>
    <row r="181" spans="1:17" x14ac:dyDescent="0.25">
      <c r="A181" t="s">
        <v>281</v>
      </c>
      <c r="B181" s="34"/>
      <c r="C181" s="34"/>
      <c r="D181" s="34"/>
      <c r="E181" s="34">
        <v>1244537.8</v>
      </c>
      <c r="F181" s="34"/>
      <c r="G181" s="34">
        <v>1211328.6499999999</v>
      </c>
      <c r="H181" s="34">
        <v>1164830.8999999999</v>
      </c>
      <c r="I181" s="34">
        <v>1164830.8999999999</v>
      </c>
      <c r="J181" s="34">
        <v>1164830.8999999999</v>
      </c>
      <c r="K181" s="34">
        <v>1164830.8999999999</v>
      </c>
      <c r="L181" s="34">
        <v>1164830.8999999999</v>
      </c>
      <c r="M181" s="34">
        <v>1164830.8999999999</v>
      </c>
      <c r="N181" s="34">
        <v>1164830.8999999999</v>
      </c>
      <c r="O181" s="34">
        <v>1164830.8999999999</v>
      </c>
      <c r="P181" s="34">
        <v>1164830.8999999999</v>
      </c>
      <c r="Q181" s="34">
        <v>1164830.8999999999</v>
      </c>
    </row>
    <row r="182" spans="1:17" x14ac:dyDescent="0.25">
      <c r="A182" t="s">
        <v>285</v>
      </c>
      <c r="B182" s="34"/>
      <c r="C182" s="34"/>
      <c r="D182" s="34"/>
      <c r="E182" s="34">
        <v>900833.7</v>
      </c>
      <c r="F182" s="34"/>
      <c r="G182" s="34">
        <v>820892.15</v>
      </c>
      <c r="H182" s="34">
        <v>753806.95</v>
      </c>
      <c r="I182" s="34">
        <v>555194.25</v>
      </c>
      <c r="J182" s="34">
        <v>555194.25</v>
      </c>
      <c r="K182" s="34">
        <v>555194.25</v>
      </c>
      <c r="L182" s="34">
        <v>555194.25</v>
      </c>
      <c r="M182" s="34">
        <v>555194.25</v>
      </c>
      <c r="N182" s="34">
        <v>555194.25</v>
      </c>
      <c r="O182" s="34">
        <v>555194.25</v>
      </c>
      <c r="P182" s="34">
        <v>555194.25</v>
      </c>
      <c r="Q182" s="34">
        <v>555194.25</v>
      </c>
    </row>
    <row r="183" spans="1:17" x14ac:dyDescent="0.25">
      <c r="A183" t="s">
        <v>306</v>
      </c>
      <c r="B183" s="34"/>
      <c r="C183" s="34"/>
      <c r="D183" s="34"/>
      <c r="E183" s="34">
        <v>2955772.95</v>
      </c>
      <c r="F183" s="34"/>
      <c r="G183" s="34">
        <v>2732299.7</v>
      </c>
      <c r="H183" s="34">
        <v>2581345.65</v>
      </c>
      <c r="I183" s="34">
        <v>2515396.65</v>
      </c>
      <c r="J183" s="34">
        <v>2515396.65</v>
      </c>
      <c r="K183" s="34">
        <v>2515396.65</v>
      </c>
      <c r="L183" s="34">
        <v>2515396.65</v>
      </c>
      <c r="M183" s="34">
        <v>2515396.65</v>
      </c>
      <c r="N183" s="34">
        <v>2515396.65</v>
      </c>
      <c r="O183" s="34">
        <v>2515396.65</v>
      </c>
      <c r="P183" s="34">
        <v>2515396.65</v>
      </c>
      <c r="Q183" s="34">
        <v>2515396.65</v>
      </c>
    </row>
    <row r="184" spans="1:17" x14ac:dyDescent="0.25">
      <c r="A184" t="s">
        <v>282</v>
      </c>
      <c r="B184" s="34"/>
      <c r="C184" s="34"/>
      <c r="D184" s="34"/>
      <c r="E184" s="34">
        <v>82724.25</v>
      </c>
      <c r="F184" s="34"/>
      <c r="G184" s="34">
        <v>82724.25</v>
      </c>
      <c r="H184" s="34">
        <v>82724.25</v>
      </c>
      <c r="I184" s="34">
        <v>82724.25</v>
      </c>
      <c r="J184" s="34">
        <v>82724.25</v>
      </c>
      <c r="K184" s="34">
        <v>82724.25</v>
      </c>
      <c r="L184" s="34">
        <v>82724.25</v>
      </c>
      <c r="M184" s="34">
        <v>82724.25</v>
      </c>
      <c r="N184" s="34">
        <v>82724.25</v>
      </c>
      <c r="O184" s="34">
        <v>82724.25</v>
      </c>
      <c r="P184" s="34">
        <v>82724.25</v>
      </c>
      <c r="Q184" s="34">
        <v>82724.25</v>
      </c>
    </row>
    <row r="185" spans="1:17" x14ac:dyDescent="0.25">
      <c r="A185" s="32" t="s">
        <v>279</v>
      </c>
      <c r="B185" s="34"/>
      <c r="C185" s="34"/>
      <c r="D185" s="34"/>
      <c r="E185" s="34">
        <v>708834</v>
      </c>
      <c r="F185" s="34"/>
      <c r="G185" s="34">
        <v>708834</v>
      </c>
      <c r="H185" s="34">
        <v>708834</v>
      </c>
      <c r="I185" s="34">
        <v>708834</v>
      </c>
      <c r="J185" s="34">
        <v>708834</v>
      </c>
      <c r="K185" s="34">
        <v>708834</v>
      </c>
      <c r="L185" s="34">
        <v>708834</v>
      </c>
      <c r="M185" s="34">
        <v>708834</v>
      </c>
      <c r="N185" s="34">
        <v>708834</v>
      </c>
      <c r="O185" s="34">
        <v>708834</v>
      </c>
      <c r="P185" s="34">
        <v>708834</v>
      </c>
      <c r="Q185" s="34">
        <v>708834</v>
      </c>
    </row>
    <row r="186" spans="1:17" x14ac:dyDescent="0.25">
      <c r="A186" s="32" t="s">
        <v>278</v>
      </c>
      <c r="B186" s="34"/>
      <c r="C186" s="34"/>
      <c r="D186" s="34"/>
      <c r="E186" s="34">
        <v>3909319.85</v>
      </c>
      <c r="F186" s="34"/>
      <c r="G186" s="34">
        <v>3690984.2</v>
      </c>
      <c r="H186" s="34">
        <v>3395189.35</v>
      </c>
      <c r="I186" s="34">
        <v>3330376.55</v>
      </c>
      <c r="J186" s="34">
        <v>3330376.55</v>
      </c>
      <c r="K186" s="34">
        <v>3330376.55</v>
      </c>
      <c r="L186" s="34">
        <v>3330376.55</v>
      </c>
      <c r="M186" s="34">
        <v>3330376.55</v>
      </c>
      <c r="N186" s="34">
        <v>3330376.55</v>
      </c>
      <c r="O186" s="34">
        <v>3330376.55</v>
      </c>
      <c r="P186" s="34">
        <v>3330376.55</v>
      </c>
      <c r="Q186" s="34">
        <v>3330376.55</v>
      </c>
    </row>
    <row r="187" spans="1:17" x14ac:dyDescent="0.25">
      <c r="A187" s="32" t="s">
        <v>277</v>
      </c>
      <c r="B187" s="34"/>
      <c r="C187" s="34"/>
      <c r="D187" s="34"/>
      <c r="E187" s="34">
        <v>600000</v>
      </c>
      <c r="F187" s="34"/>
      <c r="G187" s="34">
        <v>600000</v>
      </c>
      <c r="H187" s="34">
        <v>600000</v>
      </c>
      <c r="I187" s="34">
        <v>600000</v>
      </c>
      <c r="J187" s="34">
        <v>600000</v>
      </c>
      <c r="K187" s="34">
        <v>600000</v>
      </c>
      <c r="L187" s="34">
        <v>600000</v>
      </c>
      <c r="M187" s="34">
        <v>600000</v>
      </c>
      <c r="N187" s="34">
        <v>600000</v>
      </c>
      <c r="O187" s="34">
        <v>600000</v>
      </c>
      <c r="P187" s="34">
        <v>600000</v>
      </c>
      <c r="Q187" s="34">
        <v>600000</v>
      </c>
    </row>
    <row r="188" spans="1:17" ht="13" x14ac:dyDescent="0.3">
      <c r="B188" s="32"/>
      <c r="C188" s="32"/>
      <c r="D188" s="32"/>
      <c r="E188" s="32"/>
      <c r="F188" s="50"/>
      <c r="G188" s="50"/>
      <c r="H188" s="50"/>
      <c r="I188" s="50"/>
      <c r="J188" s="51"/>
      <c r="K188" s="50"/>
      <c r="L188" s="32"/>
      <c r="M188" s="32"/>
      <c r="N188" s="32"/>
      <c r="O188" s="32"/>
      <c r="P188" s="32"/>
      <c r="Q188" s="32"/>
    </row>
    <row r="189" spans="1:17" x14ac:dyDescent="0.25">
      <c r="A189" t="s">
        <v>393</v>
      </c>
      <c r="B189" s="35"/>
      <c r="C189" s="35"/>
      <c r="D189" s="35"/>
      <c r="E189" s="35"/>
      <c r="F189" s="35">
        <v>12154874.3375</v>
      </c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</row>
    <row r="190" spans="1:17" x14ac:dyDescent="0.25">
      <c r="A190" t="s">
        <v>269</v>
      </c>
      <c r="B190" s="32">
        <v>5000000</v>
      </c>
      <c r="C190" s="32">
        <v>5000000</v>
      </c>
      <c r="D190" s="32">
        <v>5000000</v>
      </c>
      <c r="E190" s="74">
        <v>-17751630.44749999</v>
      </c>
      <c r="F190" s="106">
        <v>2824521.299999997</v>
      </c>
      <c r="G190" s="74">
        <v>14774113.377083339</v>
      </c>
      <c r="H190" s="74">
        <v>14457285.90208333</v>
      </c>
      <c r="I190" s="74">
        <v>13064797.330833346</v>
      </c>
      <c r="J190" s="74">
        <v>15680059.22680556</v>
      </c>
      <c r="K190" s="74">
        <v>15900791.697222218</v>
      </c>
      <c r="L190" s="74">
        <v>14981717.098472223</v>
      </c>
      <c r="M190" s="74">
        <v>14357623.745138884</v>
      </c>
      <c r="N190" s="74">
        <v>14110176.087500006</v>
      </c>
      <c r="O190" s="74">
        <v>15926503.332499996</v>
      </c>
      <c r="P190" s="74">
        <v>18054112.48770833</v>
      </c>
      <c r="Q190" s="74">
        <v>20366073.791666657</v>
      </c>
    </row>
    <row r="191" spans="1:17" x14ac:dyDescent="0.25">
      <c r="A191" t="s">
        <v>375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</row>
    <row r="192" spans="1:17" x14ac:dyDescent="0.25">
      <c r="A192" t="s">
        <v>270</v>
      </c>
      <c r="B192" s="32">
        <v>93712690.910000011</v>
      </c>
      <c r="C192" s="32">
        <v>90955044.910000011</v>
      </c>
      <c r="D192" s="32">
        <v>89251538.660000011</v>
      </c>
      <c r="E192" s="32">
        <v>80916963.915000021</v>
      </c>
      <c r="F192" s="32">
        <v>80599000</v>
      </c>
      <c r="G192" s="32">
        <v>94812155.525000006</v>
      </c>
      <c r="H192" s="32">
        <v>92850571.337500006</v>
      </c>
      <c r="I192" s="32">
        <v>92331568.050000012</v>
      </c>
      <c r="J192" s="32">
        <v>92331568.050000012</v>
      </c>
      <c r="K192" s="32">
        <v>92331568.050000012</v>
      </c>
      <c r="L192" s="32">
        <v>92331568.050000012</v>
      </c>
      <c r="M192" s="32">
        <v>92331568.050000012</v>
      </c>
      <c r="N192" s="32">
        <v>92331568.050000012</v>
      </c>
      <c r="O192" s="32">
        <v>92331568.050000012</v>
      </c>
      <c r="P192" s="32">
        <v>92331568.049999997</v>
      </c>
      <c r="Q192" s="32">
        <v>92331568.049999997</v>
      </c>
    </row>
    <row r="193" spans="1:17" x14ac:dyDescent="0.25">
      <c r="A193" t="s">
        <v>271</v>
      </c>
      <c r="E193" s="32">
        <v>80611080</v>
      </c>
      <c r="F193" s="32">
        <v>80599000</v>
      </c>
      <c r="G193" s="32">
        <v>80599000</v>
      </c>
      <c r="H193" s="32">
        <v>80599000</v>
      </c>
      <c r="I193" s="32">
        <v>80599000</v>
      </c>
      <c r="J193" s="32">
        <v>80599000</v>
      </c>
      <c r="K193" s="32">
        <v>80599000</v>
      </c>
      <c r="L193" s="32">
        <v>80599000</v>
      </c>
      <c r="M193" s="32">
        <v>80599000</v>
      </c>
      <c r="N193" s="32">
        <v>80599000</v>
      </c>
      <c r="O193" s="32">
        <v>80599000</v>
      </c>
      <c r="P193" s="32">
        <v>80599000</v>
      </c>
      <c r="Q193" s="32">
        <v>80599000</v>
      </c>
    </row>
    <row r="194" spans="1:17" ht="13" x14ac:dyDescent="0.3">
      <c r="F194" s="12"/>
      <c r="G194" s="12"/>
      <c r="H194" s="12"/>
      <c r="I194" s="12"/>
      <c r="J194" s="12"/>
      <c r="K194" s="12"/>
    </row>
    <row r="196" spans="1:17" x14ac:dyDescent="0.25">
      <c r="B196" s="34">
        <v>0</v>
      </c>
      <c r="F196" t="s">
        <v>406</v>
      </c>
      <c r="H196" t="s">
        <v>407</v>
      </c>
    </row>
    <row r="197" spans="1:17" x14ac:dyDescent="0.25">
      <c r="B197" s="34">
        <v>3827541.6654999997</v>
      </c>
      <c r="D197" t="s">
        <v>383</v>
      </c>
      <c r="F197" s="87">
        <f>SUM('Faculty Members_StatGph'!F165:F167,'Faculty Members_StatGph'!F177)/1000</f>
        <v>56862.3001</v>
      </c>
      <c r="H197" s="87">
        <v>56045.630269833346</v>
      </c>
    </row>
    <row r="198" spans="1:17" x14ac:dyDescent="0.25">
      <c r="B198" s="34">
        <v>0</v>
      </c>
      <c r="D198" t="s">
        <v>384</v>
      </c>
      <c r="F198" s="87">
        <f>SUM('Faculty Members_StatGph'!F168:F172)/1000</f>
        <v>6782.3879150000002</v>
      </c>
      <c r="H198" s="87">
        <v>6703.7646030000005</v>
      </c>
      <c r="J198" s="32"/>
    </row>
    <row r="199" spans="1:17" x14ac:dyDescent="0.25">
      <c r="B199" s="34">
        <v>2876222.9375</v>
      </c>
      <c r="D199" t="s">
        <v>385</v>
      </c>
      <c r="F199" s="87">
        <f>'Faculty Members_StatGph'!F173/1000</f>
        <v>729.19792500000005</v>
      </c>
      <c r="H199" s="87">
        <v>1779.8526700000002</v>
      </c>
    </row>
    <row r="200" spans="1:17" x14ac:dyDescent="0.25">
      <c r="B200" s="34">
        <v>0</v>
      </c>
      <c r="D200" t="s">
        <v>390</v>
      </c>
      <c r="F200" s="87">
        <f>'Faculty Members_StatGph'!F174/1000</f>
        <v>672.75023500000009</v>
      </c>
      <c r="H200" s="87">
        <v>699.12913550000007</v>
      </c>
    </row>
    <row r="201" spans="1:17" x14ac:dyDescent="0.25">
      <c r="D201" s="62" t="s">
        <v>391</v>
      </c>
      <c r="F201" s="89">
        <f>'Faculty Members_StatGph'!F175/1000</f>
        <v>567.9681875</v>
      </c>
      <c r="H201" s="89">
        <v>439.37347999999997</v>
      </c>
    </row>
    <row r="202" spans="1:17" x14ac:dyDescent="0.25">
      <c r="D202" s="62" t="s">
        <v>394</v>
      </c>
      <c r="F202" s="89">
        <f>('Faculty Members_StatGph'!F176+'Faculty Members_StatGph'!F189)/1000</f>
        <v>12159.874337500001</v>
      </c>
      <c r="H202" s="89">
        <v>12610.531000000001</v>
      </c>
    </row>
    <row r="203" spans="1:17" ht="13" x14ac:dyDescent="0.3">
      <c r="D203" s="78" t="s">
        <v>392</v>
      </c>
      <c r="F203" s="79">
        <f>('Faculty Members_StatGph'!F190)/1000</f>
        <v>2824.5212999999972</v>
      </c>
      <c r="H203" s="79">
        <v>2448.1289700000002</v>
      </c>
    </row>
    <row r="204" spans="1:17" x14ac:dyDescent="0.25">
      <c r="F204" s="32">
        <f>SUM(F197:F203)</f>
        <v>80599</v>
      </c>
      <c r="H204" s="32">
        <f>SUM(H197:H203)</f>
        <v>80726.410128333358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CA216"/>
  <sheetViews>
    <sheetView topLeftCell="B46" zoomScaleNormal="100" workbookViewId="0">
      <selection activeCell="D103" sqref="D103:P107"/>
    </sheetView>
  </sheetViews>
  <sheetFormatPr baseColWidth="10" defaultRowHeight="12.5" x14ac:dyDescent="0.25"/>
  <cols>
    <col min="1" max="2" width="2.6328125" customWidth="1"/>
    <col min="3" max="3" width="21.1796875" bestFit="1" customWidth="1"/>
    <col min="5" max="16" width="10.1796875" customWidth="1"/>
    <col min="18" max="18" width="12.36328125" customWidth="1"/>
    <col min="20" max="20" width="11.90625" customWidth="1"/>
    <col min="21" max="21" width="19.453125" customWidth="1"/>
  </cols>
  <sheetData>
    <row r="1" spans="1:24" ht="13" x14ac:dyDescent="0.3">
      <c r="A1" s="25" t="s">
        <v>377</v>
      </c>
    </row>
    <row r="3" spans="1:24" x14ac:dyDescent="0.25">
      <c r="B3" t="s">
        <v>382</v>
      </c>
    </row>
    <row r="5" spans="1:24" x14ac:dyDescent="0.25">
      <c r="C5" t="s">
        <v>378</v>
      </c>
      <c r="D5" t="s">
        <v>379</v>
      </c>
    </row>
    <row r="8" spans="1:24" x14ac:dyDescent="0.25">
      <c r="R8" t="s">
        <v>395</v>
      </c>
    </row>
    <row r="10" spans="1:24" x14ac:dyDescent="0.25">
      <c r="V10" t="s">
        <v>396</v>
      </c>
      <c r="W10" t="s">
        <v>381</v>
      </c>
      <c r="X10" t="s">
        <v>400</v>
      </c>
    </row>
    <row r="11" spans="1:24" ht="14.5" x14ac:dyDescent="0.35"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t="s">
        <v>290</v>
      </c>
      <c r="Q11" t="s">
        <v>290</v>
      </c>
      <c r="R11" s="82" t="s">
        <v>280</v>
      </c>
      <c r="S11" s="88">
        <v>59359765.5</v>
      </c>
      <c r="U11" s="82" t="s">
        <v>397</v>
      </c>
      <c r="V11" s="88">
        <f>S11</f>
        <v>59359765.5</v>
      </c>
      <c r="W11" s="96">
        <f>V11/1000000</f>
        <v>59.359765500000002</v>
      </c>
      <c r="X11" s="10">
        <f>W11/SUM($W$11:$W$19)</f>
        <v>0.73647818888925642</v>
      </c>
    </row>
    <row r="12" spans="1:24" ht="14.5" x14ac:dyDescent="0.35">
      <c r="C12" s="72" t="s">
        <v>381</v>
      </c>
      <c r="D12" s="3">
        <v>2019</v>
      </c>
      <c r="E12" s="3">
        <v>2020</v>
      </c>
      <c r="F12" s="3">
        <v>2021</v>
      </c>
      <c r="G12" s="3">
        <v>2022</v>
      </c>
      <c r="H12" s="3">
        <v>2023</v>
      </c>
      <c r="I12" s="3">
        <v>2024</v>
      </c>
      <c r="J12" s="3">
        <v>2025</v>
      </c>
      <c r="K12" s="3">
        <v>2026</v>
      </c>
      <c r="L12" s="3">
        <v>2027</v>
      </c>
      <c r="M12" s="3">
        <v>2028</v>
      </c>
      <c r="N12" s="3">
        <v>2029</v>
      </c>
      <c r="O12" s="3">
        <v>2030</v>
      </c>
      <c r="P12" t="s">
        <v>526</v>
      </c>
      <c r="Q12" t="s">
        <v>546</v>
      </c>
      <c r="R12" s="82" t="s">
        <v>276</v>
      </c>
      <c r="S12" s="91">
        <v>3708818.5</v>
      </c>
      <c r="U12" s="82" t="s">
        <v>402</v>
      </c>
      <c r="V12" s="88">
        <f>S17</f>
        <v>5829605.5</v>
      </c>
      <c r="W12" s="96">
        <f t="shared" ref="W12:W19" si="0">V12/1000000</f>
        <v>5.8296055000000004</v>
      </c>
      <c r="X12" s="10">
        <f t="shared" ref="X12:X19" si="1">W12/SUM($W$11:$W$19)</f>
        <v>7.2328070443250791E-2</v>
      </c>
    </row>
    <row r="13" spans="1:24" ht="14.5" x14ac:dyDescent="0.35">
      <c r="C13" t="s">
        <v>383</v>
      </c>
      <c r="D13" s="87">
        <f>SUM('Faculty Members_StatGph'!F165:F167,'Faculty Members_StatGph'!F177)/1000</f>
        <v>56862.3001</v>
      </c>
      <c r="E13" s="32">
        <f>SUM('Faculty Members_StatGph'!G165:G167,'Faculty Members_StatGph'!G177)/1000</f>
        <v>57177.117141666662</v>
      </c>
      <c r="F13" s="32">
        <f>SUM('Faculty Members_StatGph'!H165:H167,'Faculty Members_StatGph'!H177)/1000</f>
        <v>58008.749841666671</v>
      </c>
      <c r="G13" s="32">
        <f>SUM('Faculty Members_StatGph'!I165:I167,'Faculty Members_StatGph'!I177)/1000</f>
        <v>58410.273833333325</v>
      </c>
      <c r="H13" s="32">
        <f>SUM('Faculty Members_StatGph'!J165:J167,'Faculty Members_StatGph'!J177)/1000</f>
        <v>56095.533954861115</v>
      </c>
      <c r="I13" s="32">
        <f>SUM('Faculty Members_StatGph'!K165:K167,'Faculty Members_StatGph'!K177)/1000</f>
        <v>56169.922621527781</v>
      </c>
      <c r="J13" s="32">
        <f>SUM('Faculty Members_StatGph'!L165:L167,'Faculty Members_StatGph'!L177)/1000</f>
        <v>57726.101663194451</v>
      </c>
      <c r="K13" s="32">
        <f>SUM('Faculty Members_StatGph'!M165:M167,'Faculty Members_StatGph'!M177)/1000</f>
        <v>59088.483413194444</v>
      </c>
      <c r="L13" s="32">
        <f>SUM('Faculty Members_StatGph'!N165:N167,'Faculty Members_StatGph'!N177)/1000</f>
        <v>59549.235958333331</v>
      </c>
      <c r="M13" s="32">
        <f>SUM('Faculty Members_StatGph'!O165:O167,'Faculty Members_StatGph'!O177)/1000</f>
        <v>57444.940833333334</v>
      </c>
      <c r="N13" s="32">
        <f>SUM('Faculty Members_StatGph'!P165:P167,'Faculty Members_StatGph'!P177)/1000</f>
        <v>55634.615124999997</v>
      </c>
      <c r="O13" s="32">
        <f>SUM('Faculty Members_StatGph'!Q165:Q167,'Faculty Members_StatGph'!Q177)/1000</f>
        <v>55653.273000000001</v>
      </c>
      <c r="R13" s="83" t="s">
        <v>284</v>
      </c>
      <c r="S13" s="92">
        <v>2047878</v>
      </c>
      <c r="U13" s="82" t="s">
        <v>398</v>
      </c>
      <c r="V13" s="91">
        <f>S12</f>
        <v>3708818.5</v>
      </c>
      <c r="W13" s="97">
        <f t="shared" si="0"/>
        <v>3.7088185</v>
      </c>
      <c r="X13" s="10">
        <f t="shared" si="1"/>
        <v>4.6015409744146793E-2</v>
      </c>
    </row>
    <row r="14" spans="1:24" ht="14.5" x14ac:dyDescent="0.35">
      <c r="C14" t="s">
        <v>384</v>
      </c>
      <c r="D14" s="87">
        <f>SUM('Faculty Members_StatGph'!F168:F172)/1000</f>
        <v>6782.3879150000002</v>
      </c>
      <c r="E14" s="32">
        <f>SUM('Faculty Members_StatGph'!G168:G172)/1000</f>
        <v>6782.3879150000002</v>
      </c>
      <c r="F14" s="32">
        <f>SUM('Faculty Members_StatGph'!H168:H172)/1000</f>
        <v>6320.2021899999991</v>
      </c>
      <c r="G14" s="32">
        <f>SUM('Faculty Members_StatGph'!I168:I172)/1000</f>
        <v>5606.545385833334</v>
      </c>
      <c r="H14" s="32">
        <f>SUM('Faculty Members_StatGph'!J168:J172)/1000</f>
        <v>4531.2560108333346</v>
      </c>
      <c r="I14" s="32">
        <f>SUM('Faculty Members_StatGph'!K168:K172)/1000</f>
        <v>4304.7471983333344</v>
      </c>
      <c r="J14" s="32">
        <f>SUM('Faculty Members_StatGph'!L168:L172)/1000</f>
        <v>4015.7134441666667</v>
      </c>
      <c r="K14" s="32">
        <f>SUM('Faculty Members_StatGph'!M168:M172)/1000</f>
        <v>3583.5401516666666</v>
      </c>
      <c r="L14" s="32">
        <f>SUM('Faculty Members_StatGph'!N168:N172)/1000</f>
        <v>3196.3080058333335</v>
      </c>
      <c r="M14" s="32">
        <f>SUM('Faculty Members_StatGph'!O168:O172)/1000</f>
        <v>2596.9902766666664</v>
      </c>
      <c r="N14" s="32">
        <f>SUM('Faculty Members_StatGph'!P168:P172)/1000</f>
        <v>2216.0595504166668</v>
      </c>
      <c r="O14" s="32">
        <f>SUM('Faculty Members_StatGph'!Q168:Q172)/1000</f>
        <v>2027.2354566666666</v>
      </c>
      <c r="R14" s="82" t="s">
        <v>281</v>
      </c>
      <c r="S14" s="91">
        <v>0</v>
      </c>
      <c r="U14" s="82" t="s">
        <v>285</v>
      </c>
      <c r="V14" s="91">
        <f>S15</f>
        <v>1557073</v>
      </c>
      <c r="W14" s="97">
        <f t="shared" si="0"/>
        <v>1.5570729999999999</v>
      </c>
      <c r="X14" s="10">
        <f t="shared" si="1"/>
        <v>1.9318646112379961E-2</v>
      </c>
    </row>
    <row r="15" spans="1:24" ht="14.5" x14ac:dyDescent="0.35">
      <c r="C15" t="s">
        <v>385</v>
      </c>
      <c r="D15" s="87">
        <f>'Faculty Members_StatGph'!F173/1000</f>
        <v>729.19792500000005</v>
      </c>
      <c r="E15" s="32">
        <f>'Faculty Members_StatGph'!G173/1000</f>
        <v>215.11608124999995</v>
      </c>
      <c r="F15" s="32">
        <f>'Faculty Members_StatGph'!H173/1000</f>
        <v>162.49658124999999</v>
      </c>
      <c r="G15" s="32">
        <f>'Faculty Members_StatGph'!I173/1000</f>
        <v>1668.535175</v>
      </c>
      <c r="H15" s="32">
        <f>'Faculty Members_StatGph'!J173/1000</f>
        <v>974.54098708333333</v>
      </c>
      <c r="I15" s="32">
        <f>'Faculty Members_StatGph'!K173/1000</f>
        <v>503.43674166666659</v>
      </c>
      <c r="J15" s="32">
        <f>'Faculty Members_StatGph'!L173/1000</f>
        <v>306.1151041666667</v>
      </c>
      <c r="K15" s="32">
        <f>'Faculty Members_StatGph'!M173/1000</f>
        <v>0</v>
      </c>
      <c r="L15" s="32">
        <f>'Faculty Members_StatGph'!N173/1000</f>
        <v>572.42016666666666</v>
      </c>
      <c r="M15" s="32">
        <f>'Faculty Members_StatGph'!O173/1000</f>
        <v>1827.9001874999999</v>
      </c>
      <c r="N15" s="32">
        <f>'Faculty Members_StatGph'!P173/1000</f>
        <v>1969.2844968750003</v>
      </c>
      <c r="O15" s="32">
        <f>'Faculty Members_StatGph'!Q173/1000</f>
        <v>250.09375</v>
      </c>
      <c r="R15" s="82" t="s">
        <v>285</v>
      </c>
      <c r="S15" s="91">
        <v>1557073</v>
      </c>
      <c r="U15" s="82" t="s">
        <v>286</v>
      </c>
      <c r="V15" s="91">
        <f>S16</f>
        <v>2869647.5</v>
      </c>
      <c r="W15" s="97">
        <f t="shared" si="0"/>
        <v>2.8696475000000001</v>
      </c>
      <c r="X15" s="10">
        <f t="shared" si="1"/>
        <v>3.5603792834231839E-2</v>
      </c>
    </row>
    <row r="16" spans="1:24" ht="14.5" x14ac:dyDescent="0.35">
      <c r="C16" t="s">
        <v>390</v>
      </c>
      <c r="D16" s="87">
        <f>'Faculty Members_StatGph'!F174/1000</f>
        <v>672.75023500000009</v>
      </c>
      <c r="E16" s="32">
        <f>'Faculty Members_StatGph'!G174/1000</f>
        <v>390.66826000000003</v>
      </c>
      <c r="F16" s="32">
        <f>'Faculty Members_StatGph'!H174/1000</f>
        <v>390.66826000000003</v>
      </c>
      <c r="G16" s="32">
        <f>'Faculty Members_StatGph'!I174/1000</f>
        <v>390.66826000000003</v>
      </c>
      <c r="H16" s="32">
        <f>'Faculty Members_StatGph'!J174/1000</f>
        <v>390.66826000000003</v>
      </c>
      <c r="I16" s="32">
        <f>'Faculty Members_StatGph'!K174/1000</f>
        <v>390.66826000000003</v>
      </c>
      <c r="J16" s="32">
        <f>'Faculty Members_StatGph'!L174/1000</f>
        <v>390.66826000000003</v>
      </c>
      <c r="K16" s="32">
        <f>'Faculty Members_StatGph'!M174/1000</f>
        <v>390.66826000000003</v>
      </c>
      <c r="L16" s="32">
        <f>'Faculty Members_StatGph'!N174/1000</f>
        <v>390.66826000000003</v>
      </c>
      <c r="M16" s="32">
        <f>'Faculty Members_StatGph'!O174/1000</f>
        <v>390.66826000000003</v>
      </c>
      <c r="N16" s="32">
        <f>'Faculty Members_StatGph'!P174/1000</f>
        <v>390.66826000000003</v>
      </c>
      <c r="O16" s="32">
        <f>'Faculty Members_StatGph'!Q174/1000</f>
        <v>174.58120000000002</v>
      </c>
      <c r="R16" s="82" t="s">
        <v>286</v>
      </c>
      <c r="S16" s="91">
        <v>2869647.5</v>
      </c>
      <c r="U16" s="82" t="s">
        <v>279</v>
      </c>
      <c r="V16" s="91">
        <f>S19+S18</f>
        <v>791558</v>
      </c>
      <c r="W16" s="97">
        <f t="shared" si="0"/>
        <v>0.79155799999999998</v>
      </c>
      <c r="X16" s="10">
        <f t="shared" si="1"/>
        <v>9.8208811529217049E-3</v>
      </c>
    </row>
    <row r="17" spans="3:24" ht="14.5" x14ac:dyDescent="0.35">
      <c r="C17" s="62" t="s">
        <v>391</v>
      </c>
      <c r="D17" s="89">
        <f>'Faculty Members_StatGph'!F175/1000</f>
        <v>567.9681875</v>
      </c>
      <c r="E17" s="77">
        <f>'Faculty Members_StatGph'!G175/1000</f>
        <v>1254.597225</v>
      </c>
      <c r="F17" s="77">
        <f>'Faculty Members_StatGph'!H175/1000</f>
        <v>1254.597225</v>
      </c>
      <c r="G17" s="77">
        <f>'Faculty Members_StatGph'!I175/1000</f>
        <v>1453.1800150000001</v>
      </c>
      <c r="H17" s="77">
        <f>'Faculty Members_StatGph'!J175/1000</f>
        <v>2921.941560416667</v>
      </c>
      <c r="I17" s="77">
        <f>'Faculty Members_StatGph'!K175/1000</f>
        <v>3324.4334812500006</v>
      </c>
      <c r="J17" s="77">
        <f>'Faculty Members_StatGph'!L175/1000</f>
        <v>3173.6844300000007</v>
      </c>
      <c r="K17" s="77">
        <f>'Faculty Members_StatGph'!M175/1000</f>
        <v>3173.6844300000007</v>
      </c>
      <c r="L17" s="77">
        <f>'Faculty Members_StatGph'!N175/1000</f>
        <v>2775.1915216666671</v>
      </c>
      <c r="M17" s="77">
        <f>'Faculty Members_StatGph'!O175/1000</f>
        <v>2406.9971100000002</v>
      </c>
      <c r="N17" s="77">
        <f>'Faculty Members_StatGph'!P175/1000</f>
        <v>2329.26008</v>
      </c>
      <c r="O17" s="77">
        <f>'Faculty Members_StatGph'!Q175/1000</f>
        <v>2122.7428016666672</v>
      </c>
      <c r="P17" s="32">
        <f>SUM(E17:O17)</f>
        <v>26190.309880000004</v>
      </c>
      <c r="R17" s="82" t="s">
        <v>287</v>
      </c>
      <c r="S17" s="88">
        <v>5829605.5</v>
      </c>
      <c r="U17" s="82" t="s">
        <v>404</v>
      </c>
      <c r="V17" s="91">
        <f>S20</f>
        <v>3835142.75</v>
      </c>
      <c r="W17" s="97">
        <f t="shared" si="0"/>
        <v>3.8351427500000002</v>
      </c>
      <c r="X17" s="10">
        <f t="shared" si="1"/>
        <v>4.7582718072761966E-2</v>
      </c>
    </row>
    <row r="18" spans="3:24" ht="14.5" x14ac:dyDescent="0.35">
      <c r="C18" s="62" t="s">
        <v>394</v>
      </c>
      <c r="D18" s="89">
        <f>('Faculty Members_StatGph'!F176+'Faculty Members_StatGph'!F189)/1000</f>
        <v>12159.874337500001</v>
      </c>
      <c r="E18" s="77">
        <f>D18</f>
        <v>12159.874337500001</v>
      </c>
      <c r="F18" s="77">
        <f t="shared" ref="F18:O18" si="2">E18</f>
        <v>12159.874337500001</v>
      </c>
      <c r="G18" s="77">
        <f t="shared" si="2"/>
        <v>12159.874337500001</v>
      </c>
      <c r="H18" s="77">
        <f t="shared" si="2"/>
        <v>12159.874337500001</v>
      </c>
      <c r="I18" s="77">
        <f t="shared" si="2"/>
        <v>12159.874337500001</v>
      </c>
      <c r="J18" s="77">
        <f t="shared" si="2"/>
        <v>12159.874337500001</v>
      </c>
      <c r="K18" s="77">
        <f t="shared" si="2"/>
        <v>12159.874337500001</v>
      </c>
      <c r="L18" s="77">
        <f t="shared" si="2"/>
        <v>12159.874337500001</v>
      </c>
      <c r="M18" s="77">
        <f t="shared" si="2"/>
        <v>12159.874337500001</v>
      </c>
      <c r="N18" s="77">
        <f t="shared" si="2"/>
        <v>12159.874337500001</v>
      </c>
      <c r="O18" s="77">
        <f t="shared" si="2"/>
        <v>12159.874337500001</v>
      </c>
      <c r="P18" s="75"/>
      <c r="R18" s="82" t="s">
        <v>282</v>
      </c>
      <c r="S18" s="91">
        <v>82724.25</v>
      </c>
      <c r="U18" s="82" t="s">
        <v>399</v>
      </c>
      <c r="V18" s="92">
        <f>S13+S21-V19</f>
        <v>2276878</v>
      </c>
      <c r="W18" s="98">
        <f t="shared" si="0"/>
        <v>2.276878</v>
      </c>
      <c r="X18" s="10">
        <f t="shared" si="1"/>
        <v>2.8249285886444282E-2</v>
      </c>
    </row>
    <row r="19" spans="3:24" ht="14.5" x14ac:dyDescent="0.35">
      <c r="C19" s="78" t="s">
        <v>392</v>
      </c>
      <c r="D19" s="79">
        <f>('Faculty Members_StatGph'!F190)/1000</f>
        <v>2824.5212999999972</v>
      </c>
      <c r="E19" s="79">
        <f>D19</f>
        <v>2824.5212999999972</v>
      </c>
      <c r="F19" s="79">
        <f t="shared" ref="F19:O19" si="3">E19</f>
        <v>2824.5212999999972</v>
      </c>
      <c r="G19" s="79">
        <f t="shared" si="3"/>
        <v>2824.5212999999972</v>
      </c>
      <c r="H19" s="79">
        <f t="shared" si="3"/>
        <v>2824.5212999999972</v>
      </c>
      <c r="I19" s="79">
        <f t="shared" si="3"/>
        <v>2824.5212999999972</v>
      </c>
      <c r="J19" s="79">
        <f t="shared" si="3"/>
        <v>2824.5212999999972</v>
      </c>
      <c r="K19" s="79">
        <f t="shared" si="3"/>
        <v>2824.5212999999972</v>
      </c>
      <c r="L19" s="79">
        <f t="shared" si="3"/>
        <v>2824.5212999999972</v>
      </c>
      <c r="M19" s="79">
        <f t="shared" si="3"/>
        <v>2824.5212999999972</v>
      </c>
      <c r="N19" s="79">
        <f t="shared" si="3"/>
        <v>2824.5212999999972</v>
      </c>
      <c r="O19" s="79">
        <f t="shared" si="3"/>
        <v>2824.5212999999972</v>
      </c>
      <c r="P19" s="75"/>
      <c r="R19" s="82" t="s">
        <v>279</v>
      </c>
      <c r="S19" s="91">
        <v>708833.75</v>
      </c>
      <c r="U19" s="82" t="s">
        <v>403</v>
      </c>
      <c r="V19" s="92">
        <v>371000</v>
      </c>
      <c r="W19" s="98">
        <f t="shared" si="0"/>
        <v>0.371</v>
      </c>
      <c r="X19" s="10">
        <f t="shared" si="1"/>
        <v>4.6030068646061972E-3</v>
      </c>
    </row>
    <row r="20" spans="3:24" ht="14.5" x14ac:dyDescent="0.35">
      <c r="C20" t="s">
        <v>485</v>
      </c>
      <c r="D20" s="102">
        <f>SUM(D13:D19)/1000</f>
        <v>80.599000000000004</v>
      </c>
      <c r="E20" s="76">
        <f>SUM(E13:E19)/1000</f>
        <v>80.804282260416656</v>
      </c>
      <c r="F20" s="76">
        <f t="shared" ref="F20:O20" si="4">SUM(F13:F19)/1000</f>
        <v>81.121109735416667</v>
      </c>
      <c r="G20" s="76">
        <f t="shared" si="4"/>
        <v>82.513598306666665</v>
      </c>
      <c r="H20" s="76">
        <f t="shared" si="4"/>
        <v>79.898336410694441</v>
      </c>
      <c r="I20" s="76">
        <f t="shared" si="4"/>
        <v>79.677603940277763</v>
      </c>
      <c r="J20" s="76">
        <f t="shared" si="4"/>
        <v>80.596678539027778</v>
      </c>
      <c r="K20" s="76">
        <f t="shared" si="4"/>
        <v>81.220771892361114</v>
      </c>
      <c r="L20" s="76">
        <f t="shared" si="4"/>
        <v>81.468219550000001</v>
      </c>
      <c r="M20" s="76">
        <f t="shared" si="4"/>
        <v>79.651892305000004</v>
      </c>
      <c r="N20" s="76">
        <f t="shared" si="4"/>
        <v>77.524283149791657</v>
      </c>
      <c r="O20" s="100">
        <f t="shared" si="4"/>
        <v>75.21232184583333</v>
      </c>
      <c r="P20" s="99">
        <f>SUM(E20:O20)</f>
        <v>879.68909793548619</v>
      </c>
      <c r="Q20" s="99">
        <f>SUM(E20:J20)</f>
        <v>484.6116091925</v>
      </c>
      <c r="R20" s="82" t="s">
        <v>278</v>
      </c>
      <c r="S20" s="91">
        <v>3835142.75</v>
      </c>
    </row>
    <row r="21" spans="3:24" ht="14.5" x14ac:dyDescent="0.35">
      <c r="C21" t="s">
        <v>486</v>
      </c>
      <c r="D21" s="235">
        <f t="shared" ref="D21:O21" si="5">D20-D48/1000000</f>
        <v>80.489678562500004</v>
      </c>
      <c r="E21" s="32">
        <f t="shared" si="5"/>
        <v>80.46292997708332</v>
      </c>
      <c r="F21" s="32">
        <f t="shared" si="5"/>
        <v>80.486155618750004</v>
      </c>
      <c r="G21" s="32">
        <f t="shared" si="5"/>
        <v>81.710381223333329</v>
      </c>
      <c r="H21" s="32">
        <f t="shared" si="5"/>
        <v>78.901092994027778</v>
      </c>
      <c r="I21" s="32">
        <f t="shared" si="5"/>
        <v>78.447109890277758</v>
      </c>
      <c r="J21" s="32">
        <f t="shared" si="5"/>
        <v>79.315956222361109</v>
      </c>
      <c r="K21" s="32">
        <f t="shared" si="5"/>
        <v>79.86552200069444</v>
      </c>
      <c r="L21" s="32">
        <f t="shared" si="5"/>
        <v>79.762425516666667</v>
      </c>
      <c r="M21" s="32">
        <f t="shared" si="5"/>
        <v>77.910284755000006</v>
      </c>
      <c r="N21" s="32">
        <f t="shared" si="5"/>
        <v>75.728367099791654</v>
      </c>
      <c r="O21" s="235">
        <f t="shared" si="5"/>
        <v>73.137611779166662</v>
      </c>
      <c r="P21" s="99">
        <f>SUM(E21:O21)</f>
        <v>865.7278370771528</v>
      </c>
      <c r="Q21" s="99">
        <f>SUM(E21:J21)</f>
        <v>479.32362592583331</v>
      </c>
      <c r="R21" s="86" t="s">
        <v>288</v>
      </c>
      <c r="S21" s="93">
        <v>600000</v>
      </c>
      <c r="U21" s="82" t="s">
        <v>442</v>
      </c>
      <c r="V21" s="91">
        <f>SUM(V13:V17)</f>
        <v>12762239.75</v>
      </c>
      <c r="W21" s="223">
        <f>SUM(X13:X17)</f>
        <v>0.15834144791644225</v>
      </c>
    </row>
    <row r="22" spans="3:24" ht="14.5" x14ac:dyDescent="0.35">
      <c r="D22" s="32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100"/>
      <c r="P22" s="99"/>
      <c r="R22" s="84" t="s">
        <v>289</v>
      </c>
      <c r="S22" s="85">
        <v>80599488.75</v>
      </c>
    </row>
    <row r="23" spans="3:24" x14ac:dyDescent="0.25">
      <c r="D23" s="32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100"/>
      <c r="P23" s="99"/>
    </row>
    <row r="24" spans="3:24" x14ac:dyDescent="0.25">
      <c r="C24" s="103"/>
      <c r="D24" s="90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5"/>
      <c r="P24" s="99"/>
    </row>
    <row r="25" spans="3:24" ht="13" x14ac:dyDescent="0.3">
      <c r="C25" s="80" t="s">
        <v>401</v>
      </c>
      <c r="D25" s="101">
        <v>80.599000000000004</v>
      </c>
      <c r="E25" s="81">
        <v>80.599000000000004</v>
      </c>
      <c r="F25" s="81">
        <v>80.599000000000004</v>
      </c>
      <c r="G25" s="81">
        <v>80.599000000000004</v>
      </c>
      <c r="H25" s="81">
        <v>80.599000000000004</v>
      </c>
      <c r="I25" s="81">
        <v>80.599000000000004</v>
      </c>
      <c r="J25" s="81">
        <v>80.599000000000004</v>
      </c>
      <c r="K25" s="81">
        <v>80.599000000000004</v>
      </c>
      <c r="L25" s="81">
        <v>80.599000000000004</v>
      </c>
      <c r="M25" s="81">
        <v>80.599000000000004</v>
      </c>
      <c r="N25" s="81">
        <v>80.599000000000004</v>
      </c>
      <c r="O25" s="101">
        <v>80.599000000000004</v>
      </c>
      <c r="P25" s="99">
        <f>SUM(D25:O25)</f>
        <v>967.18800000000022</v>
      </c>
    </row>
    <row r="26" spans="3:24" ht="13" x14ac:dyDescent="0.3">
      <c r="C26" s="80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99"/>
    </row>
    <row r="27" spans="3:24" x14ac:dyDescent="0.25">
      <c r="C27" s="32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245" t="s">
        <v>506</v>
      </c>
    </row>
    <row r="28" spans="3:24" x14ac:dyDescent="0.25">
      <c r="D28" s="32"/>
      <c r="P28" s="68" t="s">
        <v>378</v>
      </c>
      <c r="Q28" s="32">
        <f>SUM(E20:I20)</f>
        <v>404.01493065347222</v>
      </c>
    </row>
    <row r="29" spans="3:24" x14ac:dyDescent="0.25">
      <c r="C29" s="32"/>
      <c r="D29" s="32"/>
      <c r="P29" t="s">
        <v>507</v>
      </c>
      <c r="Q29" s="32">
        <f>SUM(E25:I25)</f>
        <v>402.995</v>
      </c>
      <c r="R29" s="32">
        <f>Q29-Q28</f>
        <v>-1.0199306534722155</v>
      </c>
    </row>
    <row r="30" spans="3:24" x14ac:dyDescent="0.25">
      <c r="C30" t="s">
        <v>456</v>
      </c>
      <c r="D30" s="32"/>
      <c r="M30" s="95"/>
      <c r="N30" s="94"/>
      <c r="O30" s="94"/>
      <c r="P30" s="95"/>
    </row>
    <row r="31" spans="3:24" ht="13" x14ac:dyDescent="0.3">
      <c r="C31" s="72" t="s">
        <v>380</v>
      </c>
      <c r="D31" s="3">
        <v>2019</v>
      </c>
      <c r="E31" s="3">
        <v>2020</v>
      </c>
      <c r="F31" s="3">
        <v>2021</v>
      </c>
      <c r="G31" s="3">
        <v>2022</v>
      </c>
      <c r="H31" s="3">
        <v>2023</v>
      </c>
      <c r="I31" s="3">
        <v>2024</v>
      </c>
      <c r="J31" s="3">
        <v>2025</v>
      </c>
      <c r="K31" s="3">
        <v>2026</v>
      </c>
      <c r="L31" s="3">
        <v>2027</v>
      </c>
      <c r="M31" s="3">
        <v>2028</v>
      </c>
      <c r="N31" s="3">
        <v>2029</v>
      </c>
      <c r="O31" s="3">
        <v>2030</v>
      </c>
      <c r="Q31" s="32"/>
    </row>
    <row r="32" spans="3:24" x14ac:dyDescent="0.25">
      <c r="C32" t="s">
        <v>133</v>
      </c>
      <c r="D32" s="32">
        <v>18</v>
      </c>
      <c r="E32" s="32">
        <v>14</v>
      </c>
      <c r="F32" s="32">
        <v>11</v>
      </c>
      <c r="G32" s="32">
        <v>7</v>
      </c>
      <c r="H32" s="32">
        <v>3</v>
      </c>
      <c r="I32" s="32">
        <v>2</v>
      </c>
      <c r="J32" s="32">
        <v>0</v>
      </c>
      <c r="K32" s="32">
        <v>0</v>
      </c>
      <c r="L32" s="32">
        <v>0</v>
      </c>
      <c r="M32" s="32">
        <v>0</v>
      </c>
      <c r="N32" s="32">
        <v>0</v>
      </c>
      <c r="O32" s="32">
        <v>0</v>
      </c>
      <c r="P32" s="99"/>
    </row>
    <row r="33" spans="3:79" x14ac:dyDescent="0.25">
      <c r="C33" t="s">
        <v>134</v>
      </c>
      <c r="D33" s="32">
        <v>27</v>
      </c>
      <c r="E33" s="32">
        <v>24</v>
      </c>
      <c r="F33" s="32">
        <v>24</v>
      </c>
      <c r="G33" s="32">
        <v>23</v>
      </c>
      <c r="H33" s="32">
        <v>25</v>
      </c>
      <c r="I33" s="32">
        <v>23</v>
      </c>
      <c r="J33" s="32">
        <v>21</v>
      </c>
      <c r="K33" s="32">
        <v>17</v>
      </c>
      <c r="L33" s="32">
        <v>13</v>
      </c>
      <c r="M33" s="32">
        <v>10</v>
      </c>
      <c r="N33" s="32">
        <v>7</v>
      </c>
      <c r="O33" s="32">
        <v>2</v>
      </c>
    </row>
    <row r="34" spans="3:79" ht="13" x14ac:dyDescent="0.3">
      <c r="C34" t="s">
        <v>135</v>
      </c>
      <c r="D34" s="32">
        <v>41</v>
      </c>
      <c r="E34">
        <v>47</v>
      </c>
      <c r="F34">
        <v>48</v>
      </c>
      <c r="G34">
        <v>49</v>
      </c>
      <c r="H34">
        <v>48</v>
      </c>
      <c r="I34">
        <v>49</v>
      </c>
      <c r="J34">
        <v>52</v>
      </c>
      <c r="K34">
        <v>56</v>
      </c>
      <c r="L34">
        <v>58</v>
      </c>
      <c r="M34" s="80">
        <v>58</v>
      </c>
      <c r="N34" s="32">
        <v>58</v>
      </c>
      <c r="O34" s="32">
        <v>62</v>
      </c>
    </row>
    <row r="35" spans="3:79" ht="13" x14ac:dyDescent="0.3">
      <c r="C35" s="32"/>
      <c r="D35" s="32"/>
      <c r="M35" s="80"/>
      <c r="N35" s="32"/>
      <c r="O35" s="32"/>
    </row>
    <row r="36" spans="3:79" ht="13" x14ac:dyDescent="0.3">
      <c r="C36" s="32"/>
      <c r="D36" s="32"/>
      <c r="M36" s="80"/>
      <c r="N36" s="32"/>
      <c r="O36" s="32"/>
    </row>
    <row r="37" spans="3:79" ht="13" x14ac:dyDescent="0.3">
      <c r="C37" s="32"/>
      <c r="D37" s="32"/>
      <c r="M37" s="80"/>
      <c r="N37" s="32"/>
      <c r="O37" s="32"/>
    </row>
    <row r="38" spans="3:79" ht="13" x14ac:dyDescent="0.3">
      <c r="C38" s="32"/>
      <c r="D38" s="32"/>
      <c r="M38" s="80"/>
      <c r="N38" s="32"/>
      <c r="O38" s="32"/>
      <c r="P38" s="99"/>
    </row>
    <row r="39" spans="3:79" ht="13" x14ac:dyDescent="0.3">
      <c r="C39" s="32"/>
      <c r="D39" s="32"/>
      <c r="M39" s="80"/>
      <c r="N39" s="32"/>
      <c r="O39" s="32"/>
    </row>
    <row r="40" spans="3:79" ht="13" x14ac:dyDescent="0.3">
      <c r="C40" s="32"/>
      <c r="D40" s="32"/>
      <c r="M40" s="80"/>
      <c r="N40" s="32"/>
      <c r="O40" s="32"/>
    </row>
    <row r="41" spans="3:79" x14ac:dyDescent="0.25">
      <c r="C41" s="103" t="s">
        <v>484</v>
      </c>
      <c r="D41" s="90"/>
      <c r="E41" s="103"/>
      <c r="O41" s="32"/>
    </row>
    <row r="42" spans="3:79" ht="14.5" x14ac:dyDescent="0.35">
      <c r="C42" s="228" t="s">
        <v>495</v>
      </c>
      <c r="D42" s="228" t="s">
        <v>468</v>
      </c>
      <c r="E42" s="228" t="s">
        <v>469</v>
      </c>
      <c r="F42" s="228" t="s">
        <v>470</v>
      </c>
      <c r="G42" s="228" t="s">
        <v>471</v>
      </c>
      <c r="H42" s="228" t="s">
        <v>472</v>
      </c>
      <c r="I42" s="228" t="s">
        <v>473</v>
      </c>
      <c r="J42" s="228" t="s">
        <v>474</v>
      </c>
      <c r="K42" s="228" t="s">
        <v>475</v>
      </c>
      <c r="L42" s="228" t="s">
        <v>476</v>
      </c>
      <c r="M42" s="228">
        <v>2028</v>
      </c>
      <c r="N42" s="228" t="s">
        <v>477</v>
      </c>
      <c r="O42" s="228" t="s">
        <v>478</v>
      </c>
      <c r="Q42" s="263" t="s">
        <v>532</v>
      </c>
      <c r="R42" s="228" t="s">
        <v>506</v>
      </c>
    </row>
    <row r="43" spans="3:79" ht="14.5" x14ac:dyDescent="0.35">
      <c r="C43" s="229" t="s">
        <v>479</v>
      </c>
      <c r="D43" s="230">
        <f>D53</f>
        <v>57425.666666666664</v>
      </c>
      <c r="E43" s="230">
        <f>E53+SUM($D61:D61)</f>
        <v>98444</v>
      </c>
      <c r="F43" s="230">
        <f>F53+SUM($D61:E61)</f>
        <v>186615.66666666669</v>
      </c>
      <c r="G43" s="230">
        <f>G53+SUM($D61:F61)</f>
        <v>239518.66666666666</v>
      </c>
      <c r="H43" s="230">
        <f>H53+SUM($D61:G61)</f>
        <v>384488.75</v>
      </c>
      <c r="I43" s="230">
        <f>I53+SUM($D61:H61)</f>
        <v>531017</v>
      </c>
      <c r="J43" s="230">
        <f>J53+SUM($D61:I61)</f>
        <v>531017</v>
      </c>
      <c r="K43" s="230">
        <f>K53+SUM($D61:J61)</f>
        <v>573793.66666666663</v>
      </c>
      <c r="L43" s="230">
        <f>L53+SUM($D61:K61)</f>
        <v>839339.08333333337</v>
      </c>
      <c r="M43" s="230">
        <f>M53+SUM($D61:L61)</f>
        <v>860426.7</v>
      </c>
      <c r="N43" s="230">
        <f>N53+SUM($D61:M61)</f>
        <v>880162.2</v>
      </c>
      <c r="O43" s="230">
        <f>O53+SUM($D61:N61)</f>
        <v>978839.7</v>
      </c>
      <c r="Q43" s="32">
        <f>AVERAGE(E43:O43)</f>
        <v>554878.40303030307</v>
      </c>
      <c r="CA43">
        <v>0</v>
      </c>
    </row>
    <row r="44" spans="3:79" ht="14.5" x14ac:dyDescent="0.35">
      <c r="C44" s="229" t="s">
        <v>480</v>
      </c>
      <c r="D44" s="230">
        <f>D54</f>
        <v>5249.8499999999995</v>
      </c>
      <c r="E44" s="230">
        <f>E54+SUM($D62:D62)</f>
        <v>62998.2</v>
      </c>
      <c r="F44" s="230">
        <f>F54+SUM($D62:E62)</f>
        <v>144596.20000000001</v>
      </c>
      <c r="G44" s="230">
        <f>G54+SUM($D62:F62)</f>
        <v>151951.30000000002</v>
      </c>
      <c r="H44" s="230">
        <f>H54+SUM($D62:G62)</f>
        <v>159306.40000000002</v>
      </c>
      <c r="I44" s="230">
        <f>I54+SUM($D62:H62)</f>
        <v>166663.20000000001</v>
      </c>
      <c r="J44" s="230">
        <f>J54+SUM($D62:I62)</f>
        <v>180107.4666666667</v>
      </c>
      <c r="K44" s="230">
        <f>K54+SUM($D62:J62)</f>
        <v>211858.37500000006</v>
      </c>
      <c r="L44" s="230">
        <f>L54+SUM($D62:K62)</f>
        <v>304902.25000000006</v>
      </c>
      <c r="M44" s="230">
        <f>M54+SUM($D62:L62)</f>
        <v>320940.00000000006</v>
      </c>
      <c r="N44" s="230">
        <f>N54+SUM($D62:M62)</f>
        <v>320940.00000000006</v>
      </c>
      <c r="O44" s="230">
        <f>O54+SUM($D62:N62)</f>
        <v>350741.91666666674</v>
      </c>
      <c r="P44" s="32"/>
    </row>
    <row r="45" spans="3:79" ht="14.5" x14ac:dyDescent="0.35">
      <c r="C45" s="229" t="s">
        <v>279</v>
      </c>
      <c r="D45" s="230">
        <f>D55</f>
        <v>0</v>
      </c>
      <c r="E45" s="230">
        <f>E55+SUM($D63:D63)</f>
        <v>0</v>
      </c>
      <c r="F45" s="230">
        <f>F55+SUM($D63:E63)</f>
        <v>0</v>
      </c>
      <c r="G45" s="230">
        <f>G55+SUM($D63:F63)</f>
        <v>0</v>
      </c>
      <c r="H45" s="230">
        <f>H55+SUM($D63:G63)</f>
        <v>0</v>
      </c>
      <c r="I45" s="230">
        <f>I55+SUM($D63:H63)</f>
        <v>0</v>
      </c>
      <c r="J45" s="230">
        <f>J55+SUM($D63:I63)</f>
        <v>0</v>
      </c>
      <c r="K45" s="230">
        <f>K55+SUM($D63:J63)</f>
        <v>0</v>
      </c>
      <c r="L45" s="230">
        <f>L55+SUM($D63:K63)</f>
        <v>0</v>
      </c>
      <c r="M45" s="230">
        <f>M55+SUM($D63:L63)</f>
        <v>0</v>
      </c>
      <c r="N45" s="230">
        <f>N55+SUM($D63:M63)</f>
        <v>-25140</v>
      </c>
      <c r="O45" s="230">
        <f>O55+SUM($D63:N63)</f>
        <v>-33520</v>
      </c>
      <c r="P45" s="32"/>
    </row>
    <row r="46" spans="3:79" ht="14.5" x14ac:dyDescent="0.35">
      <c r="C46" s="229" t="s">
        <v>306</v>
      </c>
      <c r="D46" s="230">
        <f>D56</f>
        <v>1312.4624999999999</v>
      </c>
      <c r="E46" s="230">
        <f>E56+SUM($D64:D64)</f>
        <v>102195.58333333334</v>
      </c>
      <c r="F46" s="230">
        <f>F56+SUM($D64:E64)</f>
        <v>226027.75</v>
      </c>
      <c r="G46" s="230">
        <f>G56+SUM($D64:F64)</f>
        <v>226027.75</v>
      </c>
      <c r="H46" s="230">
        <f>H56+SUM($D64:G64)</f>
        <v>198713.16666666666</v>
      </c>
      <c r="I46" s="230">
        <f>I56+SUM($D64:H64)</f>
        <v>241294.75</v>
      </c>
      <c r="J46" s="230">
        <f>J56+SUM($D64:I64)</f>
        <v>241294.75</v>
      </c>
      <c r="K46" s="230">
        <f>K56+SUM($D64:J64)</f>
        <v>241294.75</v>
      </c>
      <c r="L46" s="230">
        <f>L56+SUM($D64:K64)</f>
        <v>231525</v>
      </c>
      <c r="M46" s="230">
        <f>M56+SUM($D64:L64)</f>
        <v>226763.95</v>
      </c>
      <c r="N46" s="230">
        <f>N56+SUM($D64:M64)</f>
        <v>286476.95</v>
      </c>
      <c r="O46" s="230">
        <f>O56+SUM($D64:N64)</f>
        <v>445171.55</v>
      </c>
    </row>
    <row r="47" spans="3:79" ht="14.5" x14ac:dyDescent="0.35">
      <c r="C47" s="231" t="s">
        <v>481</v>
      </c>
      <c r="D47" s="232">
        <f>D57</f>
        <v>45333.458333333336</v>
      </c>
      <c r="E47" s="232">
        <f>E57+SUM($D65:D65)</f>
        <v>77714.5</v>
      </c>
      <c r="F47" s="232">
        <f>F57+SUM($D65:E65)</f>
        <v>77714.5</v>
      </c>
      <c r="G47" s="232">
        <f>G57+SUM($D65:F65)</f>
        <v>185719.36666666667</v>
      </c>
      <c r="H47" s="232">
        <f>H57+SUM($D65:G65)</f>
        <v>254735.1</v>
      </c>
      <c r="I47" s="232">
        <f>I57+SUM($D65:H65)</f>
        <v>291519.09999999998</v>
      </c>
      <c r="J47" s="232">
        <f>J57+SUM($D65:I65)</f>
        <v>328303.09999999998</v>
      </c>
      <c r="K47" s="232">
        <f>K57+SUM($D65:J65)</f>
        <v>328303.09999999998</v>
      </c>
      <c r="L47" s="232">
        <f>L57+SUM($D65:K65)</f>
        <v>330027.69999999995</v>
      </c>
      <c r="M47" s="232">
        <f>M57+SUM($D65:L65)</f>
        <v>333476.89999999997</v>
      </c>
      <c r="N47" s="232">
        <f>N57+SUM($D65:M65)</f>
        <v>333476.89999999997</v>
      </c>
      <c r="O47" s="232">
        <f>O57+SUM($D65:N65)</f>
        <v>333476.89999999997</v>
      </c>
    </row>
    <row r="48" spans="3:79" ht="14.5" x14ac:dyDescent="0.35">
      <c r="C48" s="227" t="s">
        <v>289</v>
      </c>
      <c r="D48" s="233">
        <f t="shared" ref="D48:O48" si="6">SUM(D43:D47)</f>
        <v>109321.4375</v>
      </c>
      <c r="E48" s="233">
        <f t="shared" si="6"/>
        <v>341352.28333333333</v>
      </c>
      <c r="F48" s="233">
        <f t="shared" si="6"/>
        <v>634954.1166666667</v>
      </c>
      <c r="G48" s="233">
        <f t="shared" si="6"/>
        <v>803217.08333333337</v>
      </c>
      <c r="H48" s="233">
        <f t="shared" si="6"/>
        <v>997243.41666666663</v>
      </c>
      <c r="I48" s="233">
        <f t="shared" si="6"/>
        <v>1230494.0499999998</v>
      </c>
      <c r="J48" s="233">
        <f t="shared" si="6"/>
        <v>1280722.3166666667</v>
      </c>
      <c r="K48" s="233">
        <f t="shared" si="6"/>
        <v>1355249.8916666666</v>
      </c>
      <c r="L48" s="233">
        <f t="shared" si="6"/>
        <v>1705794.0333333334</v>
      </c>
      <c r="M48" s="233">
        <f t="shared" si="6"/>
        <v>1741607.5499999998</v>
      </c>
      <c r="N48" s="233">
        <f t="shared" si="6"/>
        <v>1795916.0499999998</v>
      </c>
      <c r="O48" s="233">
        <f t="shared" si="6"/>
        <v>2074710.0666666667</v>
      </c>
      <c r="P48" s="234">
        <f>SUM(D48:O48)</f>
        <v>14070582.295833334</v>
      </c>
      <c r="Q48" s="32">
        <f>AVERAGE(E48:O48)</f>
        <v>1269205.5325757577</v>
      </c>
      <c r="R48" s="32">
        <f>SUM(E48:I48)</f>
        <v>4007260.9499999997</v>
      </c>
    </row>
    <row r="49" spans="3:18" ht="14.5" x14ac:dyDescent="0.35">
      <c r="C49" s="262" t="s">
        <v>531</v>
      </c>
      <c r="D49" s="32">
        <f t="shared" ref="D49:O49" si="7">D48-D43</f>
        <v>51895.770833333336</v>
      </c>
      <c r="E49" s="32">
        <f t="shared" si="7"/>
        <v>242908.28333333333</v>
      </c>
      <c r="F49" s="32">
        <f t="shared" si="7"/>
        <v>448338.45</v>
      </c>
      <c r="G49" s="32">
        <f t="shared" si="7"/>
        <v>563698.41666666674</v>
      </c>
      <c r="H49" s="32">
        <f t="shared" si="7"/>
        <v>612754.66666666663</v>
      </c>
      <c r="I49" s="32">
        <f t="shared" si="7"/>
        <v>699477.04999999981</v>
      </c>
      <c r="J49" s="32">
        <f t="shared" si="7"/>
        <v>749705.31666666665</v>
      </c>
      <c r="K49" s="32">
        <f t="shared" si="7"/>
        <v>781456.22499999998</v>
      </c>
      <c r="L49" s="32">
        <f t="shared" si="7"/>
        <v>866454.95000000007</v>
      </c>
      <c r="M49" s="32">
        <f t="shared" si="7"/>
        <v>881180.84999999986</v>
      </c>
      <c r="N49" s="32">
        <f t="shared" si="7"/>
        <v>915753.84999999986</v>
      </c>
      <c r="O49" s="32">
        <f t="shared" si="7"/>
        <v>1095870.3666666667</v>
      </c>
      <c r="P49" s="234">
        <f>SUM(D49:O49)</f>
        <v>7909494.1958333328</v>
      </c>
      <c r="Q49" s="32">
        <f>AVERAGE(E49:O49)</f>
        <v>714327.1295454544</v>
      </c>
      <c r="R49" s="32">
        <f>SUM(E49:I49)</f>
        <v>2567176.8666666667</v>
      </c>
    </row>
    <row r="51" spans="3:18" x14ac:dyDescent="0.25">
      <c r="C51" t="s">
        <v>482</v>
      </c>
      <c r="D51" s="32"/>
    </row>
    <row r="52" spans="3:18" ht="14.5" x14ac:dyDescent="0.35">
      <c r="C52" s="275" t="s">
        <v>467</v>
      </c>
      <c r="D52" s="275" t="s">
        <v>468</v>
      </c>
      <c r="E52" s="275" t="s">
        <v>469</v>
      </c>
      <c r="F52" s="275" t="s">
        <v>470</v>
      </c>
      <c r="G52" s="275" t="s">
        <v>471</v>
      </c>
      <c r="H52" s="275" t="s">
        <v>472</v>
      </c>
      <c r="I52" s="275" t="s">
        <v>473</v>
      </c>
      <c r="J52" s="275" t="s">
        <v>474</v>
      </c>
      <c r="K52" s="275" t="s">
        <v>475</v>
      </c>
      <c r="L52" s="275" t="s">
        <v>476</v>
      </c>
      <c r="M52" s="275">
        <v>2028</v>
      </c>
      <c r="N52" s="275">
        <v>2029</v>
      </c>
      <c r="O52" s="275" t="s">
        <v>478</v>
      </c>
    </row>
    <row r="53" spans="3:18" ht="14.5" x14ac:dyDescent="0.35">
      <c r="C53" s="276" t="s">
        <v>479</v>
      </c>
      <c r="D53" s="230">
        <v>57425.666666666664</v>
      </c>
      <c r="E53" s="230"/>
      <c r="F53" s="230">
        <v>88171.666666666672</v>
      </c>
      <c r="G53" s="230">
        <v>35268.666666666664</v>
      </c>
      <c r="H53" s="230">
        <v>74432.75</v>
      </c>
      <c r="I53" s="230"/>
      <c r="J53" s="230">
        <v>0</v>
      </c>
      <c r="K53" s="230">
        <v>42776.666666666664</v>
      </c>
      <c r="L53" s="230">
        <v>205658.08333333334</v>
      </c>
      <c r="M53" s="230"/>
      <c r="N53" s="230">
        <v>19735.5</v>
      </c>
      <c r="O53" s="230"/>
    </row>
    <row r="54" spans="3:18" ht="14.5" x14ac:dyDescent="0.35">
      <c r="C54" s="276" t="s">
        <v>480</v>
      </c>
      <c r="D54" s="230">
        <v>5249.8499999999995</v>
      </c>
      <c r="E54" s="230">
        <v>0</v>
      </c>
      <c r="F54" s="230">
        <v>81598</v>
      </c>
      <c r="G54" s="230">
        <v>7355.1000000000058</v>
      </c>
      <c r="H54" s="230"/>
      <c r="I54" s="230">
        <v>7356.7999999999984</v>
      </c>
      <c r="J54" s="230">
        <v>6087.4666666666672</v>
      </c>
      <c r="K54" s="230">
        <v>28707.175000000003</v>
      </c>
      <c r="L54" s="230">
        <v>80188.75</v>
      </c>
      <c r="M54" s="230"/>
      <c r="N54" s="230"/>
      <c r="O54" s="230">
        <v>29801.916666666668</v>
      </c>
    </row>
    <row r="55" spans="3:18" ht="14.5" x14ac:dyDescent="0.35">
      <c r="C55" s="276" t="s">
        <v>279</v>
      </c>
      <c r="D55" s="278"/>
      <c r="E55" s="278"/>
      <c r="F55" s="278"/>
      <c r="G55" s="278"/>
      <c r="H55" s="278"/>
      <c r="I55" s="278"/>
      <c r="J55" s="278"/>
      <c r="K55" s="278">
        <v>0</v>
      </c>
      <c r="L55" s="278"/>
      <c r="M55" s="278"/>
      <c r="N55" s="278">
        <v>-25140</v>
      </c>
      <c r="O55" s="278"/>
    </row>
    <row r="56" spans="3:18" ht="14.5" x14ac:dyDescent="0.35">
      <c r="C56" s="277" t="s">
        <v>306</v>
      </c>
      <c r="D56" s="279">
        <v>1312.4624999999999</v>
      </c>
      <c r="E56" s="279">
        <v>86446.03333333334</v>
      </c>
      <c r="F56" s="279">
        <v>0</v>
      </c>
      <c r="G56" s="279">
        <v>0</v>
      </c>
      <c r="H56" s="279">
        <v>-27314.583333333336</v>
      </c>
      <c r="I56" s="279">
        <v>0</v>
      </c>
      <c r="J56" s="279"/>
      <c r="K56" s="279"/>
      <c r="L56" s="279">
        <v>-9769.7499999999982</v>
      </c>
      <c r="M56" s="279"/>
      <c r="N56" s="279">
        <v>59713</v>
      </c>
      <c r="O56" s="279">
        <v>30001.800000000003</v>
      </c>
    </row>
    <row r="57" spans="3:18" ht="14.5" x14ac:dyDescent="0.35">
      <c r="C57" s="277" t="s">
        <v>481</v>
      </c>
      <c r="D57" s="279">
        <v>45333.458333333336</v>
      </c>
      <c r="E57" s="279">
        <v>0</v>
      </c>
      <c r="F57" s="279">
        <v>0</v>
      </c>
      <c r="G57" s="279">
        <v>108004.86666666667</v>
      </c>
      <c r="H57" s="279"/>
      <c r="I57" s="279">
        <v>36784</v>
      </c>
      <c r="J57" s="279"/>
      <c r="K57" s="279">
        <v>0</v>
      </c>
      <c r="L57" s="279">
        <v>1724.600000000001</v>
      </c>
      <c r="M57" s="279"/>
      <c r="N57" s="279"/>
      <c r="O57" s="279">
        <v>0</v>
      </c>
    </row>
    <row r="58" spans="3:18" x14ac:dyDescent="0.25">
      <c r="D58" s="32"/>
    </row>
    <row r="59" spans="3:18" ht="14.5" x14ac:dyDescent="0.35">
      <c r="C59" s="226" t="s">
        <v>483</v>
      </c>
      <c r="D59" s="32"/>
    </row>
    <row r="60" spans="3:18" ht="14.5" x14ac:dyDescent="0.35">
      <c r="C60" s="275" t="s">
        <v>467</v>
      </c>
      <c r="D60" s="275" t="s">
        <v>468</v>
      </c>
      <c r="E60" s="275" t="s">
        <v>469</v>
      </c>
      <c r="F60" s="275" t="s">
        <v>470</v>
      </c>
      <c r="G60" s="275" t="s">
        <v>471</v>
      </c>
      <c r="H60" s="275" t="s">
        <v>472</v>
      </c>
      <c r="I60" s="275" t="s">
        <v>473</v>
      </c>
      <c r="J60" s="275" t="s">
        <v>474</v>
      </c>
      <c r="K60" s="275" t="s">
        <v>475</v>
      </c>
      <c r="L60" s="275" t="s">
        <v>476</v>
      </c>
      <c r="M60" s="275">
        <v>2028</v>
      </c>
      <c r="N60" s="275" t="s">
        <v>477</v>
      </c>
      <c r="O60" s="275" t="s">
        <v>478</v>
      </c>
    </row>
    <row r="61" spans="3:18" ht="14.5" x14ac:dyDescent="0.35">
      <c r="C61" s="276" t="s">
        <v>479</v>
      </c>
      <c r="D61" s="230">
        <v>98444</v>
      </c>
      <c r="E61" s="230"/>
      <c r="F61" s="230">
        <v>105806</v>
      </c>
      <c r="G61" s="230">
        <v>105806</v>
      </c>
      <c r="H61" s="230">
        <v>220961</v>
      </c>
      <c r="I61" s="230"/>
      <c r="J61" s="230">
        <v>0</v>
      </c>
      <c r="K61" s="230">
        <v>102664</v>
      </c>
      <c r="L61" s="230">
        <v>226745.7</v>
      </c>
      <c r="M61" s="230"/>
      <c r="N61" s="230">
        <v>118413</v>
      </c>
      <c r="O61" s="230"/>
    </row>
    <row r="62" spans="3:18" ht="14.5" x14ac:dyDescent="0.35">
      <c r="C62" s="276" t="s">
        <v>480</v>
      </c>
      <c r="D62" s="230">
        <v>62998.2</v>
      </c>
      <c r="E62" s="230">
        <v>0</v>
      </c>
      <c r="F62" s="230">
        <v>81598</v>
      </c>
      <c r="G62" s="230">
        <v>14710.200000000012</v>
      </c>
      <c r="H62" s="230"/>
      <c r="I62" s="230">
        <v>14713.599999999995</v>
      </c>
      <c r="J62" s="230">
        <v>9131.2000000000007</v>
      </c>
      <c r="K62" s="230">
        <v>41562.300000000003</v>
      </c>
      <c r="L62" s="230">
        <v>96226.5</v>
      </c>
      <c r="M62" s="230"/>
      <c r="N62" s="230"/>
      <c r="O62" s="230">
        <v>51089</v>
      </c>
    </row>
    <row r="63" spans="3:18" ht="14.5" x14ac:dyDescent="0.35">
      <c r="C63" s="276" t="s">
        <v>279</v>
      </c>
      <c r="D63" s="230"/>
      <c r="E63" s="230"/>
      <c r="F63" s="230"/>
      <c r="G63" s="230"/>
      <c r="H63" s="230"/>
      <c r="I63" s="230"/>
      <c r="J63" s="230"/>
      <c r="K63" s="230">
        <v>0</v>
      </c>
      <c r="L63" s="230"/>
      <c r="M63" s="230"/>
      <c r="N63" s="230">
        <v>-33520</v>
      </c>
      <c r="O63" s="230"/>
    </row>
    <row r="64" spans="3:18" ht="14.5" x14ac:dyDescent="0.35">
      <c r="C64" s="276" t="s">
        <v>306</v>
      </c>
      <c r="D64" s="278">
        <v>15749.55</v>
      </c>
      <c r="E64" s="278">
        <v>210278.2</v>
      </c>
      <c r="F64" s="278">
        <v>0</v>
      </c>
      <c r="G64" s="278">
        <v>0</v>
      </c>
      <c r="H64" s="278">
        <v>15267</v>
      </c>
      <c r="I64" s="278">
        <v>0</v>
      </c>
      <c r="J64" s="278"/>
      <c r="K64" s="278"/>
      <c r="L64" s="278">
        <v>-14530.8</v>
      </c>
      <c r="M64" s="278"/>
      <c r="N64" s="278">
        <v>188405.8</v>
      </c>
      <c r="O64" s="278">
        <v>40002.400000000001</v>
      </c>
    </row>
    <row r="65" spans="3:20" ht="14.5" x14ac:dyDescent="0.35">
      <c r="C65" s="277" t="s">
        <v>481</v>
      </c>
      <c r="D65" s="279">
        <v>77714.5</v>
      </c>
      <c r="E65" s="279">
        <v>0</v>
      </c>
      <c r="F65" s="279">
        <v>0</v>
      </c>
      <c r="G65" s="279">
        <v>177020.6</v>
      </c>
      <c r="H65" s="279"/>
      <c r="I65" s="279">
        <v>73568</v>
      </c>
      <c r="J65" s="279"/>
      <c r="K65" s="279">
        <v>0</v>
      </c>
      <c r="L65" s="279">
        <v>5173.8000000000029</v>
      </c>
      <c r="M65" s="279"/>
      <c r="N65" s="279"/>
      <c r="O65" s="279">
        <v>0</v>
      </c>
    </row>
    <row r="71" spans="3:20" ht="14.5" x14ac:dyDescent="0.35">
      <c r="C71" s="103" t="s">
        <v>489</v>
      </c>
      <c r="D71" s="90"/>
      <c r="E71" s="103"/>
      <c r="S71" s="247" t="s">
        <v>506</v>
      </c>
      <c r="T71" s="247" t="s">
        <v>526</v>
      </c>
    </row>
    <row r="72" spans="3:20" ht="14.5" x14ac:dyDescent="0.35">
      <c r="C72" s="228" t="s">
        <v>495</v>
      </c>
      <c r="D72" s="224" t="s">
        <v>468</v>
      </c>
      <c r="E72" s="224" t="s">
        <v>469</v>
      </c>
      <c r="F72" s="224" t="s">
        <v>470</v>
      </c>
      <c r="G72" s="224" t="s">
        <v>471</v>
      </c>
      <c r="H72" s="224" t="s">
        <v>472</v>
      </c>
      <c r="I72" s="224" t="s">
        <v>473</v>
      </c>
      <c r="J72" s="224" t="s">
        <v>474</v>
      </c>
      <c r="K72" s="224" t="s">
        <v>475</v>
      </c>
      <c r="L72" s="224" t="s">
        <v>476</v>
      </c>
      <c r="M72" s="228">
        <v>2028</v>
      </c>
      <c r="N72" s="224" t="s">
        <v>477</v>
      </c>
      <c r="O72" s="224" t="s">
        <v>478</v>
      </c>
      <c r="P72" s="224">
        <v>2031</v>
      </c>
      <c r="Q72" s="246" t="s">
        <v>506</v>
      </c>
      <c r="S72" s="247" t="s">
        <v>508</v>
      </c>
      <c r="T72" s="247" t="s">
        <v>508</v>
      </c>
    </row>
    <row r="73" spans="3:20" ht="14.5" x14ac:dyDescent="0.35">
      <c r="C73" s="1" t="s">
        <v>494</v>
      </c>
      <c r="D73" s="240"/>
      <c r="E73" s="240">
        <v>-727875</v>
      </c>
      <c r="F73" s="240">
        <v>-884000</v>
      </c>
      <c r="G73" s="240">
        <v>-884000</v>
      </c>
      <c r="H73" s="240">
        <v>-884000</v>
      </c>
      <c r="I73" s="240">
        <v>-884000</v>
      </c>
      <c r="J73" s="240">
        <v>-884000</v>
      </c>
      <c r="K73" s="240">
        <v>-884000</v>
      </c>
      <c r="L73" s="240">
        <v>-884000</v>
      </c>
      <c r="M73" s="240">
        <v>-884000</v>
      </c>
      <c r="N73" s="240">
        <v>-884000</v>
      </c>
      <c r="O73" s="240">
        <v>-884000</v>
      </c>
      <c r="P73" s="240"/>
      <c r="Q73" s="32">
        <f t="shared" ref="Q73:Q82" si="8">SUM(E73:I73)</f>
        <v>-4263875</v>
      </c>
      <c r="S73" s="32">
        <f>5*E73+4*F73+3*G73+2*H73+I73</f>
        <v>-12479375</v>
      </c>
      <c r="T73" s="32">
        <f>11*E73+10*F73+9*G73+8*H73+7*I73+6*J73+5*K73+4*L73+3*M73+2*N73+O73</f>
        <v>-56626625</v>
      </c>
    </row>
    <row r="74" spans="3:20" ht="14.5" x14ac:dyDescent="0.35">
      <c r="C74" s="1" t="s">
        <v>490</v>
      </c>
      <c r="D74" s="225"/>
      <c r="E74" s="225">
        <v>-391674.25</v>
      </c>
      <c r="F74" s="225">
        <v>-282558.5</v>
      </c>
      <c r="G74" s="225">
        <v>-889398</v>
      </c>
      <c r="H74" s="225">
        <v>-235017.65277777781</v>
      </c>
      <c r="I74" s="225">
        <v>-197417</v>
      </c>
      <c r="J74" s="225">
        <v>-484691.20833333337</v>
      </c>
      <c r="K74" s="225"/>
      <c r="L74" s="225">
        <v>-109250</v>
      </c>
      <c r="M74" s="225">
        <v>-109250</v>
      </c>
      <c r="N74" s="225">
        <v>-109250</v>
      </c>
      <c r="O74" s="225">
        <v>-109250</v>
      </c>
      <c r="P74" s="225">
        <v>-109250</v>
      </c>
      <c r="Q74" s="32">
        <f t="shared" si="8"/>
        <v>-1996065.4027777778</v>
      </c>
      <c r="S74" s="32">
        <f t="shared" ref="S74:S82" si="9">5*E74+4*F74+3*G74+2*H74+I74</f>
        <v>-6424251.555555556</v>
      </c>
      <c r="T74" s="32">
        <f t="shared" ref="T74:T83" si="10">11*E74+10*F74+9*G74+8*H74+7*I74+6*J74+5*K74+4*L74+3*M74+2*N74+O74</f>
        <v>-22401291.222222224</v>
      </c>
    </row>
    <row r="75" spans="3:20" ht="14.5" x14ac:dyDescent="0.35">
      <c r="C75" s="1" t="s">
        <v>491</v>
      </c>
      <c r="D75" s="225"/>
      <c r="E75" s="225">
        <v>410757.8833333333</v>
      </c>
      <c r="F75" s="225">
        <v>-877023.5</v>
      </c>
      <c r="G75" s="225">
        <v>-1051602.6583333332</v>
      </c>
      <c r="H75" s="225">
        <v>-1105040.5</v>
      </c>
      <c r="I75" s="225">
        <v>-1113182.6666666665</v>
      </c>
      <c r="J75" s="225">
        <v>-956857.5</v>
      </c>
      <c r="K75" s="225">
        <v>-886212.5</v>
      </c>
      <c r="L75" s="225">
        <v>-948152.08333333326</v>
      </c>
      <c r="M75" s="225">
        <v>-919564.58333333337</v>
      </c>
      <c r="N75" s="225">
        <v>-971975</v>
      </c>
      <c r="O75" s="225">
        <v>-1043443.7499999999</v>
      </c>
      <c r="P75" s="225">
        <v>-1005327.0833333334</v>
      </c>
      <c r="Q75" s="32">
        <f t="shared" si="8"/>
        <v>-3736091.4416666664</v>
      </c>
      <c r="S75" s="32">
        <f t="shared" si="9"/>
        <v>-7932376.2249999996</v>
      </c>
      <c r="T75" s="32">
        <f t="shared" si="10"/>
        <v>-50059828.208333336</v>
      </c>
    </row>
    <row r="76" spans="3:20" ht="14.5" x14ac:dyDescent="0.35">
      <c r="C76" s="1" t="s">
        <v>511</v>
      </c>
      <c r="D76" s="225"/>
      <c r="E76" s="225">
        <v>-721188</v>
      </c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Q76" s="32">
        <f t="shared" si="8"/>
        <v>-721188</v>
      </c>
      <c r="S76" s="32">
        <f t="shared" si="9"/>
        <v>-3605940</v>
      </c>
      <c r="T76" s="32">
        <f t="shared" si="10"/>
        <v>-7933068</v>
      </c>
    </row>
    <row r="77" spans="3:20" ht="14.5" x14ac:dyDescent="0.35">
      <c r="C77" s="1" t="s">
        <v>496</v>
      </c>
      <c r="D77" s="225"/>
      <c r="E77" s="225">
        <v>-788623.25</v>
      </c>
      <c r="F77" s="225">
        <v>-154493.75</v>
      </c>
      <c r="G77" s="225">
        <v>-877695.75</v>
      </c>
      <c r="H77" s="225">
        <v>-295866.49652777781</v>
      </c>
      <c r="I77" s="225">
        <v>-191287.25</v>
      </c>
      <c r="J77" s="225">
        <v>-477446.95833333337</v>
      </c>
      <c r="K77" s="225"/>
      <c r="L77" s="225"/>
      <c r="M77" s="225"/>
      <c r="N77" s="225"/>
      <c r="O77" s="225"/>
      <c r="P77" s="225"/>
      <c r="Q77" s="32">
        <f t="shared" si="8"/>
        <v>-2307966.496527778</v>
      </c>
      <c r="S77" s="32">
        <f t="shared" si="9"/>
        <v>-7977198.743055556</v>
      </c>
      <c r="T77" s="32">
        <f t="shared" si="10"/>
        <v>-24689679.472222224</v>
      </c>
    </row>
    <row r="78" spans="3:20" ht="14.5" x14ac:dyDescent="0.35">
      <c r="C78" s="1" t="s">
        <v>498</v>
      </c>
      <c r="D78" s="225"/>
      <c r="E78" s="225">
        <v>837777.67500000005</v>
      </c>
      <c r="F78" s="225">
        <v>-845257.875</v>
      </c>
      <c r="G78" s="225">
        <v>-1002338.075</v>
      </c>
      <c r="H78" s="225">
        <v>-1084893.625</v>
      </c>
      <c r="I78" s="225">
        <v>-1110672.25</v>
      </c>
      <c r="J78" s="225">
        <v>-929270</v>
      </c>
      <c r="K78" s="225">
        <v>-837561.5</v>
      </c>
      <c r="L78" s="225">
        <v>-921316.25</v>
      </c>
      <c r="M78" s="225">
        <v>-879440.125</v>
      </c>
      <c r="N78" s="225">
        <v>-949236</v>
      </c>
      <c r="O78" s="225">
        <v>-1019032.875</v>
      </c>
      <c r="P78" s="225">
        <v>-1009726.125</v>
      </c>
      <c r="Q78" s="32">
        <f t="shared" si="8"/>
        <v>-3205384.15</v>
      </c>
      <c r="S78" s="32">
        <f t="shared" si="9"/>
        <v>-5479616.8499999996</v>
      </c>
      <c r="T78" s="32">
        <f t="shared" si="10"/>
        <v>-43716439.5</v>
      </c>
    </row>
    <row r="79" spans="3:20" ht="14.5" x14ac:dyDescent="0.35">
      <c r="C79" s="1" t="s">
        <v>492</v>
      </c>
      <c r="D79" s="225"/>
      <c r="E79" s="225">
        <v>0</v>
      </c>
      <c r="F79" s="225">
        <v>462185.72499999998</v>
      </c>
      <c r="G79" s="225">
        <v>713656.80416666681</v>
      </c>
      <c r="H79" s="225">
        <v>1075289.375</v>
      </c>
      <c r="I79" s="225">
        <v>226508.8125</v>
      </c>
      <c r="J79" s="225">
        <v>289033.75416666665</v>
      </c>
      <c r="K79" s="225">
        <v>544350.46250000002</v>
      </c>
      <c r="L79" s="225">
        <v>387232.14583333331</v>
      </c>
      <c r="M79" s="225">
        <v>696937.97916666674</v>
      </c>
      <c r="N79" s="225">
        <v>380930.72625000007</v>
      </c>
      <c r="O79" s="225">
        <v>188824.09375</v>
      </c>
      <c r="P79" s="225">
        <v>692367.94</v>
      </c>
      <c r="Q79" s="32">
        <f t="shared" si="8"/>
        <v>2477640.7166666668</v>
      </c>
      <c r="S79" s="32">
        <f t="shared" si="9"/>
        <v>6366800.875</v>
      </c>
      <c r="T79" s="32">
        <f t="shared" si="10"/>
        <v>30279028.079583332</v>
      </c>
    </row>
    <row r="80" spans="3:20" ht="14.5" x14ac:dyDescent="0.35">
      <c r="C80" s="1" t="s">
        <v>493</v>
      </c>
      <c r="D80" s="225"/>
      <c r="E80" s="225">
        <v>2263577.6687500002</v>
      </c>
      <c r="F80" s="225">
        <v>812811.67499999993</v>
      </c>
      <c r="G80" s="225">
        <v>494711.40625</v>
      </c>
      <c r="H80" s="225">
        <v>4695494.1879166672</v>
      </c>
      <c r="I80" s="225">
        <v>2471854.2454166664</v>
      </c>
      <c r="J80" s="225">
        <v>531265.38749999995</v>
      </c>
      <c r="K80" s="225">
        <v>306115.10416666669</v>
      </c>
      <c r="L80" s="225">
        <v>427954.83333333337</v>
      </c>
      <c r="M80" s="225">
        <v>1745644.9791666665</v>
      </c>
      <c r="N80" s="225">
        <v>2859740.6906249998</v>
      </c>
      <c r="O80" s="225">
        <v>2719565.7468750002</v>
      </c>
      <c r="P80" s="225">
        <v>1167104.166666667</v>
      </c>
      <c r="Q80" s="32">
        <f t="shared" si="8"/>
        <v>10738449.183333334</v>
      </c>
      <c r="S80" s="32">
        <f t="shared" si="9"/>
        <v>27916111.883750003</v>
      </c>
      <c r="T80" s="32">
        <f t="shared" si="10"/>
        <v>112452776.22854167</v>
      </c>
    </row>
    <row r="81" spans="3:20" ht="14.5" x14ac:dyDescent="0.35">
      <c r="C81" s="1" t="s">
        <v>510</v>
      </c>
      <c r="D81" s="225"/>
      <c r="E81" s="225">
        <v>-432882.125</v>
      </c>
      <c r="F81" s="225">
        <v>-61760.416666666672</v>
      </c>
      <c r="G81" s="225">
        <v>-95447.916666666672</v>
      </c>
      <c r="H81" s="225">
        <v>0</v>
      </c>
      <c r="I81" s="225"/>
      <c r="J81" s="225"/>
      <c r="K81" s="225"/>
      <c r="L81" s="225"/>
      <c r="M81" s="225"/>
      <c r="N81" s="225"/>
      <c r="O81" s="225"/>
      <c r="P81" s="225"/>
      <c r="Q81" s="32">
        <f t="shared" si="8"/>
        <v>-590090.45833333337</v>
      </c>
      <c r="S81" s="32">
        <f t="shared" si="9"/>
        <v>-2697796.0416666665</v>
      </c>
      <c r="T81" s="32">
        <f t="shared" si="10"/>
        <v>-6238338.791666667</v>
      </c>
    </row>
    <row r="82" spans="3:20" ht="14.5" x14ac:dyDescent="0.35">
      <c r="C82" s="244" t="s">
        <v>525</v>
      </c>
      <c r="D82" s="241"/>
      <c r="E82" s="241">
        <v>-104166.66666666669</v>
      </c>
      <c r="F82" s="241">
        <v>-520833.33333333331</v>
      </c>
      <c r="G82" s="241">
        <v>-426792.25</v>
      </c>
      <c r="H82" s="241">
        <v>-306000</v>
      </c>
      <c r="I82" s="241">
        <v>-492663.91666666674</v>
      </c>
      <c r="J82" s="241">
        <v>-17270.583333333256</v>
      </c>
      <c r="K82" s="241">
        <v>0</v>
      </c>
      <c r="L82" s="241"/>
      <c r="M82" s="241"/>
      <c r="N82" s="241"/>
      <c r="O82" s="241"/>
      <c r="P82" s="241"/>
      <c r="Q82" s="241">
        <f t="shared" si="8"/>
        <v>-1850456.1666666667</v>
      </c>
      <c r="S82" s="241">
        <f t="shared" si="9"/>
        <v>-4989207.333333333</v>
      </c>
      <c r="T82" s="241">
        <f t="shared" si="10"/>
        <v>-16195567.833333332</v>
      </c>
    </row>
    <row r="83" spans="3:20" ht="13" x14ac:dyDescent="0.3">
      <c r="C83" s="239" t="s">
        <v>154</v>
      </c>
      <c r="D83" s="242"/>
      <c r="E83" s="242">
        <v>-404547.0625</v>
      </c>
      <c r="F83" s="242"/>
      <c r="G83" s="242">
        <v>-198582.79</v>
      </c>
      <c r="H83" s="242">
        <v>-1475831.7350000001</v>
      </c>
      <c r="I83" s="242">
        <v>-490439.77500000002</v>
      </c>
      <c r="J83" s="242"/>
      <c r="K83" s="242">
        <v>-112177.17000000003</v>
      </c>
      <c r="L83" s="242">
        <v>-141744.75</v>
      </c>
      <c r="M83" s="242">
        <v>-97620.25</v>
      </c>
      <c r="N83" s="242">
        <v>-75517.207500000004</v>
      </c>
      <c r="O83" s="242"/>
      <c r="P83" s="242"/>
      <c r="Q83" s="242">
        <f>SUM(E83:I83)</f>
        <v>-2569401.3625000003</v>
      </c>
      <c r="S83" s="242">
        <f>5*E83+4*F83+3*G83+2*H83+I83</f>
        <v>-6060586.9275000002</v>
      </c>
      <c r="T83" s="242">
        <f t="shared" si="10"/>
        <v>-23048755.117500003</v>
      </c>
    </row>
    <row r="84" spans="3:20" x14ac:dyDescent="0.25">
      <c r="E84">
        <v>0</v>
      </c>
      <c r="F84">
        <v>0</v>
      </c>
      <c r="G84">
        <v>0</v>
      </c>
      <c r="H84">
        <v>7070.1895833333328</v>
      </c>
      <c r="I84">
        <v>87947.854166666657</v>
      </c>
      <c r="J84">
        <v>150749.05125000002</v>
      </c>
      <c r="K84">
        <v>0</v>
      </c>
      <c r="L84">
        <v>540237.65833333344</v>
      </c>
      <c r="M84">
        <v>368194.41166666668</v>
      </c>
      <c r="N84">
        <v>153254.23749999999</v>
      </c>
      <c r="O84">
        <v>422604.33833333338</v>
      </c>
      <c r="P84">
        <v>223722.07666666669</v>
      </c>
    </row>
    <row r="85" spans="3:20" x14ac:dyDescent="0.25">
      <c r="E85">
        <v>-855230.5</v>
      </c>
      <c r="F85">
        <v>-9479.5</v>
      </c>
      <c r="G85">
        <v>0</v>
      </c>
      <c r="H85">
        <v>0</v>
      </c>
      <c r="I85">
        <v>-280515.25</v>
      </c>
      <c r="J85">
        <v>-466135.25</v>
      </c>
      <c r="K85">
        <v>-524820.25</v>
      </c>
      <c r="L85">
        <v>-539811.29513888888</v>
      </c>
      <c r="M85">
        <v>-17389.75</v>
      </c>
      <c r="N85">
        <v>-241563.29166666663</v>
      </c>
    </row>
    <row r="86" spans="3:20" x14ac:dyDescent="0.25">
      <c r="C86" t="s">
        <v>497</v>
      </c>
      <c r="E86" s="99">
        <f t="shared" ref="E86:O86" si="11">D20-E20</f>
        <v>-0.20528226041665221</v>
      </c>
      <c r="F86" s="99">
        <f t="shared" si="11"/>
        <v>-0.31682747500001085</v>
      </c>
      <c r="G86" s="99">
        <f t="shared" si="11"/>
        <v>-1.3924885712499986</v>
      </c>
      <c r="H86" s="99">
        <f t="shared" si="11"/>
        <v>2.6152618959722247</v>
      </c>
      <c r="I86" s="99">
        <f t="shared" si="11"/>
        <v>0.22073247041667798</v>
      </c>
      <c r="J86" s="99">
        <f t="shared" si="11"/>
        <v>-0.91907459875001507</v>
      </c>
      <c r="K86" s="99">
        <f t="shared" si="11"/>
        <v>-0.62409335333333615</v>
      </c>
      <c r="L86" s="99">
        <f t="shared" si="11"/>
        <v>-0.24744765763888665</v>
      </c>
      <c r="M86" s="99">
        <f t="shared" si="11"/>
        <v>1.8163272449999965</v>
      </c>
      <c r="N86" s="99">
        <f t="shared" si="11"/>
        <v>2.1276091552083471</v>
      </c>
      <c r="O86" s="99">
        <f t="shared" si="11"/>
        <v>2.3119613039583271</v>
      </c>
      <c r="P86" s="99"/>
    </row>
    <row r="88" spans="3:20" x14ac:dyDescent="0.25">
      <c r="C88" t="s">
        <v>499</v>
      </c>
      <c r="E88" s="243">
        <f t="shared" ref="E88:O88" si="12">E86-E83/1000000</f>
        <v>0.19926480208334779</v>
      </c>
      <c r="F88" s="243">
        <f t="shared" si="12"/>
        <v>-0.31682747500001085</v>
      </c>
      <c r="G88" s="243">
        <f t="shared" si="12"/>
        <v>-1.1939057812499985</v>
      </c>
      <c r="H88" s="243">
        <f t="shared" si="12"/>
        <v>4.0910936309722246</v>
      </c>
      <c r="I88" s="243">
        <f t="shared" si="12"/>
        <v>0.71117224541667801</v>
      </c>
      <c r="J88" s="243">
        <f t="shared" si="12"/>
        <v>-0.91907459875001507</v>
      </c>
      <c r="K88" s="243">
        <f t="shared" si="12"/>
        <v>-0.51191618333333611</v>
      </c>
      <c r="L88" s="243">
        <f t="shared" si="12"/>
        <v>-0.10570290763888665</v>
      </c>
      <c r="M88" s="243">
        <f t="shared" si="12"/>
        <v>1.9139474949999966</v>
      </c>
      <c r="N88" s="243">
        <f t="shared" si="12"/>
        <v>2.2031263627083471</v>
      </c>
      <c r="O88" s="243">
        <f t="shared" si="12"/>
        <v>2.3119613039583271</v>
      </c>
    </row>
    <row r="90" spans="3:20" ht="14.5" x14ac:dyDescent="0.35">
      <c r="E90" s="225">
        <f>E88*1000000</f>
        <v>199264.80208334778</v>
      </c>
      <c r="L90">
        <f>L88*1000000</f>
        <v>-105702.90763888665</v>
      </c>
    </row>
    <row r="94" spans="3:20" ht="14.5" x14ac:dyDescent="0.35">
      <c r="D94" s="224" t="s">
        <v>468</v>
      </c>
      <c r="E94" s="224" t="s">
        <v>469</v>
      </c>
      <c r="F94" s="224" t="s">
        <v>470</v>
      </c>
      <c r="G94" s="224" t="s">
        <v>471</v>
      </c>
      <c r="H94" s="224" t="s">
        <v>472</v>
      </c>
      <c r="I94" s="224" t="s">
        <v>473</v>
      </c>
      <c r="J94" s="224" t="s">
        <v>474</v>
      </c>
      <c r="K94" s="224" t="s">
        <v>475</v>
      </c>
      <c r="L94" s="224" t="s">
        <v>476</v>
      </c>
      <c r="M94" s="228">
        <v>2028</v>
      </c>
      <c r="N94" s="224" t="s">
        <v>477</v>
      </c>
      <c r="O94" s="224" t="s">
        <v>478</v>
      </c>
    </row>
    <row r="95" spans="3:20" ht="14.5" x14ac:dyDescent="0.35">
      <c r="C95" s="228" t="s">
        <v>509</v>
      </c>
      <c r="D95">
        <v>2</v>
      </c>
      <c r="E95">
        <v>3</v>
      </c>
      <c r="F95">
        <v>2</v>
      </c>
      <c r="G95">
        <v>2</v>
      </c>
      <c r="H95">
        <v>4</v>
      </c>
      <c r="I95">
        <v>2</v>
      </c>
      <c r="J95">
        <v>1</v>
      </c>
      <c r="K95">
        <v>0</v>
      </c>
      <c r="L95">
        <v>1</v>
      </c>
      <c r="M95">
        <v>3</v>
      </c>
      <c r="N95">
        <v>3</v>
      </c>
      <c r="O95">
        <v>1</v>
      </c>
    </row>
    <row r="99" spans="3:18" ht="14.5" x14ac:dyDescent="0.35">
      <c r="C99" s="224" t="s">
        <v>520</v>
      </c>
      <c r="D99" s="224" t="s">
        <v>468</v>
      </c>
      <c r="E99" s="224" t="s">
        <v>469</v>
      </c>
      <c r="F99" s="224" t="s">
        <v>470</v>
      </c>
      <c r="G99" s="224" t="s">
        <v>471</v>
      </c>
      <c r="H99" s="224" t="s">
        <v>472</v>
      </c>
      <c r="I99" s="224" t="s">
        <v>473</v>
      </c>
      <c r="J99" s="224" t="s">
        <v>474</v>
      </c>
      <c r="K99" s="224" t="s">
        <v>475</v>
      </c>
      <c r="L99" s="224" t="s">
        <v>476</v>
      </c>
      <c r="M99" s="228">
        <v>2028</v>
      </c>
      <c r="N99" s="224" t="s">
        <v>477</v>
      </c>
      <c r="O99" s="224" t="s">
        <v>478</v>
      </c>
      <c r="P99" s="257">
        <v>2031</v>
      </c>
      <c r="Q99" s="256" t="s">
        <v>506</v>
      </c>
      <c r="R99" s="246" t="s">
        <v>524</v>
      </c>
    </row>
    <row r="100" spans="3:18" ht="14.5" x14ac:dyDescent="0.35">
      <c r="C100" s="1" t="s">
        <v>494</v>
      </c>
      <c r="D100" s="240"/>
      <c r="E100" s="253">
        <v>1</v>
      </c>
      <c r="F100" s="253">
        <v>2</v>
      </c>
      <c r="G100" s="253">
        <v>2</v>
      </c>
      <c r="H100" s="253">
        <v>2</v>
      </c>
      <c r="I100" s="253">
        <v>2</v>
      </c>
      <c r="J100" s="251">
        <v>2</v>
      </c>
      <c r="K100" s="251">
        <v>2</v>
      </c>
      <c r="L100" s="251">
        <v>2</v>
      </c>
      <c r="M100" s="251">
        <v>2</v>
      </c>
      <c r="N100" s="251">
        <v>2</v>
      </c>
      <c r="O100" s="251">
        <v>2</v>
      </c>
      <c r="P100" s="258"/>
      <c r="Q100" s="255">
        <f>SUM(E100:I100)</f>
        <v>9</v>
      </c>
      <c r="R100" s="255">
        <f>SUM(E100:O100)</f>
        <v>21</v>
      </c>
    </row>
    <row r="101" spans="3:18" ht="14.5" x14ac:dyDescent="0.35">
      <c r="C101" s="1" t="s">
        <v>490</v>
      </c>
      <c r="D101" s="225"/>
      <c r="E101" s="254">
        <v>4</v>
      </c>
      <c r="F101" s="254">
        <v>3</v>
      </c>
      <c r="G101" s="254">
        <v>4</v>
      </c>
      <c r="H101" s="254">
        <v>4</v>
      </c>
      <c r="I101" s="254">
        <v>1</v>
      </c>
      <c r="J101" s="252">
        <v>2</v>
      </c>
      <c r="K101" s="252"/>
      <c r="L101" s="252">
        <v>2</v>
      </c>
      <c r="M101" s="252">
        <v>2</v>
      </c>
      <c r="N101" s="252">
        <v>2</v>
      </c>
      <c r="O101" s="252">
        <v>2</v>
      </c>
      <c r="P101" s="259">
        <v>2</v>
      </c>
      <c r="Q101" s="255">
        <f>SUM(E101:I101)</f>
        <v>16</v>
      </c>
      <c r="R101" s="255">
        <f>SUM(E101:O101)</f>
        <v>26</v>
      </c>
    </row>
    <row r="102" spans="3:18" ht="14.5" x14ac:dyDescent="0.35">
      <c r="C102" s="1" t="s">
        <v>491</v>
      </c>
      <c r="D102" s="225"/>
      <c r="E102" s="254">
        <v>9</v>
      </c>
      <c r="F102" s="254">
        <v>1</v>
      </c>
      <c r="G102" s="254">
        <v>5</v>
      </c>
      <c r="H102" s="254">
        <v>2</v>
      </c>
      <c r="I102" s="254">
        <v>3</v>
      </c>
      <c r="J102" s="252">
        <v>4</v>
      </c>
      <c r="K102" s="252">
        <v>4</v>
      </c>
      <c r="L102" s="252">
        <v>4</v>
      </c>
      <c r="M102" s="252">
        <v>3</v>
      </c>
      <c r="N102" s="252">
        <v>3</v>
      </c>
      <c r="O102" s="252">
        <v>5</v>
      </c>
      <c r="P102" s="259">
        <v>1</v>
      </c>
      <c r="Q102" s="255">
        <f>SUM(E102:I102)</f>
        <v>20</v>
      </c>
      <c r="R102" s="255">
        <f>SUM(E102:O102)</f>
        <v>43</v>
      </c>
    </row>
    <row r="103" spans="3:18" ht="14.5" x14ac:dyDescent="0.35">
      <c r="C103" s="1" t="s">
        <v>496</v>
      </c>
      <c r="D103" s="225"/>
      <c r="E103" s="254">
        <v>1</v>
      </c>
      <c r="F103" s="254"/>
      <c r="G103" s="254"/>
      <c r="H103" s="254"/>
      <c r="I103" s="254"/>
      <c r="J103" s="252"/>
      <c r="K103" s="252"/>
      <c r="L103" s="252"/>
      <c r="M103" s="252"/>
      <c r="N103" s="252"/>
      <c r="O103" s="252"/>
      <c r="P103" s="259"/>
      <c r="Q103" s="255">
        <f>SUM(E103:I103)</f>
        <v>1</v>
      </c>
      <c r="R103" s="255">
        <f>SUM(E103:O103)</f>
        <v>1</v>
      </c>
    </row>
    <row r="104" spans="3:18" ht="14.5" x14ac:dyDescent="0.35">
      <c r="C104" s="1" t="s">
        <v>498</v>
      </c>
      <c r="D104" s="225"/>
      <c r="E104" s="254">
        <v>6</v>
      </c>
      <c r="F104" s="254">
        <v>3</v>
      </c>
      <c r="G104" s="254">
        <v>4</v>
      </c>
      <c r="H104" s="254">
        <v>4</v>
      </c>
      <c r="I104" s="254">
        <v>1</v>
      </c>
      <c r="J104" s="252">
        <v>2</v>
      </c>
      <c r="K104" s="252"/>
      <c r="L104" s="252"/>
      <c r="M104" s="252"/>
      <c r="N104" s="252"/>
      <c r="O104" s="252"/>
      <c r="P104" s="259"/>
      <c r="Q104" s="255">
        <f>SUM(E104:I104)</f>
        <v>18</v>
      </c>
      <c r="R104" s="255">
        <f>SUM(E104:O104)</f>
        <v>20</v>
      </c>
    </row>
    <row r="105" spans="3:18" x14ac:dyDescent="0.25">
      <c r="E105">
        <v>10</v>
      </c>
      <c r="F105">
        <v>1</v>
      </c>
      <c r="G105">
        <v>5</v>
      </c>
      <c r="H105">
        <v>2</v>
      </c>
      <c r="I105">
        <v>3</v>
      </c>
      <c r="J105">
        <v>4</v>
      </c>
      <c r="K105">
        <v>4</v>
      </c>
      <c r="L105">
        <v>3</v>
      </c>
      <c r="M105">
        <v>4</v>
      </c>
      <c r="N105">
        <v>3</v>
      </c>
      <c r="O105">
        <v>5</v>
      </c>
      <c r="P105">
        <v>1</v>
      </c>
    </row>
    <row r="106" spans="3:18" x14ac:dyDescent="0.25">
      <c r="E106">
        <v>2.2000000000000002</v>
      </c>
      <c r="F106">
        <v>1.25</v>
      </c>
      <c r="G106">
        <v>2</v>
      </c>
      <c r="H106">
        <v>4</v>
      </c>
      <c r="I106">
        <v>2</v>
      </c>
      <c r="J106">
        <v>0.5</v>
      </c>
      <c r="L106">
        <v>1</v>
      </c>
      <c r="M106">
        <v>3</v>
      </c>
      <c r="N106">
        <v>3</v>
      </c>
      <c r="O106">
        <v>1</v>
      </c>
      <c r="P106">
        <v>2</v>
      </c>
    </row>
    <row r="107" spans="3:18" x14ac:dyDescent="0.25">
      <c r="E107">
        <v>4</v>
      </c>
      <c r="F107">
        <v>1</v>
      </c>
      <c r="G107">
        <v>1</v>
      </c>
    </row>
    <row r="216" spans="78:78" x14ac:dyDescent="0.25">
      <c r="BZ216">
        <v>0</v>
      </c>
    </row>
  </sheetData>
  <conditionalFormatting sqref="E88:O88">
    <cfRule type="cellIs" dxfId="2" priority="1" operator="notBetween">
      <formula>-0.000001</formula>
      <formula>0.000001</formula>
    </cfRule>
  </conditionalFormatting>
  <pageMargins left="0.7" right="0.7" top="0.75" bottom="0.75" header="0.3" footer="0.3"/>
  <pageSetup paperSize="9" orientation="portrait" r:id="rId1"/>
  <ignoredErrors>
    <ignoredError sqref="D14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AL86"/>
  <sheetViews>
    <sheetView workbookViewId="0">
      <pane xSplit="5" ySplit="2" topLeftCell="V3" activePane="bottomRight" state="frozen"/>
      <selection activeCell="A162" sqref="A162"/>
      <selection pane="topRight" activeCell="A162" sqref="A162"/>
      <selection pane="bottomLeft" activeCell="A162" sqref="A162"/>
      <selection pane="bottomRight" activeCell="AD36" sqref="AD36:AD45"/>
    </sheetView>
  </sheetViews>
  <sheetFormatPr baseColWidth="10" defaultRowHeight="12" customHeight="1" x14ac:dyDescent="0.2"/>
  <cols>
    <col min="1" max="3" width="10.90625" style="300"/>
    <col min="4" max="4" width="23.1796875" style="300" bestFit="1" customWidth="1"/>
    <col min="5" max="5" width="10.90625" style="301"/>
    <col min="6" max="6" width="9.54296875" style="301" customWidth="1"/>
    <col min="7" max="11" width="10.90625" style="300"/>
    <col min="12" max="17" width="13.1796875" style="300" customWidth="1"/>
    <col min="18" max="22" width="10.90625" style="300"/>
    <col min="23" max="23" width="11.08984375" style="300" customWidth="1"/>
    <col min="24" max="28" width="7.54296875" style="300" customWidth="1"/>
    <col min="29" max="29" width="13.6328125" style="300" customWidth="1"/>
    <col min="30" max="30" width="11.26953125" style="300" customWidth="1"/>
    <col min="31" max="32" width="10.90625" style="300"/>
    <col min="33" max="33" width="23.1796875" style="300" bestFit="1" customWidth="1"/>
    <col min="34" max="16384" width="10.90625" style="300"/>
  </cols>
  <sheetData>
    <row r="1" spans="1:38" ht="12" customHeight="1" x14ac:dyDescent="0.25">
      <c r="G1" s="338" t="s">
        <v>1951</v>
      </c>
      <c r="H1" s="339"/>
      <c r="I1" s="339"/>
      <c r="J1" s="339"/>
      <c r="K1" s="339"/>
      <c r="L1" s="318" t="s">
        <v>1945</v>
      </c>
      <c r="M1" s="343" t="s">
        <v>1947</v>
      </c>
      <c r="N1" s="344"/>
      <c r="O1" s="344"/>
      <c r="P1" s="344"/>
      <c r="Q1" s="345"/>
      <c r="R1" s="340" t="s">
        <v>3610</v>
      </c>
      <c r="S1" s="341"/>
      <c r="T1" s="341"/>
      <c r="U1" s="341"/>
      <c r="V1" s="341"/>
      <c r="W1" s="342" t="s">
        <v>1948</v>
      </c>
      <c r="X1" s="342"/>
      <c r="Y1" s="342"/>
      <c r="Z1" s="342"/>
      <c r="AA1" s="342"/>
      <c r="AB1" s="342"/>
      <c r="AC1" s="320" t="s">
        <v>1950</v>
      </c>
      <c r="AH1" s="346" t="s">
        <v>1934</v>
      </c>
      <c r="AI1" s="346"/>
      <c r="AJ1" s="346"/>
      <c r="AK1" s="346"/>
      <c r="AL1" s="346"/>
    </row>
    <row r="2" spans="1:38" ht="12" customHeight="1" x14ac:dyDescent="0.25">
      <c r="A2" s="298" t="s">
        <v>1363</v>
      </c>
      <c r="B2" s="298" t="s">
        <v>1363</v>
      </c>
      <c r="C2" s="298" t="s">
        <v>1364</v>
      </c>
      <c r="D2" s="298" t="s">
        <v>1365</v>
      </c>
      <c r="E2" s="299" t="s">
        <v>1366</v>
      </c>
      <c r="F2" s="299" t="s">
        <v>3609</v>
      </c>
      <c r="G2" s="309">
        <v>2019</v>
      </c>
      <c r="H2" s="310">
        <v>2020</v>
      </c>
      <c r="I2" s="310">
        <v>2021</v>
      </c>
      <c r="J2" s="310">
        <v>2022</v>
      </c>
      <c r="K2" s="310">
        <v>2023</v>
      </c>
      <c r="L2" s="319">
        <v>2018</v>
      </c>
      <c r="M2" s="317">
        <v>2019</v>
      </c>
      <c r="N2" s="317">
        <v>2020</v>
      </c>
      <c r="O2" s="317">
        <v>2021</v>
      </c>
      <c r="P2" s="317">
        <v>2022</v>
      </c>
      <c r="Q2" s="317">
        <v>2023</v>
      </c>
      <c r="R2" s="311">
        <v>2019</v>
      </c>
      <c r="S2" s="312">
        <v>2020</v>
      </c>
      <c r="T2" s="312">
        <v>2021</v>
      </c>
      <c r="U2" s="312">
        <v>2022</v>
      </c>
      <c r="V2" s="312">
        <v>2023</v>
      </c>
      <c r="W2" s="313" t="s">
        <v>1946</v>
      </c>
      <c r="X2" s="314">
        <v>2019</v>
      </c>
      <c r="Y2" s="314">
        <v>2020</v>
      </c>
      <c r="Z2" s="314">
        <v>2021</v>
      </c>
      <c r="AA2" s="314">
        <v>2022</v>
      </c>
      <c r="AB2" s="314">
        <v>2023</v>
      </c>
      <c r="AC2" s="333" t="s">
        <v>1949</v>
      </c>
      <c r="AE2" s="298" t="s">
        <v>1363</v>
      </c>
      <c r="AF2" s="298" t="s">
        <v>1364</v>
      </c>
      <c r="AG2" s="298" t="s">
        <v>1365</v>
      </c>
      <c r="AH2" s="321">
        <v>2019</v>
      </c>
      <c r="AI2" s="321">
        <v>2020</v>
      </c>
      <c r="AJ2" s="321">
        <v>2021</v>
      </c>
      <c r="AK2" s="321">
        <v>2022</v>
      </c>
      <c r="AL2" s="321">
        <v>2023</v>
      </c>
    </row>
    <row r="3" spans="1:38" ht="12" customHeight="1" x14ac:dyDescent="0.2">
      <c r="A3" s="300">
        <f>VALUE(RIGHT(B3,4))</f>
        <v>301</v>
      </c>
      <c r="B3" s="300" t="s">
        <v>1367</v>
      </c>
      <c r="C3" s="300" t="s">
        <v>1368</v>
      </c>
      <c r="D3" s="300" t="s">
        <v>1369</v>
      </c>
      <c r="E3" s="301">
        <v>54604</v>
      </c>
      <c r="F3" s="332">
        <f>YEAR(E3)</f>
        <v>2049</v>
      </c>
      <c r="G3" s="307">
        <v>308745.21669999999</v>
      </c>
      <c r="H3" s="308">
        <v>282132.3504</v>
      </c>
      <c r="I3" s="308">
        <v>275249.00040000002</v>
      </c>
      <c r="J3" s="308">
        <v>275249.00040000002</v>
      </c>
      <c r="K3" s="308">
        <v>214782.3334</v>
      </c>
      <c r="L3" s="307">
        <f>SUMIF(envB2018!$R$2:$R$162,recap_Incmpres!$B3,envB2018!$I$2:$I$162)+SUMIF(Transferts2018_EnvB!$V$2:$V$82,recap_Incmpres!$B3,Transferts2018_EnvB!$W$2:$W$82)+SUMIF(Transferts2018_EnvB!$V$2:$V$82,recap_Incmpres!$B3,Transferts2018_EnvB!$X$2:$X$82)</f>
        <v>0</v>
      </c>
      <c r="M3" s="307">
        <f>-G3*1.225+IF(M$2&lt;$F3,$L3,IF(M$2=$F3,$L3*MONTH($E3)/12,0))</f>
        <v>-378212.89045750001</v>
      </c>
      <c r="N3" s="307">
        <f t="shared" ref="N3:Q3" si="0">-H3*1.225+IF(N$2&lt;$F3,$L3,IF(N$2=$F3,$L3*MONTH($E3)/12,0))</f>
        <v>-345612.12924000004</v>
      </c>
      <c r="O3" s="307">
        <f t="shared" si="0"/>
        <v>-337180.02549000003</v>
      </c>
      <c r="P3" s="307">
        <f t="shared" si="0"/>
        <v>-337180.02549000003</v>
      </c>
      <c r="Q3" s="307">
        <f t="shared" si="0"/>
        <v>-263108.35841500002</v>
      </c>
      <c r="R3" s="307">
        <f>SUMIF('Faculty Members_List'!$I$2:$I$256,recap_Incmpres!$A3,'Faculty Members_List'!BY$2:BY$256)</f>
        <v>445136</v>
      </c>
      <c r="S3" s="308">
        <f>SUMIF('Faculty Members_List'!$I$2:$I$256,recap_Incmpres!$A3,'Faculty Members_List'!BZ$2:BZ$256)</f>
        <v>445136</v>
      </c>
      <c r="T3" s="308">
        <f>SUMIF('Faculty Members_List'!$I$2:$I$256,recap_Incmpres!$A3,'Faculty Members_List'!CA$2:CA$256)</f>
        <v>445136</v>
      </c>
      <c r="U3" s="308">
        <f>SUMIF('Faculty Members_List'!$I$2:$I$256,recap_Incmpres!$A3,'Faculty Members_List'!CB$2:CB$256)</f>
        <v>512511</v>
      </c>
      <c r="V3" s="308">
        <f>SUMIF('Faculty Members_List'!$I$2:$I$256,recap_Incmpres!$A3,'Faculty Members_List'!CC$2:CC$256)</f>
        <v>512511</v>
      </c>
      <c r="W3" s="301" t="str">
        <f>IF(SUMIF('Faculty Members_List'!$I$2:$I$256,recap_Incmpres!$A3,'Faculty Members_List'!T$2:T$256)=0,"",SUMIF('Faculty Members_List'!$I$2:$I$256,recap_Incmpres!$A3,'Faculty Members_List'!T$2:T$256)-1)</f>
        <v/>
      </c>
      <c r="X3" s="308">
        <f>SUMIF('Faculty Members_List'!$I$2:$I$256,recap_Incmpres!$A3,'Faculty Members_List'!S$2:S$256)</f>
        <v>0</v>
      </c>
      <c r="Y3" s="302">
        <f t="shared" ref="Y3:AB22" si="1">IF(X3=0,0,IF(YEAR($W3)&gt;Y$2,X3,IF(YEAR($W3)=Y$2,X3*(MONTH($W3))/12,0)))</f>
        <v>0</v>
      </c>
      <c r="Z3" s="302">
        <f t="shared" si="1"/>
        <v>0</v>
      </c>
      <c r="AA3" s="302">
        <f t="shared" si="1"/>
        <v>0</v>
      </c>
      <c r="AB3" s="302">
        <f t="shared" si="1"/>
        <v>0</v>
      </c>
      <c r="AE3" s="300" t="s">
        <v>1367</v>
      </c>
      <c r="AF3" s="300" t="s">
        <v>1368</v>
      </c>
      <c r="AG3" s="300" t="s">
        <v>1369</v>
      </c>
      <c r="AH3" s="302">
        <f>R3+X3+$AC3*1.225+M3</f>
        <v>66923.109542499995</v>
      </c>
      <c r="AI3" s="302">
        <f>S3+Y3+$AC3*1.225+N3</f>
        <v>99523.870759999962</v>
      </c>
      <c r="AJ3" s="302">
        <f>T3+Z3+$AC3*1.225+O3</f>
        <v>107955.97450999997</v>
      </c>
      <c r="AK3" s="302">
        <f>U3+AA3+$AC3*1.225+P3</f>
        <v>175330.97450999997</v>
      </c>
      <c r="AL3" s="302">
        <f>V3+AB3+$AC3*1.225+Q3</f>
        <v>249402.64158499998</v>
      </c>
    </row>
    <row r="4" spans="1:38" ht="12" customHeight="1" x14ac:dyDescent="0.2">
      <c r="A4" s="300">
        <f t="shared" ref="A4:A67" si="2">VALUE(RIGHT(B4,4))</f>
        <v>304</v>
      </c>
      <c r="B4" s="300" t="s">
        <v>1370</v>
      </c>
      <c r="C4" s="300" t="s">
        <v>1371</v>
      </c>
      <c r="D4" s="300" t="s">
        <v>1372</v>
      </c>
      <c r="E4" s="301">
        <v>46934</v>
      </c>
      <c r="F4" s="332">
        <f t="shared" ref="F4:F67" si="3">YEAR(E4)</f>
        <v>2028</v>
      </c>
      <c r="G4" s="307">
        <v>740158.76670000004</v>
      </c>
      <c r="H4" s="308">
        <v>540138.20039999997</v>
      </c>
      <c r="I4" s="308">
        <v>540138.20039999997</v>
      </c>
      <c r="J4" s="308">
        <v>495435.50040000002</v>
      </c>
      <c r="K4" s="308">
        <v>363571.53360000002</v>
      </c>
      <c r="L4" s="307">
        <f>SUMIF(envB2018!$R$2:$R$162,recap_Incmpres!$B4,envB2018!$I$2:$I$162)+SUMIF(Transferts2018_EnvB!$V$2:$V$82,recap_Incmpres!$B4,Transferts2018_EnvB!$W$2:$W$82)+SUMIF(Transferts2018_EnvB!$V$2:$V$82,recap_Incmpres!$B4,Transferts2018_EnvB!$X$2:$X$82)</f>
        <v>38008.639999999999</v>
      </c>
      <c r="M4" s="307">
        <f t="shared" ref="M4:M67" si="4">-G4*1.225+IF(M$2&lt;$F4,$L4,IF(M$2=$F4,$L4*MONTH($E4)/12,0))</f>
        <v>-868685.84920750011</v>
      </c>
      <c r="N4" s="307">
        <f t="shared" ref="N4:N67" si="5">-H4*1.225+IF(N$2&lt;$F4,$L4,IF(N$2=$F4,$L4*MONTH($E4)/12,0))</f>
        <v>-623660.65549000003</v>
      </c>
      <c r="O4" s="307">
        <f t="shared" ref="O4:O67" si="6">-I4*1.225+IF(O$2&lt;$F4,$L4,IF(O$2=$F4,$L4*MONTH($E4)/12,0))</f>
        <v>-623660.65549000003</v>
      </c>
      <c r="P4" s="307">
        <f t="shared" ref="P4:P67" si="7">-J4*1.225+IF(P$2&lt;$F4,$L4,IF(P$2=$F4,$L4*MONTH($E4)/12,0))</f>
        <v>-568899.84799000004</v>
      </c>
      <c r="Q4" s="307">
        <f t="shared" ref="Q4:Q67" si="8">-K4*1.225+IF(Q$2&lt;$F4,$L4,IF(Q$2=$F4,$L4*MONTH($E4)/12,0))</f>
        <v>-407366.48866000003</v>
      </c>
      <c r="R4" s="307">
        <f>SUMIF('Faculty Members_List'!$I$2:$I$256,recap_Incmpres!$A4,'Faculty Members_List'!BY$2:BY$256)</f>
        <v>1036712.5</v>
      </c>
      <c r="S4" s="308">
        <f>SUMIF('Faculty Members_List'!$I$2:$I$256,recap_Incmpres!$A4,'Faculty Members_List'!BZ$2:BZ$256)</f>
        <v>1000375</v>
      </c>
      <c r="T4" s="308">
        <f>SUMIF('Faculty Members_List'!$I$2:$I$256,recap_Incmpres!$A4,'Faculty Members_List'!CA$2:CA$256)</f>
        <v>1000375</v>
      </c>
      <c r="U4" s="308">
        <f>SUMIF('Faculty Members_List'!$I$2:$I$256,recap_Incmpres!$A4,'Faculty Members_List'!CB$2:CB$256)</f>
        <v>1000375</v>
      </c>
      <c r="V4" s="308">
        <f>SUMIF('Faculty Members_List'!$I$2:$I$256,recap_Incmpres!$A4,'Faculty Members_List'!CC$2:CC$256)</f>
        <v>1000375</v>
      </c>
      <c r="W4" s="301" t="str">
        <f>IF(SUMIF('Faculty Members_List'!$I$2:$I$256,recap_Incmpres!$A4,'Faculty Members_List'!T$2:T$256)=0,"",SUMIF('Faculty Members_List'!$I$2:$I$256,recap_Incmpres!$A4,'Faculty Members_List'!T$2:T$256)-1)</f>
        <v/>
      </c>
      <c r="X4" s="308">
        <f>SUMIF('Faculty Members_List'!$I$2:$I$256,recap_Incmpres!$A4,'Faculty Members_List'!S$2:S$256)</f>
        <v>0</v>
      </c>
      <c r="Y4" s="302">
        <f t="shared" si="1"/>
        <v>0</v>
      </c>
      <c r="Z4" s="302">
        <f t="shared" si="1"/>
        <v>0</v>
      </c>
      <c r="AA4" s="302">
        <f t="shared" si="1"/>
        <v>0</v>
      </c>
      <c r="AB4" s="302">
        <f t="shared" si="1"/>
        <v>0</v>
      </c>
      <c r="AE4" s="300" t="s">
        <v>1370</v>
      </c>
      <c r="AF4" s="300" t="s">
        <v>1371</v>
      </c>
      <c r="AG4" s="300" t="s">
        <v>1372</v>
      </c>
      <c r="AH4" s="302">
        <f t="shared" ref="AH4:AH67" si="9">R4+X4+$AC4*1.225+M4</f>
        <v>168026.65079249989</v>
      </c>
      <c r="AI4" s="302">
        <f t="shared" ref="AI4:AI67" si="10">S4+Y4+$AC4*1.225+N4</f>
        <v>376714.34450999997</v>
      </c>
      <c r="AJ4" s="302">
        <f t="shared" ref="AJ4:AJ67" si="11">T4+Z4+$AC4*1.225+O4</f>
        <v>376714.34450999997</v>
      </c>
      <c r="AK4" s="302">
        <f t="shared" ref="AK4:AK67" si="12">U4+AA4+$AC4*1.225+P4</f>
        <v>431475.15200999996</v>
      </c>
      <c r="AL4" s="302">
        <f t="shared" ref="AL4:AL67" si="13">V4+AB4+$AC4*1.225+Q4</f>
        <v>593008.51133999997</v>
      </c>
    </row>
    <row r="5" spans="1:38" ht="12" customHeight="1" x14ac:dyDescent="0.2">
      <c r="A5" s="300">
        <f t="shared" si="2"/>
        <v>305</v>
      </c>
      <c r="B5" s="300" t="s">
        <v>1373</v>
      </c>
      <c r="C5" s="300" t="s">
        <v>1374</v>
      </c>
      <c r="D5" s="300" t="s">
        <v>1375</v>
      </c>
      <c r="E5" s="301">
        <v>52351</v>
      </c>
      <c r="F5" s="332">
        <f t="shared" si="3"/>
        <v>2043</v>
      </c>
      <c r="G5" s="307">
        <v>794958.88379999995</v>
      </c>
      <c r="H5" s="308">
        <v>360319.90860000002</v>
      </c>
      <c r="I5" s="308">
        <v>342414.87</v>
      </c>
      <c r="J5" s="308">
        <v>342414.87</v>
      </c>
      <c r="K5" s="308">
        <v>299164.87</v>
      </c>
      <c r="L5" s="307">
        <f>SUMIF(envB2018!$R$2:$R$162,recap_Incmpres!$B5,envB2018!$I$2:$I$162)+SUMIF(Transferts2018_EnvB!$V$2:$V$82,recap_Incmpres!$B5,Transferts2018_EnvB!$W$2:$W$82)+SUMIF(Transferts2018_EnvB!$V$2:$V$82,recap_Incmpres!$B5,Transferts2018_EnvB!$X$2:$X$82)</f>
        <v>-339530.51</v>
      </c>
      <c r="M5" s="307">
        <f t="shared" si="4"/>
        <v>-1313355.1426550001</v>
      </c>
      <c r="N5" s="307">
        <f t="shared" si="5"/>
        <v>-780922.39803500008</v>
      </c>
      <c r="O5" s="307">
        <f t="shared" si="6"/>
        <v>-758988.72574999998</v>
      </c>
      <c r="P5" s="307">
        <f t="shared" si="7"/>
        <v>-758988.72574999998</v>
      </c>
      <c r="Q5" s="307">
        <f t="shared" si="8"/>
        <v>-706007.47574999998</v>
      </c>
      <c r="R5" s="307">
        <f>SUMIF('Faculty Members_List'!$I$2:$I$256,recap_Incmpres!$A5,'Faculty Members_List'!BY$2:BY$256)</f>
        <v>1110492</v>
      </c>
      <c r="S5" s="308">
        <f>SUMIF('Faculty Members_List'!$I$2:$I$256,recap_Incmpres!$A5,'Faculty Members_List'!BZ$2:BZ$256)</f>
        <v>1000375</v>
      </c>
      <c r="T5" s="308">
        <f>SUMIF('Faculty Members_List'!$I$2:$I$256,recap_Incmpres!$A5,'Faculty Members_List'!CA$2:CA$256)</f>
        <v>1000375</v>
      </c>
      <c r="U5" s="308">
        <f>SUMIF('Faculty Members_List'!$I$2:$I$256,recap_Incmpres!$A5,'Faculty Members_List'!CB$2:CB$256)</f>
        <v>1000375</v>
      </c>
      <c r="V5" s="308">
        <f>SUMIF('Faculty Members_List'!$I$2:$I$256,recap_Incmpres!$A5,'Faculty Members_List'!CC$2:CC$256)</f>
        <v>1000375</v>
      </c>
      <c r="W5" s="301" t="str">
        <f>IF(SUMIF('Faculty Members_List'!$I$2:$I$256,recap_Incmpres!$A5,'Faculty Members_List'!T$2:T$256)=0,"",SUMIF('Faculty Members_List'!$I$2:$I$256,recap_Incmpres!$A5,'Faculty Members_List'!T$2:T$256)-1)</f>
        <v/>
      </c>
      <c r="X5" s="308">
        <f>SUMIF('Faculty Members_List'!$I$2:$I$256,recap_Incmpres!$A5,'Faculty Members_List'!S$2:S$256)</f>
        <v>0</v>
      </c>
      <c r="Y5" s="302">
        <f t="shared" si="1"/>
        <v>0</v>
      </c>
      <c r="Z5" s="302">
        <f t="shared" si="1"/>
        <v>0</v>
      </c>
      <c r="AA5" s="302">
        <f t="shared" si="1"/>
        <v>0</v>
      </c>
      <c r="AB5" s="302">
        <f t="shared" si="1"/>
        <v>0</v>
      </c>
      <c r="AE5" s="300" t="s">
        <v>1373</v>
      </c>
      <c r="AF5" s="300" t="s">
        <v>1374</v>
      </c>
      <c r="AG5" s="300" t="s">
        <v>1375</v>
      </c>
      <c r="AH5" s="302">
        <f t="shared" si="9"/>
        <v>-202863.14265500009</v>
      </c>
      <c r="AI5" s="302">
        <f t="shared" si="10"/>
        <v>219452.60196499992</v>
      </c>
      <c r="AJ5" s="302">
        <f t="shared" si="11"/>
        <v>241386.27425000002</v>
      </c>
      <c r="AK5" s="302">
        <f t="shared" si="12"/>
        <v>241386.27425000002</v>
      </c>
      <c r="AL5" s="302">
        <f t="shared" si="13"/>
        <v>294367.52425000002</v>
      </c>
    </row>
    <row r="6" spans="1:38" ht="12" customHeight="1" x14ac:dyDescent="0.2">
      <c r="A6" s="300">
        <f t="shared" si="2"/>
        <v>307</v>
      </c>
      <c r="B6" s="300" t="s">
        <v>1376</v>
      </c>
      <c r="C6" s="300" t="s">
        <v>1377</v>
      </c>
      <c r="D6" s="300" t="s">
        <v>1378</v>
      </c>
      <c r="E6" s="301">
        <v>54666</v>
      </c>
      <c r="F6" s="332">
        <f t="shared" si="3"/>
        <v>2049</v>
      </c>
      <c r="G6" s="307">
        <v>18921</v>
      </c>
      <c r="H6" s="308">
        <v>18921</v>
      </c>
      <c r="I6" s="308">
        <v>18921</v>
      </c>
      <c r="J6" s="308">
        <v>18921</v>
      </c>
      <c r="K6" s="308">
        <v>18921</v>
      </c>
      <c r="L6" s="307">
        <f>SUMIF(envB2018!$R$2:$R$162,recap_Incmpres!$B6,envB2018!$I$2:$I$162)+SUMIF(Transferts2018_EnvB!$V$2:$V$82,recap_Incmpres!$B6,Transferts2018_EnvB!$W$2:$W$82)+SUMIF(Transferts2018_EnvB!$V$2:$V$82,recap_Incmpres!$B6,Transferts2018_EnvB!$X$2:$X$82)</f>
        <v>-17948.04</v>
      </c>
      <c r="M6" s="307">
        <f t="shared" si="4"/>
        <v>-41126.264999999999</v>
      </c>
      <c r="N6" s="307">
        <f t="shared" si="5"/>
        <v>-41126.264999999999</v>
      </c>
      <c r="O6" s="307">
        <f t="shared" si="6"/>
        <v>-41126.264999999999</v>
      </c>
      <c r="P6" s="307">
        <f t="shared" si="7"/>
        <v>-41126.264999999999</v>
      </c>
      <c r="Q6" s="307">
        <f t="shared" si="8"/>
        <v>-41126.264999999999</v>
      </c>
      <c r="R6" s="307">
        <f>SUMIF('Faculty Members_List'!$I$2:$I$256,recap_Incmpres!$A6,'Faculty Members_List'!BY$2:BY$256)</f>
        <v>143479.75</v>
      </c>
      <c r="S6" s="308">
        <f>SUMIF('Faculty Members_List'!$I$2:$I$256,recap_Incmpres!$A6,'Faculty Members_List'!BZ$2:BZ$256)</f>
        <v>143479.75</v>
      </c>
      <c r="T6" s="308">
        <f>SUMIF('Faculty Members_List'!$I$2:$I$256,recap_Incmpres!$A6,'Faculty Members_List'!CA$2:CA$256)</f>
        <v>182781.83333333334</v>
      </c>
      <c r="U6" s="308">
        <f>SUMIF('Faculty Members_List'!$I$2:$I$256,recap_Incmpres!$A6,'Faculty Members_List'!CB$2:CB$256)</f>
        <v>210854.75</v>
      </c>
      <c r="V6" s="308">
        <f>SUMIF('Faculty Members_List'!$I$2:$I$256,recap_Incmpres!$A6,'Faculty Members_List'!CC$2:CC$256)</f>
        <v>210854.75</v>
      </c>
      <c r="W6" s="301" t="str">
        <f>IF(SUMIF('Faculty Members_List'!$I$2:$I$256,recap_Incmpres!$A6,'Faculty Members_List'!T$2:T$256)=0,"",SUMIF('Faculty Members_List'!$I$2:$I$256,recap_Incmpres!$A6,'Faculty Members_List'!T$2:T$256)-1)</f>
        <v/>
      </c>
      <c r="X6" s="308">
        <f>SUMIF('Faculty Members_List'!$I$2:$I$256,recap_Incmpres!$A6,'Faculty Members_List'!S$2:S$256)</f>
        <v>0</v>
      </c>
      <c r="Y6" s="302">
        <f t="shared" si="1"/>
        <v>0</v>
      </c>
      <c r="Z6" s="302">
        <f t="shared" si="1"/>
        <v>0</v>
      </c>
      <c r="AA6" s="302">
        <f t="shared" si="1"/>
        <v>0</v>
      </c>
      <c r="AB6" s="302">
        <f t="shared" si="1"/>
        <v>0</v>
      </c>
      <c r="AE6" s="300" t="s">
        <v>1376</v>
      </c>
      <c r="AF6" s="300" t="s">
        <v>1377</v>
      </c>
      <c r="AG6" s="300" t="s">
        <v>1378</v>
      </c>
      <c r="AH6" s="302">
        <f t="shared" si="9"/>
        <v>102353.485</v>
      </c>
      <c r="AI6" s="302">
        <f t="shared" si="10"/>
        <v>102353.485</v>
      </c>
      <c r="AJ6" s="302">
        <f t="shared" si="11"/>
        <v>141655.56833333336</v>
      </c>
      <c r="AK6" s="302">
        <f t="shared" si="12"/>
        <v>169728.48499999999</v>
      </c>
      <c r="AL6" s="302">
        <f t="shared" si="13"/>
        <v>169728.48499999999</v>
      </c>
    </row>
    <row r="7" spans="1:38" ht="12" customHeight="1" x14ac:dyDescent="0.2">
      <c r="A7" s="300">
        <f t="shared" si="2"/>
        <v>315</v>
      </c>
      <c r="B7" s="300" t="s">
        <v>1379</v>
      </c>
      <c r="C7" s="300" t="s">
        <v>1380</v>
      </c>
      <c r="D7" s="300" t="s">
        <v>1381</v>
      </c>
      <c r="E7" s="301">
        <v>51195</v>
      </c>
      <c r="F7" s="332">
        <f t="shared" si="3"/>
        <v>2040</v>
      </c>
      <c r="G7" s="307">
        <v>576539.86670000001</v>
      </c>
      <c r="H7" s="308">
        <v>385179.30040000001</v>
      </c>
      <c r="I7" s="308">
        <v>320730.80040000001</v>
      </c>
      <c r="J7" s="308">
        <v>320730.80040000001</v>
      </c>
      <c r="K7" s="308">
        <v>290514.1335</v>
      </c>
      <c r="L7" s="307">
        <f>SUMIF(envB2018!$R$2:$R$162,recap_Incmpres!$B7,envB2018!$I$2:$I$162)+SUMIF(Transferts2018_EnvB!$V$2:$V$82,recap_Incmpres!$B7,Transferts2018_EnvB!$W$2:$W$82)+SUMIF(Transferts2018_EnvB!$V$2:$V$82,recap_Incmpres!$B7,Transferts2018_EnvB!$X$2:$X$82)</f>
        <v>-47778.58</v>
      </c>
      <c r="M7" s="307">
        <f t="shared" si="4"/>
        <v>-754039.9167075</v>
      </c>
      <c r="N7" s="307">
        <f t="shared" si="5"/>
        <v>-519623.22299000004</v>
      </c>
      <c r="O7" s="307">
        <f t="shared" si="6"/>
        <v>-440673.81049000006</v>
      </c>
      <c r="P7" s="307">
        <f t="shared" si="7"/>
        <v>-440673.81049000006</v>
      </c>
      <c r="Q7" s="307">
        <f t="shared" si="8"/>
        <v>-403658.39353750006</v>
      </c>
      <c r="R7" s="307">
        <f>SUMIF('Faculty Members_List'!$I$2:$I$256,recap_Incmpres!$A7,'Faculty Members_List'!BY$2:BY$256)</f>
        <v>783861</v>
      </c>
      <c r="S7" s="308">
        <f>SUMIF('Faculty Members_List'!$I$2:$I$256,recap_Incmpres!$A7,'Faculty Members_List'!BZ$2:BZ$256)</f>
        <v>721188</v>
      </c>
      <c r="T7" s="308">
        <f>SUMIF('Faculty Members_List'!$I$2:$I$256,recap_Incmpres!$A7,'Faculty Members_List'!CA$2:CA$256)</f>
        <v>721188</v>
      </c>
      <c r="U7" s="308">
        <f>SUMIF('Faculty Members_List'!$I$2:$I$256,recap_Incmpres!$A7,'Faculty Members_List'!CB$2:CB$256)</f>
        <v>735147.375</v>
      </c>
      <c r="V7" s="308">
        <f>SUMIF('Faculty Members_List'!$I$2:$I$256,recap_Incmpres!$A7,'Faculty Members_List'!CC$2:CC$256)</f>
        <v>790984.875</v>
      </c>
      <c r="W7" s="301" t="str">
        <f>IF(SUMIF('Faculty Members_List'!$I$2:$I$256,recap_Incmpres!$A7,'Faculty Members_List'!T$2:T$256)=0,"",SUMIF('Faculty Members_List'!$I$2:$I$256,recap_Incmpres!$A7,'Faculty Members_List'!T$2:T$256)-1)</f>
        <v/>
      </c>
      <c r="X7" s="308">
        <f>SUMIF('Faculty Members_List'!$I$2:$I$256,recap_Incmpres!$A7,'Faculty Members_List'!S$2:S$256)</f>
        <v>0</v>
      </c>
      <c r="Y7" s="302">
        <f t="shared" si="1"/>
        <v>0</v>
      </c>
      <c r="Z7" s="302">
        <f t="shared" si="1"/>
        <v>0</v>
      </c>
      <c r="AA7" s="302">
        <f t="shared" si="1"/>
        <v>0</v>
      </c>
      <c r="AB7" s="302">
        <f t="shared" si="1"/>
        <v>0</v>
      </c>
      <c r="AE7" s="300" t="s">
        <v>1379</v>
      </c>
      <c r="AF7" s="300" t="s">
        <v>1380</v>
      </c>
      <c r="AG7" s="300" t="s">
        <v>1381</v>
      </c>
      <c r="AH7" s="302">
        <f t="shared" si="9"/>
        <v>29821.0832925</v>
      </c>
      <c r="AI7" s="302">
        <f t="shared" si="10"/>
        <v>201564.77700999996</v>
      </c>
      <c r="AJ7" s="302">
        <f t="shared" si="11"/>
        <v>280514.18950999994</v>
      </c>
      <c r="AK7" s="302">
        <f t="shared" si="12"/>
        <v>294473.56450999994</v>
      </c>
      <c r="AL7" s="302">
        <f t="shared" si="13"/>
        <v>387326.48146249994</v>
      </c>
    </row>
    <row r="8" spans="1:38" ht="12" customHeight="1" x14ac:dyDescent="0.2">
      <c r="A8" s="300">
        <f t="shared" si="2"/>
        <v>318</v>
      </c>
      <c r="B8" s="300" t="s">
        <v>1382</v>
      </c>
      <c r="C8" s="300" t="s">
        <v>1383</v>
      </c>
      <c r="D8" s="300" t="s">
        <v>1384</v>
      </c>
      <c r="E8" s="301">
        <v>52565</v>
      </c>
      <c r="F8" s="332">
        <f t="shared" si="3"/>
        <v>2043</v>
      </c>
      <c r="G8" s="307">
        <v>521441.9167</v>
      </c>
      <c r="H8" s="308">
        <v>501120.08299999998</v>
      </c>
      <c r="I8" s="308">
        <v>422766.6</v>
      </c>
      <c r="J8" s="308">
        <v>361368</v>
      </c>
      <c r="K8" s="308">
        <v>265999.2</v>
      </c>
      <c r="L8" s="307">
        <f>SUMIF(envB2018!$R$2:$R$162,recap_Incmpres!$B8,envB2018!$I$2:$I$162)+SUMIF(Transferts2018_EnvB!$V$2:$V$82,recap_Incmpres!$B8,Transferts2018_EnvB!$W$2:$W$82)+SUMIF(Transferts2018_EnvB!$V$2:$V$82,recap_Incmpres!$B8,Transferts2018_EnvB!$X$2:$X$82)</f>
        <v>-137398.45000000001</v>
      </c>
      <c r="M8" s="307">
        <f t="shared" si="4"/>
        <v>-776164.79795749998</v>
      </c>
      <c r="N8" s="307">
        <f t="shared" si="5"/>
        <v>-751270.551675</v>
      </c>
      <c r="O8" s="307">
        <f t="shared" si="6"/>
        <v>-655287.53500000003</v>
      </c>
      <c r="P8" s="307">
        <f t="shared" si="7"/>
        <v>-580074.25</v>
      </c>
      <c r="Q8" s="307">
        <f t="shared" si="8"/>
        <v>-463247.47000000003</v>
      </c>
      <c r="R8" s="307">
        <f>SUMIF('Faculty Members_List'!$I$2:$I$256,recap_Incmpres!$A8,'Faculty Members_List'!BY$2:BY$256)</f>
        <v>625958.25</v>
      </c>
      <c r="S8" s="308">
        <f>SUMIF('Faculty Members_List'!$I$2:$I$256,recap_Incmpres!$A8,'Faculty Members_List'!BZ$2:BZ$256)</f>
        <v>721188</v>
      </c>
      <c r="T8" s="308">
        <f>SUMIF('Faculty Members_List'!$I$2:$I$256,recap_Incmpres!$A8,'Faculty Members_List'!CA$2:CA$256)</f>
        <v>721188</v>
      </c>
      <c r="U8" s="308">
        <f>SUMIF('Faculty Members_List'!$I$2:$I$256,recap_Incmpres!$A8,'Faculty Members_List'!CB$2:CB$256)</f>
        <v>721188</v>
      </c>
      <c r="V8" s="308">
        <f>SUMIF('Faculty Members_List'!$I$2:$I$256,recap_Incmpres!$A8,'Faculty Members_List'!CC$2:CC$256)</f>
        <v>721188</v>
      </c>
      <c r="W8" s="301" t="str">
        <f>IF(SUMIF('Faculty Members_List'!$I$2:$I$256,recap_Incmpres!$A8,'Faculty Members_List'!T$2:T$256)=0,"",SUMIF('Faculty Members_List'!$I$2:$I$256,recap_Incmpres!$A8,'Faculty Members_List'!T$2:T$256)-1)</f>
        <v/>
      </c>
      <c r="X8" s="308">
        <f>SUMIF('Faculty Members_List'!$I$2:$I$256,recap_Incmpres!$A8,'Faculty Members_List'!S$2:S$256)</f>
        <v>0</v>
      </c>
      <c r="Y8" s="302">
        <f t="shared" si="1"/>
        <v>0</v>
      </c>
      <c r="Z8" s="302">
        <f t="shared" si="1"/>
        <v>0</v>
      </c>
      <c r="AA8" s="302">
        <f t="shared" si="1"/>
        <v>0</v>
      </c>
      <c r="AB8" s="302">
        <f t="shared" si="1"/>
        <v>0</v>
      </c>
      <c r="AE8" s="300" t="s">
        <v>1382</v>
      </c>
      <c r="AF8" s="300" t="s">
        <v>1383</v>
      </c>
      <c r="AG8" s="300" t="s">
        <v>1384</v>
      </c>
      <c r="AH8" s="302">
        <f t="shared" si="9"/>
        <v>-150206.54795749998</v>
      </c>
      <c r="AI8" s="302">
        <f t="shared" si="10"/>
        <v>-30082.551674999995</v>
      </c>
      <c r="AJ8" s="302">
        <f t="shared" si="11"/>
        <v>65900.464999999967</v>
      </c>
      <c r="AK8" s="302">
        <f t="shared" si="12"/>
        <v>141113.75</v>
      </c>
      <c r="AL8" s="302">
        <f t="shared" si="13"/>
        <v>257940.52999999997</v>
      </c>
    </row>
    <row r="9" spans="1:38" ht="12" customHeight="1" x14ac:dyDescent="0.2">
      <c r="A9" s="300">
        <f t="shared" si="2"/>
        <v>319</v>
      </c>
      <c r="B9" s="300" t="s">
        <v>1385</v>
      </c>
      <c r="C9" s="300" t="s">
        <v>1386</v>
      </c>
      <c r="D9" s="300" t="s">
        <v>1387</v>
      </c>
      <c r="E9" s="301">
        <v>45412</v>
      </c>
      <c r="F9" s="332">
        <f t="shared" si="3"/>
        <v>2024</v>
      </c>
      <c r="G9" s="307">
        <v>727584.01670000004</v>
      </c>
      <c r="H9" s="308">
        <v>535897.23309999995</v>
      </c>
      <c r="I9" s="308">
        <v>391893.6</v>
      </c>
      <c r="J9" s="308">
        <v>339074.4</v>
      </c>
      <c r="K9" s="308">
        <v>339074.4</v>
      </c>
      <c r="L9" s="307">
        <f>SUMIF(envB2018!$R$2:$R$162,recap_Incmpres!$B9,envB2018!$I$2:$I$162)+SUMIF(Transferts2018_EnvB!$V$2:$V$82,recap_Incmpres!$B9,Transferts2018_EnvB!$W$2:$W$82)+SUMIF(Transferts2018_EnvB!$V$2:$V$82,recap_Incmpres!$B9,Transferts2018_EnvB!$X$2:$X$82)</f>
        <v>-111363.39</v>
      </c>
      <c r="M9" s="307">
        <f t="shared" si="4"/>
        <v>-1002653.8104575002</v>
      </c>
      <c r="N9" s="307">
        <f t="shared" si="5"/>
        <v>-767837.50054749998</v>
      </c>
      <c r="O9" s="307">
        <f t="shared" si="6"/>
        <v>-591433.05000000005</v>
      </c>
      <c r="P9" s="307">
        <f t="shared" si="7"/>
        <v>-526729.53</v>
      </c>
      <c r="Q9" s="307">
        <f t="shared" si="8"/>
        <v>-526729.53</v>
      </c>
      <c r="R9" s="307">
        <f>SUMIF('Faculty Members_List'!$I$2:$I$256,recap_Incmpres!$A9,'Faculty Members_List'!BY$2:BY$256)</f>
        <v>1054083</v>
      </c>
      <c r="S9" s="308">
        <f>SUMIF('Faculty Members_List'!$I$2:$I$256,recap_Incmpres!$A9,'Faculty Members_List'!BZ$2:BZ$256)</f>
        <v>1000375</v>
      </c>
      <c r="T9" s="308">
        <f>SUMIF('Faculty Members_List'!$I$2:$I$256,recap_Incmpres!$A9,'Faculty Members_List'!CA$2:CA$256)</f>
        <v>1000375</v>
      </c>
      <c r="U9" s="308">
        <f>SUMIF('Faculty Members_List'!$I$2:$I$256,recap_Incmpres!$A9,'Faculty Members_List'!CB$2:CB$256)</f>
        <v>1000375</v>
      </c>
      <c r="V9" s="308">
        <f>SUMIF('Faculty Members_List'!$I$2:$I$256,recap_Incmpres!$A9,'Faculty Members_List'!CC$2:CC$256)</f>
        <v>1000375</v>
      </c>
      <c r="W9" s="301" t="str">
        <f>IF(SUMIF('Faculty Members_List'!$I$2:$I$256,recap_Incmpres!$A9,'Faculty Members_List'!T$2:T$256)=0,"",SUMIF('Faculty Members_List'!$I$2:$I$256,recap_Incmpres!$A9,'Faculty Members_List'!T$2:T$256)-1)</f>
        <v/>
      </c>
      <c r="X9" s="308">
        <f>SUMIF('Faculty Members_List'!$I$2:$I$256,recap_Incmpres!$A9,'Faculty Members_List'!S$2:S$256)</f>
        <v>0</v>
      </c>
      <c r="Y9" s="302">
        <f t="shared" si="1"/>
        <v>0</v>
      </c>
      <c r="Z9" s="302">
        <f t="shared" si="1"/>
        <v>0</v>
      </c>
      <c r="AA9" s="302">
        <f t="shared" si="1"/>
        <v>0</v>
      </c>
      <c r="AB9" s="302">
        <f t="shared" si="1"/>
        <v>0</v>
      </c>
      <c r="AE9" s="300" t="s">
        <v>1385</v>
      </c>
      <c r="AF9" s="300" t="s">
        <v>1386</v>
      </c>
      <c r="AG9" s="300" t="s">
        <v>1387</v>
      </c>
      <c r="AH9" s="302">
        <f t="shared" si="9"/>
        <v>51429.189542499837</v>
      </c>
      <c r="AI9" s="302">
        <f t="shared" si="10"/>
        <v>232537.49945250002</v>
      </c>
      <c r="AJ9" s="302">
        <f t="shared" si="11"/>
        <v>408941.94999999995</v>
      </c>
      <c r="AK9" s="302">
        <f t="shared" si="12"/>
        <v>473645.47</v>
      </c>
      <c r="AL9" s="302">
        <f t="shared" si="13"/>
        <v>473645.47</v>
      </c>
    </row>
    <row r="10" spans="1:38" ht="12" customHeight="1" x14ac:dyDescent="0.2">
      <c r="A10" s="300">
        <f t="shared" si="2"/>
        <v>320</v>
      </c>
      <c r="B10" s="300" t="s">
        <v>1388</v>
      </c>
      <c r="C10" s="300" t="s">
        <v>1389</v>
      </c>
      <c r="D10" s="300" t="s">
        <v>1390</v>
      </c>
      <c r="E10" s="301">
        <v>50801</v>
      </c>
      <c r="F10" s="332">
        <f t="shared" si="3"/>
        <v>2039</v>
      </c>
      <c r="G10" s="307">
        <v>498063.06329999998</v>
      </c>
      <c r="H10" s="308">
        <v>436901.76</v>
      </c>
      <c r="I10" s="308">
        <v>436901.76</v>
      </c>
      <c r="J10" s="308">
        <v>436901.76</v>
      </c>
      <c r="K10" s="308">
        <v>436901.76</v>
      </c>
      <c r="L10" s="307">
        <f>SUMIF(envB2018!$R$2:$R$162,recap_Incmpres!$B10,envB2018!$I$2:$I$162)+SUMIF(Transferts2018_EnvB!$V$2:$V$82,recap_Incmpres!$B10,Transferts2018_EnvB!$W$2:$W$82)+SUMIF(Transferts2018_EnvB!$V$2:$V$82,recap_Incmpres!$B10,Transferts2018_EnvB!$X$2:$X$82)</f>
        <v>-58470.960000000006</v>
      </c>
      <c r="M10" s="307">
        <f t="shared" si="4"/>
        <v>-668598.2125425</v>
      </c>
      <c r="N10" s="307">
        <f t="shared" si="5"/>
        <v>-593675.61600000004</v>
      </c>
      <c r="O10" s="307">
        <f t="shared" si="6"/>
        <v>-593675.61600000004</v>
      </c>
      <c r="P10" s="307">
        <f t="shared" si="7"/>
        <v>-593675.61600000004</v>
      </c>
      <c r="Q10" s="307">
        <f t="shared" si="8"/>
        <v>-593675.61600000004</v>
      </c>
      <c r="R10" s="307">
        <f>SUMIF('Faculty Members_List'!$I$2:$I$256,recap_Incmpres!$A10,'Faculty Members_List'!BY$2:BY$256)</f>
        <v>661995.91249999998</v>
      </c>
      <c r="S10" s="308">
        <f>SUMIF('Faculty Members_List'!$I$2:$I$256,recap_Incmpres!$A10,'Faculty Members_List'!BZ$2:BZ$256)</f>
        <v>806030.27500000002</v>
      </c>
      <c r="T10" s="308">
        <f>SUMIF('Faculty Members_List'!$I$2:$I$256,recap_Incmpres!$A10,'Faculty Members_List'!CA$2:CA$256)</f>
        <v>806030.27500000002</v>
      </c>
      <c r="U10" s="308">
        <f>SUMIF('Faculty Members_List'!$I$2:$I$256,recap_Incmpres!$A10,'Faculty Members_List'!CB$2:CB$256)</f>
        <v>806030.27500000002</v>
      </c>
      <c r="V10" s="308">
        <f>SUMIF('Faculty Members_List'!$I$2:$I$256,recap_Incmpres!$A10,'Faculty Members_List'!CC$2:CC$256)</f>
        <v>798960.0854166667</v>
      </c>
      <c r="W10" s="301" t="str">
        <f>IF(SUMIF('Faculty Members_List'!$I$2:$I$256,recap_Incmpres!$A10,'Faculty Members_List'!T$2:T$256)=0,"",SUMIF('Faculty Members_List'!$I$2:$I$256,recap_Incmpres!$A10,'Faculty Members_List'!T$2:T$256)-1)</f>
        <v/>
      </c>
      <c r="X10" s="308">
        <f>SUMIF('Faculty Members_List'!$I$2:$I$256,recap_Incmpres!$A10,'Faculty Members_List'!S$2:S$256)</f>
        <v>0</v>
      </c>
      <c r="Y10" s="302">
        <f t="shared" si="1"/>
        <v>0</v>
      </c>
      <c r="Z10" s="302">
        <f t="shared" si="1"/>
        <v>0</v>
      </c>
      <c r="AA10" s="302">
        <f t="shared" si="1"/>
        <v>0</v>
      </c>
      <c r="AB10" s="302">
        <f t="shared" si="1"/>
        <v>0</v>
      </c>
      <c r="AE10" s="300" t="s">
        <v>1388</v>
      </c>
      <c r="AF10" s="300" t="s">
        <v>1389</v>
      </c>
      <c r="AG10" s="300" t="s">
        <v>1390</v>
      </c>
      <c r="AH10" s="302">
        <f t="shared" si="9"/>
        <v>-6602.3000425000209</v>
      </c>
      <c r="AI10" s="302">
        <f t="shared" si="10"/>
        <v>212354.65899999999</v>
      </c>
      <c r="AJ10" s="302">
        <f t="shared" si="11"/>
        <v>212354.65899999999</v>
      </c>
      <c r="AK10" s="302">
        <f t="shared" si="12"/>
        <v>212354.65899999999</v>
      </c>
      <c r="AL10" s="302">
        <f t="shared" si="13"/>
        <v>205284.46941666666</v>
      </c>
    </row>
    <row r="11" spans="1:38" ht="12" customHeight="1" x14ac:dyDescent="0.2">
      <c r="A11" s="300">
        <f t="shared" si="2"/>
        <v>321</v>
      </c>
      <c r="B11" s="300" t="s">
        <v>1391</v>
      </c>
      <c r="C11" s="300" t="s">
        <v>1392</v>
      </c>
      <c r="D11" s="300" t="s">
        <v>1393</v>
      </c>
      <c r="E11" s="301">
        <v>52870</v>
      </c>
      <c r="F11" s="332">
        <f t="shared" si="3"/>
        <v>2044</v>
      </c>
      <c r="G11" s="307">
        <v>403034</v>
      </c>
      <c r="H11" s="308">
        <v>381497.4</v>
      </c>
      <c r="I11" s="308">
        <v>290428.2</v>
      </c>
      <c r="J11" s="308">
        <v>290428.2</v>
      </c>
      <c r="K11" s="308">
        <v>273128.2</v>
      </c>
      <c r="L11" s="307">
        <f>SUMIF(envB2018!$R$2:$R$162,recap_Incmpres!$B11,envB2018!$I$2:$I$162)+SUMIF(Transferts2018_EnvB!$V$2:$V$82,recap_Incmpres!$B11,Transferts2018_EnvB!$W$2:$W$82)+SUMIF(Transferts2018_EnvB!$V$2:$V$82,recap_Incmpres!$B11,Transferts2018_EnvB!$X$2:$X$82)</f>
        <v>-9610.86</v>
      </c>
      <c r="M11" s="307">
        <f t="shared" si="4"/>
        <v>-503327.51</v>
      </c>
      <c r="N11" s="307">
        <f t="shared" si="5"/>
        <v>-476945.17500000005</v>
      </c>
      <c r="O11" s="307">
        <f t="shared" si="6"/>
        <v>-365385.40500000003</v>
      </c>
      <c r="P11" s="307">
        <f t="shared" si="7"/>
        <v>-365385.40500000003</v>
      </c>
      <c r="Q11" s="307">
        <f t="shared" si="8"/>
        <v>-344192.90500000003</v>
      </c>
      <c r="R11" s="307">
        <f>SUMIF('Faculty Members_List'!$I$2:$I$256,recap_Incmpres!$A11,'Faculty Members_List'!BY$2:BY$256)</f>
        <v>527652</v>
      </c>
      <c r="S11" s="308">
        <f>SUMIF('Faculty Members_List'!$I$2:$I$256,recap_Incmpres!$A11,'Faculty Members_List'!BZ$2:BZ$256)</f>
        <v>576036</v>
      </c>
      <c r="T11" s="308">
        <f>SUMIF('Faculty Members_List'!$I$2:$I$256,recap_Incmpres!$A11,'Faculty Members_List'!CA$2:CA$256)</f>
        <v>576036</v>
      </c>
      <c r="U11" s="308">
        <f>SUMIF('Faculty Members_List'!$I$2:$I$256,recap_Incmpres!$A11,'Faculty Members_List'!CB$2:CB$256)</f>
        <v>576036</v>
      </c>
      <c r="V11" s="308">
        <f>SUMIF('Faculty Members_List'!$I$2:$I$256,recap_Incmpres!$A11,'Faculty Members_List'!CC$2:CC$256)</f>
        <v>576036</v>
      </c>
      <c r="W11" s="301" t="str">
        <f>IF(SUMIF('Faculty Members_List'!$I$2:$I$256,recap_Incmpres!$A11,'Faculty Members_List'!T$2:T$256)=0,"",SUMIF('Faculty Members_List'!$I$2:$I$256,recap_Incmpres!$A11,'Faculty Members_List'!T$2:T$256)-1)</f>
        <v/>
      </c>
      <c r="X11" s="308">
        <f>SUMIF('Faculty Members_List'!$I$2:$I$256,recap_Incmpres!$A11,'Faculty Members_List'!S$2:S$256)</f>
        <v>0</v>
      </c>
      <c r="Y11" s="302">
        <f t="shared" si="1"/>
        <v>0</v>
      </c>
      <c r="Z11" s="302">
        <f t="shared" si="1"/>
        <v>0</v>
      </c>
      <c r="AA11" s="302">
        <f t="shared" si="1"/>
        <v>0</v>
      </c>
      <c r="AB11" s="302">
        <f t="shared" si="1"/>
        <v>0</v>
      </c>
      <c r="AE11" s="300" t="s">
        <v>1391</v>
      </c>
      <c r="AF11" s="300" t="s">
        <v>1392</v>
      </c>
      <c r="AG11" s="300" t="s">
        <v>1393</v>
      </c>
      <c r="AH11" s="302">
        <f t="shared" si="9"/>
        <v>24324.489999999991</v>
      </c>
      <c r="AI11" s="302">
        <f t="shared" si="10"/>
        <v>99090.824999999953</v>
      </c>
      <c r="AJ11" s="302">
        <f t="shared" si="11"/>
        <v>210650.59499999997</v>
      </c>
      <c r="AK11" s="302">
        <f t="shared" si="12"/>
        <v>210650.59499999997</v>
      </c>
      <c r="AL11" s="302">
        <f t="shared" si="13"/>
        <v>231843.09499999997</v>
      </c>
    </row>
    <row r="12" spans="1:38" ht="12" customHeight="1" x14ac:dyDescent="0.2">
      <c r="A12" s="300">
        <f t="shared" si="2"/>
        <v>322</v>
      </c>
      <c r="B12" s="300" t="s">
        <v>1394</v>
      </c>
      <c r="C12" s="300" t="s">
        <v>1395</v>
      </c>
      <c r="D12" s="300" t="s">
        <v>1396</v>
      </c>
      <c r="E12" s="301">
        <v>53782</v>
      </c>
      <c r="F12" s="332">
        <f t="shared" si="3"/>
        <v>2047</v>
      </c>
      <c r="G12" s="307">
        <v>503615.13329999999</v>
      </c>
      <c r="H12" s="308">
        <v>332527.59960000002</v>
      </c>
      <c r="I12" s="308">
        <v>332527.59960000002</v>
      </c>
      <c r="J12" s="308">
        <v>293200.31650000002</v>
      </c>
      <c r="K12" s="308">
        <v>227561.4</v>
      </c>
      <c r="L12" s="307">
        <f>SUMIF(envB2018!$R$2:$R$162,recap_Incmpres!$B12,envB2018!$I$2:$I$162)+SUMIF(Transferts2018_EnvB!$V$2:$V$82,recap_Incmpres!$B12,Transferts2018_EnvB!$W$2:$W$82)+SUMIF(Transferts2018_EnvB!$V$2:$V$82,recap_Incmpres!$B12,Transferts2018_EnvB!$X$2:$X$82)</f>
        <v>-82000.19</v>
      </c>
      <c r="M12" s="307">
        <f t="shared" si="4"/>
        <v>-698928.72829250013</v>
      </c>
      <c r="N12" s="307">
        <f t="shared" si="5"/>
        <v>-489346.49951000005</v>
      </c>
      <c r="O12" s="307">
        <f t="shared" si="6"/>
        <v>-489346.49951000005</v>
      </c>
      <c r="P12" s="324">
        <f t="shared" si="7"/>
        <v>-441170.57771250006</v>
      </c>
      <c r="Q12" s="307">
        <f t="shared" si="8"/>
        <v>-360762.90500000003</v>
      </c>
      <c r="R12" s="307">
        <f>SUMIF('Faculty Members_List'!$I$2:$I$256,recap_Incmpres!$A12,'Faculty Members_List'!BY$2:BY$256)</f>
        <v>527248</v>
      </c>
      <c r="S12" s="308">
        <f>SUMIF('Faculty Members_List'!$I$2:$I$256,recap_Incmpres!$A12,'Faculty Members_List'!BZ$2:BZ$256)</f>
        <v>721188</v>
      </c>
      <c r="T12" s="308">
        <f>SUMIF('Faculty Members_List'!$I$2:$I$256,recap_Incmpres!$A12,'Faculty Members_List'!CA$2:CA$256)</f>
        <v>721188</v>
      </c>
      <c r="U12" s="308">
        <f>SUMIF('Faculty Members_List'!$I$2:$I$256,recap_Incmpres!$A12,'Faculty Members_List'!CB$2:CB$256)</f>
        <v>721188</v>
      </c>
      <c r="V12" s="308">
        <f>SUMIF('Faculty Members_List'!$I$2:$I$256,recap_Incmpres!$A12,'Faculty Members_List'!CC$2:CC$256)</f>
        <v>721188</v>
      </c>
      <c r="W12" s="301" t="str">
        <f>IF(SUMIF('Faculty Members_List'!$I$2:$I$256,recap_Incmpres!$A12,'Faculty Members_List'!T$2:T$256)=0,"",SUMIF('Faculty Members_List'!$I$2:$I$256,recap_Incmpres!$A12,'Faculty Members_List'!T$2:T$256)-1)</f>
        <v/>
      </c>
      <c r="X12" s="308">
        <f>SUMIF('Faculty Members_List'!$I$2:$I$256,recap_Incmpres!$A12,'Faculty Members_List'!S$2:S$256)</f>
        <v>0</v>
      </c>
      <c r="Y12" s="302">
        <f t="shared" si="1"/>
        <v>0</v>
      </c>
      <c r="Z12" s="302">
        <f t="shared" si="1"/>
        <v>0</v>
      </c>
      <c r="AA12" s="302">
        <f t="shared" si="1"/>
        <v>0</v>
      </c>
      <c r="AB12" s="302">
        <f t="shared" si="1"/>
        <v>0</v>
      </c>
      <c r="AE12" s="300" t="s">
        <v>1394</v>
      </c>
      <c r="AF12" s="300" t="s">
        <v>1395</v>
      </c>
      <c r="AG12" s="300" t="s">
        <v>1396</v>
      </c>
      <c r="AH12" s="302">
        <f t="shared" si="9"/>
        <v>-171680.72829250013</v>
      </c>
      <c r="AI12" s="302">
        <f t="shared" si="10"/>
        <v>231841.50048999995</v>
      </c>
      <c r="AJ12" s="302">
        <f t="shared" si="11"/>
        <v>231841.50048999995</v>
      </c>
      <c r="AK12" s="302">
        <f t="shared" si="12"/>
        <v>280017.42228749994</v>
      </c>
      <c r="AL12" s="302">
        <f t="shared" si="13"/>
        <v>360425.09499999997</v>
      </c>
    </row>
    <row r="13" spans="1:38" ht="12" customHeight="1" x14ac:dyDescent="0.2">
      <c r="A13" s="300">
        <f t="shared" si="2"/>
        <v>329</v>
      </c>
      <c r="B13" s="300" t="s">
        <v>1397</v>
      </c>
      <c r="C13" s="300" t="s">
        <v>1398</v>
      </c>
      <c r="D13" s="300" t="s">
        <v>1399</v>
      </c>
      <c r="E13" s="301">
        <v>43921</v>
      </c>
      <c r="F13" s="332">
        <f t="shared" si="3"/>
        <v>2020</v>
      </c>
      <c r="G13" s="307">
        <v>231502.35</v>
      </c>
      <c r="H13" s="308">
        <v>55869.599999999999</v>
      </c>
      <c r="I13" s="308">
        <v>0</v>
      </c>
      <c r="J13" s="308">
        <v>0</v>
      </c>
      <c r="K13" s="308">
        <v>0</v>
      </c>
      <c r="L13" s="307">
        <f>SUMIF(envB2018!$R$2:$R$162,recap_Incmpres!$B13,envB2018!$I$2:$I$162)+SUMIF(Transferts2018_EnvB!$V$2:$V$82,recap_Incmpres!$B13,Transferts2018_EnvB!$W$2:$W$82)+SUMIF(Transferts2018_EnvB!$V$2:$V$82,recap_Incmpres!$B13,Transferts2018_EnvB!$X$2:$X$82)</f>
        <v>-26428.6</v>
      </c>
      <c r="M13" s="307">
        <f t="shared" si="4"/>
        <v>-310018.97875000001</v>
      </c>
      <c r="N13" s="307">
        <f t="shared" si="5"/>
        <v>-75047.41</v>
      </c>
      <c r="O13" s="307">
        <f t="shared" si="6"/>
        <v>0</v>
      </c>
      <c r="P13" s="307">
        <f t="shared" si="7"/>
        <v>0</v>
      </c>
      <c r="Q13" s="307">
        <f t="shared" si="8"/>
        <v>0</v>
      </c>
      <c r="R13" s="307">
        <f>SUMIF('Faculty Members_List'!$I$2:$I$256,recap_Incmpres!$A13,'Faculty Members_List'!BY$2:BY$256)</f>
        <v>0</v>
      </c>
      <c r="S13" s="308">
        <f>SUMIF('Faculty Members_List'!$I$2:$I$256,recap_Incmpres!$A13,'Faculty Members_List'!BZ$2:BZ$256)</f>
        <v>0</v>
      </c>
      <c r="T13" s="308">
        <f>SUMIF('Faculty Members_List'!$I$2:$I$256,recap_Incmpres!$A13,'Faculty Members_List'!CA$2:CA$256)</f>
        <v>0</v>
      </c>
      <c r="U13" s="308">
        <f>SUMIF('Faculty Members_List'!$I$2:$I$256,recap_Incmpres!$A13,'Faculty Members_List'!CB$2:CB$256)</f>
        <v>0</v>
      </c>
      <c r="V13" s="308">
        <f>SUMIF('Faculty Members_List'!$I$2:$I$256,recap_Incmpres!$A13,'Faculty Members_List'!CC$2:CC$256)</f>
        <v>0</v>
      </c>
      <c r="W13" s="301" t="str">
        <f>IF(SUMIF('Faculty Members_List'!$I$2:$I$256,recap_Incmpres!$A13,'Faculty Members_List'!T$2:T$256)=0,"",SUMIF('Faculty Members_List'!$I$2:$I$256,recap_Incmpres!$A13,'Faculty Members_List'!T$2:T$256)-1)</f>
        <v/>
      </c>
      <c r="X13" s="308">
        <f>SUMIF('Faculty Members_List'!$I$2:$I$256,recap_Incmpres!$A13,'Faculty Members_List'!S$2:S$256)</f>
        <v>0</v>
      </c>
      <c r="Y13" s="302">
        <f t="shared" si="1"/>
        <v>0</v>
      </c>
      <c r="Z13" s="302">
        <f t="shared" si="1"/>
        <v>0</v>
      </c>
      <c r="AA13" s="302">
        <f t="shared" si="1"/>
        <v>0</v>
      </c>
      <c r="AB13" s="302">
        <f t="shared" si="1"/>
        <v>0</v>
      </c>
      <c r="AE13" s="300" t="s">
        <v>1397</v>
      </c>
      <c r="AF13" s="300" t="s">
        <v>1398</v>
      </c>
      <c r="AG13" s="300" t="s">
        <v>1399</v>
      </c>
      <c r="AH13" s="302">
        <f t="shared" si="9"/>
        <v>-310018.97875000001</v>
      </c>
      <c r="AI13" s="302">
        <f t="shared" si="10"/>
        <v>-75047.41</v>
      </c>
      <c r="AJ13" s="302">
        <f t="shared" si="11"/>
        <v>0</v>
      </c>
      <c r="AK13" s="302">
        <f t="shared" si="12"/>
        <v>0</v>
      </c>
      <c r="AL13" s="302">
        <f t="shared" si="13"/>
        <v>0</v>
      </c>
    </row>
    <row r="14" spans="1:38" ht="12" customHeight="1" x14ac:dyDescent="0.2">
      <c r="A14" s="300">
        <f t="shared" si="2"/>
        <v>332</v>
      </c>
      <c r="B14" s="300" t="s">
        <v>1400</v>
      </c>
      <c r="C14" s="300" t="s">
        <v>1401</v>
      </c>
      <c r="D14" s="300" t="s">
        <v>1402</v>
      </c>
      <c r="E14" s="301">
        <v>43921</v>
      </c>
      <c r="F14" s="332">
        <f t="shared" si="3"/>
        <v>2020</v>
      </c>
      <c r="G14" s="307">
        <v>674091.95</v>
      </c>
      <c r="H14" s="308">
        <v>168816.6501</v>
      </c>
      <c r="I14" s="308">
        <v>0</v>
      </c>
      <c r="J14" s="308">
        <v>0</v>
      </c>
      <c r="K14" s="308">
        <v>0</v>
      </c>
      <c r="L14" s="307">
        <f>SUMIF(envB2018!$R$2:$R$162,recap_Incmpres!$B14,envB2018!$I$2:$I$162)+SUMIF(Transferts2018_EnvB!$V$2:$V$82,recap_Incmpres!$B14,Transferts2018_EnvB!$W$2:$W$82)+SUMIF(Transferts2018_EnvB!$V$2:$V$82,recap_Incmpres!$B14,Transferts2018_EnvB!$X$2:$X$82)</f>
        <v>-87951.51</v>
      </c>
      <c r="M14" s="307">
        <f t="shared" si="4"/>
        <v>-913714.14875000005</v>
      </c>
      <c r="N14" s="307">
        <f t="shared" si="5"/>
        <v>-228788.27387250002</v>
      </c>
      <c r="O14" s="307">
        <f t="shared" si="6"/>
        <v>0</v>
      </c>
      <c r="P14" s="307">
        <f t="shared" si="7"/>
        <v>0</v>
      </c>
      <c r="Q14" s="307">
        <f t="shared" si="8"/>
        <v>0</v>
      </c>
      <c r="R14" s="307">
        <f>SUMIF('Faculty Members_List'!$I$2:$I$256,recap_Incmpres!$A14,'Faculty Members_List'!BY$2:BY$256)</f>
        <v>918185</v>
      </c>
      <c r="S14" s="308">
        <f>SUMIF('Faculty Members_List'!$I$2:$I$256,recap_Incmpres!$A14,'Faculty Members_List'!BZ$2:BZ$256)</f>
        <v>780258.78125</v>
      </c>
      <c r="T14" s="308">
        <f>SUMIF('Faculty Members_List'!$I$2:$I$256,recap_Incmpres!$A14,'Faculty Members_List'!CA$2:CA$256)</f>
        <v>734283.375</v>
      </c>
      <c r="U14" s="308">
        <f>SUMIF('Faculty Members_List'!$I$2:$I$256,recap_Incmpres!$A14,'Faculty Members_List'!CB$2:CB$256)</f>
        <v>734283.375</v>
      </c>
      <c r="V14" s="308">
        <f>SUMIF('Faculty Members_List'!$I$2:$I$256,recap_Incmpres!$A14,'Faculty Members_List'!CC$2:CC$256)</f>
        <v>734283.375</v>
      </c>
      <c r="W14" s="301" t="str">
        <f>IF(SUMIF('Faculty Members_List'!$I$2:$I$256,recap_Incmpres!$A14,'Faculty Members_List'!T$2:T$256)=0,"",SUMIF('Faculty Members_List'!$I$2:$I$256,recap_Incmpres!$A14,'Faculty Members_List'!T$2:T$256)-1)</f>
        <v/>
      </c>
      <c r="X14" s="308">
        <f>SUMIF('Faculty Members_List'!$I$2:$I$256,recap_Incmpres!$A14,'Faculty Members_List'!S$2:S$256)</f>
        <v>0</v>
      </c>
      <c r="Y14" s="302">
        <f t="shared" si="1"/>
        <v>0</v>
      </c>
      <c r="Z14" s="302">
        <f t="shared" si="1"/>
        <v>0</v>
      </c>
      <c r="AA14" s="302">
        <f t="shared" si="1"/>
        <v>0</v>
      </c>
      <c r="AB14" s="302">
        <f t="shared" si="1"/>
        <v>0</v>
      </c>
      <c r="AE14" s="300" t="s">
        <v>1400</v>
      </c>
      <c r="AF14" s="300" t="s">
        <v>1401</v>
      </c>
      <c r="AG14" s="300" t="s">
        <v>1402</v>
      </c>
      <c r="AH14" s="302">
        <f t="shared" si="9"/>
        <v>4470.8512499999488</v>
      </c>
      <c r="AI14" s="302">
        <f t="shared" si="10"/>
        <v>551470.50737749995</v>
      </c>
      <c r="AJ14" s="302">
        <f t="shared" si="11"/>
        <v>734283.375</v>
      </c>
      <c r="AK14" s="302">
        <f t="shared" si="12"/>
        <v>734283.375</v>
      </c>
      <c r="AL14" s="302">
        <f t="shared" si="13"/>
        <v>734283.375</v>
      </c>
    </row>
    <row r="15" spans="1:38" ht="12" customHeight="1" x14ac:dyDescent="0.2">
      <c r="A15" s="300">
        <f t="shared" si="2"/>
        <v>338</v>
      </c>
      <c r="B15" s="300" t="s">
        <v>1403</v>
      </c>
      <c r="C15" s="300" t="s">
        <v>1404</v>
      </c>
      <c r="D15" s="300" t="s">
        <v>1405</v>
      </c>
      <c r="E15" s="301">
        <v>47483</v>
      </c>
      <c r="F15" s="332">
        <f t="shared" si="3"/>
        <v>2029</v>
      </c>
      <c r="G15" s="307">
        <v>668200.85</v>
      </c>
      <c r="H15" s="308">
        <v>568056.1</v>
      </c>
      <c r="I15" s="308">
        <v>536156.4</v>
      </c>
      <c r="J15" s="308">
        <v>466525.65</v>
      </c>
      <c r="K15" s="308">
        <v>437217.4</v>
      </c>
      <c r="L15" s="307">
        <f>SUMIF(envB2018!$R$2:$R$162,recap_Incmpres!$B15,envB2018!$I$2:$I$162)+SUMIF(Transferts2018_EnvB!$V$2:$V$82,recap_Incmpres!$B15,Transferts2018_EnvB!$W$2:$W$82)+SUMIF(Transferts2018_EnvB!$V$2:$V$82,recap_Incmpres!$B15,Transferts2018_EnvB!$X$2:$X$82)</f>
        <v>-129453.02</v>
      </c>
      <c r="M15" s="307">
        <f t="shared" si="4"/>
        <v>-947999.06125000003</v>
      </c>
      <c r="N15" s="307">
        <f t="shared" si="5"/>
        <v>-825321.74250000005</v>
      </c>
      <c r="O15" s="307">
        <f t="shared" si="6"/>
        <v>-786244.6100000001</v>
      </c>
      <c r="P15" s="307">
        <f t="shared" si="7"/>
        <v>-700946.94125000003</v>
      </c>
      <c r="Q15" s="307">
        <f t="shared" si="8"/>
        <v>-665044.33500000008</v>
      </c>
      <c r="R15" s="307">
        <f>SUMIF('Faculty Members_List'!$I$2:$I$256,recap_Incmpres!$A15,'Faculty Members_List'!BY$2:BY$256)</f>
        <v>1010034</v>
      </c>
      <c r="S15" s="308">
        <f>SUMIF('Faculty Members_List'!$I$2:$I$256,recap_Incmpres!$A15,'Faculty Members_List'!BZ$2:BZ$256)</f>
        <v>1000375</v>
      </c>
      <c r="T15" s="308">
        <f>SUMIF('Faculty Members_List'!$I$2:$I$256,recap_Incmpres!$A15,'Faculty Members_List'!CA$2:CA$256)</f>
        <v>1000375</v>
      </c>
      <c r="U15" s="308">
        <f>SUMIF('Faculty Members_List'!$I$2:$I$256,recap_Incmpres!$A15,'Faculty Members_List'!CB$2:CB$256)</f>
        <v>1000375</v>
      </c>
      <c r="V15" s="308">
        <f>SUMIF('Faculty Members_List'!$I$2:$I$256,recap_Incmpres!$A15,'Faculty Members_List'!CC$2:CC$256)</f>
        <v>1000375</v>
      </c>
      <c r="W15" s="301" t="str">
        <f>IF(SUMIF('Faculty Members_List'!$I$2:$I$256,recap_Incmpres!$A15,'Faculty Members_List'!T$2:T$256)=0,"",SUMIF('Faculty Members_List'!$I$2:$I$256,recap_Incmpres!$A15,'Faculty Members_List'!T$2:T$256)-1)</f>
        <v/>
      </c>
      <c r="X15" s="308">
        <f>SUMIF('Faculty Members_List'!$I$2:$I$256,recap_Incmpres!$A15,'Faculty Members_List'!S$2:S$256)</f>
        <v>0</v>
      </c>
      <c r="Y15" s="302">
        <f t="shared" si="1"/>
        <v>0</v>
      </c>
      <c r="Z15" s="302">
        <f t="shared" si="1"/>
        <v>0</v>
      </c>
      <c r="AA15" s="302">
        <f t="shared" si="1"/>
        <v>0</v>
      </c>
      <c r="AB15" s="302">
        <f t="shared" si="1"/>
        <v>0</v>
      </c>
      <c r="AE15" s="300" t="s">
        <v>1403</v>
      </c>
      <c r="AF15" s="300" t="s">
        <v>1404</v>
      </c>
      <c r="AG15" s="300" t="s">
        <v>1405</v>
      </c>
      <c r="AH15" s="302">
        <f t="shared" si="9"/>
        <v>62034.938749999972</v>
      </c>
      <c r="AI15" s="302">
        <f t="shared" si="10"/>
        <v>175053.25749999995</v>
      </c>
      <c r="AJ15" s="302">
        <f t="shared" si="11"/>
        <v>214130.3899999999</v>
      </c>
      <c r="AK15" s="302">
        <f t="shared" si="12"/>
        <v>299428.05874999997</v>
      </c>
      <c r="AL15" s="302">
        <f t="shared" si="13"/>
        <v>335330.66499999992</v>
      </c>
    </row>
    <row r="16" spans="1:38" ht="12" customHeight="1" x14ac:dyDescent="0.2">
      <c r="A16" s="300">
        <f t="shared" si="2"/>
        <v>339</v>
      </c>
      <c r="B16" s="300" t="s">
        <v>1406</v>
      </c>
      <c r="C16" s="300" t="s">
        <v>1407</v>
      </c>
      <c r="D16" s="300" t="s">
        <v>1408</v>
      </c>
      <c r="E16" s="301">
        <v>49552</v>
      </c>
      <c r="F16" s="332">
        <f t="shared" si="3"/>
        <v>2035</v>
      </c>
      <c r="G16" s="307">
        <v>798578.86670000001</v>
      </c>
      <c r="H16" s="308">
        <v>564273.58360000001</v>
      </c>
      <c r="I16" s="308">
        <v>527224.25040000002</v>
      </c>
      <c r="J16" s="308">
        <v>461005.50060000003</v>
      </c>
      <c r="K16" s="308">
        <v>369846.00030000001</v>
      </c>
      <c r="L16" s="307">
        <f>SUMIF(envB2018!$R$2:$R$162,recap_Incmpres!$B16,envB2018!$I$2:$I$162)+SUMIF(Transferts2018_EnvB!$V$2:$V$82,recap_Incmpres!$B16,Transferts2018_EnvB!$W$2:$W$82)+SUMIF(Transferts2018_EnvB!$V$2:$V$82,recap_Incmpres!$B16,Transferts2018_EnvB!$X$2:$X$82)</f>
        <v>-268287.75</v>
      </c>
      <c r="M16" s="307">
        <f t="shared" si="4"/>
        <v>-1246546.8617075002</v>
      </c>
      <c r="N16" s="307">
        <f t="shared" si="5"/>
        <v>-959522.88991000003</v>
      </c>
      <c r="O16" s="307">
        <f t="shared" si="6"/>
        <v>-914137.45674000005</v>
      </c>
      <c r="P16" s="307">
        <f t="shared" si="7"/>
        <v>-833019.48823500006</v>
      </c>
      <c r="Q16" s="307">
        <f t="shared" si="8"/>
        <v>-721349.10036749998</v>
      </c>
      <c r="R16" s="307">
        <f>SUMIF('Faculty Members_List'!$I$2:$I$256,recap_Incmpres!$A16,'Faculty Members_List'!BY$2:BY$256)</f>
        <v>1026691</v>
      </c>
      <c r="S16" s="308">
        <f>SUMIF('Faculty Members_List'!$I$2:$I$256,recap_Incmpres!$A16,'Faculty Members_List'!BZ$2:BZ$256)</f>
        <v>1000375</v>
      </c>
      <c r="T16" s="308">
        <f>SUMIF('Faculty Members_List'!$I$2:$I$256,recap_Incmpres!$A16,'Faculty Members_List'!CA$2:CA$256)</f>
        <v>1000375</v>
      </c>
      <c r="U16" s="308">
        <f>SUMIF('Faculty Members_List'!$I$2:$I$256,recap_Incmpres!$A16,'Faculty Members_List'!CB$2:CB$256)</f>
        <v>1000375</v>
      </c>
      <c r="V16" s="308">
        <f>SUMIF('Faculty Members_List'!$I$2:$I$256,recap_Incmpres!$A16,'Faculty Members_List'!CC$2:CC$256)</f>
        <v>1000375</v>
      </c>
      <c r="W16" s="301" t="str">
        <f>IF(SUMIF('Faculty Members_List'!$I$2:$I$256,recap_Incmpres!$A16,'Faculty Members_List'!T$2:T$256)=0,"",SUMIF('Faculty Members_List'!$I$2:$I$256,recap_Incmpres!$A16,'Faculty Members_List'!T$2:T$256)-1)</f>
        <v/>
      </c>
      <c r="X16" s="308">
        <f>SUMIF('Faculty Members_List'!$I$2:$I$256,recap_Incmpres!$A16,'Faculty Members_List'!S$2:S$256)</f>
        <v>0</v>
      </c>
      <c r="Y16" s="302">
        <f t="shared" si="1"/>
        <v>0</v>
      </c>
      <c r="Z16" s="302">
        <f t="shared" si="1"/>
        <v>0</v>
      </c>
      <c r="AA16" s="302">
        <f t="shared" si="1"/>
        <v>0</v>
      </c>
      <c r="AB16" s="302">
        <f t="shared" si="1"/>
        <v>0</v>
      </c>
      <c r="AE16" s="300" t="s">
        <v>1406</v>
      </c>
      <c r="AF16" s="300" t="s">
        <v>1407</v>
      </c>
      <c r="AG16" s="300" t="s">
        <v>1408</v>
      </c>
      <c r="AH16" s="302">
        <f t="shared" si="9"/>
        <v>-219855.86170750018</v>
      </c>
      <c r="AI16" s="302">
        <f t="shared" si="10"/>
        <v>40852.110089999973</v>
      </c>
      <c r="AJ16" s="302">
        <f t="shared" si="11"/>
        <v>86237.543259999948</v>
      </c>
      <c r="AK16" s="302">
        <f t="shared" si="12"/>
        <v>167355.51176499994</v>
      </c>
      <c r="AL16" s="302">
        <f t="shared" si="13"/>
        <v>279025.89963250002</v>
      </c>
    </row>
    <row r="17" spans="1:38" ht="12" customHeight="1" x14ac:dyDescent="0.2">
      <c r="A17" s="300">
        <f t="shared" si="2"/>
        <v>343</v>
      </c>
      <c r="B17" s="300" t="s">
        <v>1409</v>
      </c>
      <c r="C17" s="300" t="s">
        <v>1410</v>
      </c>
      <c r="D17" s="300" t="s">
        <v>1411</v>
      </c>
      <c r="E17" s="301">
        <v>43861</v>
      </c>
      <c r="F17" s="332">
        <f t="shared" si="3"/>
        <v>2020</v>
      </c>
      <c r="G17" s="307">
        <v>675427.45</v>
      </c>
      <c r="H17" s="308">
        <v>39351.9</v>
      </c>
      <c r="I17" s="308">
        <v>0</v>
      </c>
      <c r="J17" s="308">
        <v>0</v>
      </c>
      <c r="K17" s="308">
        <v>0</v>
      </c>
      <c r="L17" s="307">
        <f>SUMIF(envB2018!$R$2:$R$162,recap_Incmpres!$B17,envB2018!$I$2:$I$162)+SUMIF(Transferts2018_EnvB!$V$2:$V$82,recap_Incmpres!$B17,Transferts2018_EnvB!$W$2:$W$82)+SUMIF(Transferts2018_EnvB!$V$2:$V$82,recap_Incmpres!$B17,Transferts2018_EnvB!$X$2:$X$82)</f>
        <v>-54425.51</v>
      </c>
      <c r="M17" s="307">
        <f t="shared" si="4"/>
        <v>-881824.13624999998</v>
      </c>
      <c r="N17" s="307">
        <f t="shared" si="5"/>
        <v>-52741.536666666674</v>
      </c>
      <c r="O17" s="307">
        <f t="shared" si="6"/>
        <v>0</v>
      </c>
      <c r="P17" s="307">
        <f t="shared" si="7"/>
        <v>0</v>
      </c>
      <c r="Q17" s="307">
        <f t="shared" si="8"/>
        <v>0</v>
      </c>
      <c r="R17" s="307">
        <f>SUMIF('Faculty Members_List'!$I$2:$I$256,recap_Incmpres!$A17,'Faculty Members_List'!BY$2:BY$256)</f>
        <v>961210</v>
      </c>
      <c r="S17" s="308">
        <f>SUMIF('Faculty Members_List'!$I$2:$I$256,recap_Incmpres!$A17,'Faculty Members_List'!BZ$2:BZ$256)</f>
        <v>108794.00833333333</v>
      </c>
      <c r="T17" s="308">
        <f>SUMIF('Faculty Members_List'!$I$2:$I$256,recap_Incmpres!$A17,'Faculty Members_List'!CA$2:CA$256)</f>
        <v>0</v>
      </c>
      <c r="U17" s="308">
        <f>SUMIF('Faculty Members_List'!$I$2:$I$256,recap_Incmpres!$A17,'Faculty Members_List'!CB$2:CB$256)</f>
        <v>0</v>
      </c>
      <c r="V17" s="308">
        <f>SUMIF('Faculty Members_List'!$I$2:$I$256,recap_Incmpres!$A17,'Faculty Members_List'!CC$2:CC$256)</f>
        <v>0</v>
      </c>
      <c r="W17" s="301" t="str">
        <f>IF(SUMIF('Faculty Members_List'!$I$2:$I$256,recap_Incmpres!$A17,'Faculty Members_List'!T$2:T$256)=0,"",SUMIF('Faculty Members_List'!$I$2:$I$256,recap_Incmpres!$A17,'Faculty Members_List'!T$2:T$256)-1)</f>
        <v/>
      </c>
      <c r="X17" s="308">
        <f>SUMIF('Faculty Members_List'!$I$2:$I$256,recap_Incmpres!$A17,'Faculty Members_List'!S$2:S$256)</f>
        <v>0</v>
      </c>
      <c r="Y17" s="302">
        <f t="shared" si="1"/>
        <v>0</v>
      </c>
      <c r="Z17" s="302">
        <f t="shared" si="1"/>
        <v>0</v>
      </c>
      <c r="AA17" s="302">
        <f t="shared" si="1"/>
        <v>0</v>
      </c>
      <c r="AB17" s="302">
        <f t="shared" si="1"/>
        <v>0</v>
      </c>
      <c r="AE17" s="300" t="s">
        <v>1409</v>
      </c>
      <c r="AF17" s="300" t="s">
        <v>1410</v>
      </c>
      <c r="AG17" s="300" t="s">
        <v>1411</v>
      </c>
      <c r="AH17" s="302">
        <f t="shared" si="9"/>
        <v>79385.863750000019</v>
      </c>
      <c r="AI17" s="302">
        <f t="shared" si="10"/>
        <v>56052.471666666657</v>
      </c>
      <c r="AJ17" s="302">
        <f t="shared" si="11"/>
        <v>0</v>
      </c>
      <c r="AK17" s="302">
        <f t="shared" si="12"/>
        <v>0</v>
      </c>
      <c r="AL17" s="302">
        <f t="shared" si="13"/>
        <v>0</v>
      </c>
    </row>
    <row r="18" spans="1:38" ht="12" customHeight="1" x14ac:dyDescent="0.2">
      <c r="A18" s="300">
        <f t="shared" si="2"/>
        <v>364</v>
      </c>
      <c r="B18" s="300" t="s">
        <v>1412</v>
      </c>
      <c r="C18" s="300" t="s">
        <v>1413</v>
      </c>
      <c r="D18" s="300" t="s">
        <v>1414</v>
      </c>
      <c r="E18" s="301">
        <v>51897</v>
      </c>
      <c r="F18" s="332">
        <f t="shared" si="3"/>
        <v>2042</v>
      </c>
      <c r="G18" s="307">
        <v>584176.31669999997</v>
      </c>
      <c r="H18" s="308">
        <v>368947.76669999998</v>
      </c>
      <c r="I18" s="308">
        <v>364383.6</v>
      </c>
      <c r="J18" s="308">
        <v>364383.6</v>
      </c>
      <c r="K18" s="308">
        <v>364383.6</v>
      </c>
      <c r="L18" s="307">
        <f>SUMIF(envB2018!$R$2:$R$162,recap_Incmpres!$B18,envB2018!$I$2:$I$162)+SUMIF(Transferts2018_EnvB!$V$2:$V$82,recap_Incmpres!$B18,Transferts2018_EnvB!$W$2:$W$82)+SUMIF(Transferts2018_EnvB!$V$2:$V$82,recap_Incmpres!$B18,Transferts2018_EnvB!$X$2:$X$82)</f>
        <v>-54668.71</v>
      </c>
      <c r="M18" s="307">
        <f t="shared" si="4"/>
        <v>-770284.6979575</v>
      </c>
      <c r="N18" s="307">
        <f t="shared" si="5"/>
        <v>-506629.72420750005</v>
      </c>
      <c r="O18" s="307">
        <f t="shared" si="6"/>
        <v>-501038.62000000005</v>
      </c>
      <c r="P18" s="307">
        <f t="shared" si="7"/>
        <v>-501038.62000000005</v>
      </c>
      <c r="Q18" s="307">
        <f t="shared" si="8"/>
        <v>-501038.62000000005</v>
      </c>
      <c r="R18" s="307">
        <f>SUMIF('Faculty Members_List'!$I$2:$I$256,recap_Incmpres!$A18,'Faculty Members_List'!BY$2:BY$256)</f>
        <v>701932.75</v>
      </c>
      <c r="S18" s="308">
        <f>SUMIF('Faculty Members_List'!$I$2:$I$256,recap_Incmpres!$A18,'Faculty Members_List'!BZ$2:BZ$256)</f>
        <v>721188</v>
      </c>
      <c r="T18" s="308">
        <f>SUMIF('Faculty Members_List'!$I$2:$I$256,recap_Incmpres!$A18,'Faculty Members_List'!CA$2:CA$256)</f>
        <v>721188</v>
      </c>
      <c r="U18" s="308">
        <f>SUMIF('Faculty Members_List'!$I$2:$I$256,recap_Incmpres!$A18,'Faculty Members_List'!CB$2:CB$256)</f>
        <v>721188</v>
      </c>
      <c r="V18" s="308">
        <f>SUMIF('Faculty Members_List'!$I$2:$I$256,recap_Incmpres!$A18,'Faculty Members_List'!CC$2:CC$256)</f>
        <v>721188</v>
      </c>
      <c r="W18" s="301" t="str">
        <f>IF(SUMIF('Faculty Members_List'!$I$2:$I$256,recap_Incmpres!$A18,'Faculty Members_List'!T$2:T$256)=0,"",SUMIF('Faculty Members_List'!$I$2:$I$256,recap_Incmpres!$A18,'Faculty Members_List'!T$2:T$256)-1)</f>
        <v/>
      </c>
      <c r="X18" s="308">
        <f>SUMIF('Faculty Members_List'!$I$2:$I$256,recap_Incmpres!$A18,'Faculty Members_List'!S$2:S$256)</f>
        <v>0</v>
      </c>
      <c r="Y18" s="302">
        <f t="shared" si="1"/>
        <v>0</v>
      </c>
      <c r="Z18" s="302">
        <f t="shared" si="1"/>
        <v>0</v>
      </c>
      <c r="AA18" s="302">
        <f t="shared" si="1"/>
        <v>0</v>
      </c>
      <c r="AB18" s="302">
        <f t="shared" si="1"/>
        <v>0</v>
      </c>
      <c r="AE18" s="300" t="s">
        <v>1412</v>
      </c>
      <c r="AF18" s="300" t="s">
        <v>1413</v>
      </c>
      <c r="AG18" s="300" t="s">
        <v>1414</v>
      </c>
      <c r="AH18" s="302">
        <f t="shared" si="9"/>
        <v>-68351.9479575</v>
      </c>
      <c r="AI18" s="302">
        <f t="shared" si="10"/>
        <v>214558.27579249995</v>
      </c>
      <c r="AJ18" s="302">
        <f t="shared" si="11"/>
        <v>220149.37999999995</v>
      </c>
      <c r="AK18" s="302">
        <f t="shared" si="12"/>
        <v>220149.37999999995</v>
      </c>
      <c r="AL18" s="302">
        <f t="shared" si="13"/>
        <v>220149.37999999995</v>
      </c>
    </row>
    <row r="19" spans="1:38" ht="12" customHeight="1" x14ac:dyDescent="0.2">
      <c r="A19" s="300">
        <f t="shared" si="2"/>
        <v>365</v>
      </c>
      <c r="B19" s="300" t="s">
        <v>1415</v>
      </c>
      <c r="C19" s="300" t="s">
        <v>1416</v>
      </c>
      <c r="D19" s="300" t="s">
        <v>1417</v>
      </c>
      <c r="E19" s="301">
        <v>54362</v>
      </c>
      <c r="F19" s="332">
        <f t="shared" si="3"/>
        <v>2048</v>
      </c>
      <c r="G19" s="307">
        <v>304410</v>
      </c>
      <c r="H19" s="308">
        <v>254806.35</v>
      </c>
      <c r="I19" s="308">
        <v>214236.6</v>
      </c>
      <c r="J19" s="308">
        <v>214236.6</v>
      </c>
      <c r="K19" s="308">
        <v>214236.6</v>
      </c>
      <c r="L19" s="307">
        <f>SUMIF(envB2018!$R$2:$R$162,recap_Incmpres!$B19,envB2018!$I$2:$I$162)+SUMIF(Transferts2018_EnvB!$V$2:$V$82,recap_Incmpres!$B19,Transferts2018_EnvB!$W$2:$W$82)+SUMIF(Transferts2018_EnvB!$V$2:$V$82,recap_Incmpres!$B19,Transferts2018_EnvB!$X$2:$X$82)</f>
        <v>-76618.73000000001</v>
      </c>
      <c r="M19" s="307">
        <f t="shared" si="4"/>
        <v>-449520.98</v>
      </c>
      <c r="N19" s="307">
        <f t="shared" si="5"/>
        <v>-388756.50875000004</v>
      </c>
      <c r="O19" s="307">
        <f t="shared" si="6"/>
        <v>-339058.56500000006</v>
      </c>
      <c r="P19" s="307">
        <f t="shared" si="7"/>
        <v>-339058.56500000006</v>
      </c>
      <c r="Q19" s="307">
        <f t="shared" si="8"/>
        <v>-339058.56500000006</v>
      </c>
      <c r="R19" s="307">
        <f>SUMIF('Faculty Members_List'!$I$2:$I$256,recap_Incmpres!$A19,'Faculty Members_List'!BY$2:BY$256)</f>
        <v>512511.00000000006</v>
      </c>
      <c r="S19" s="308">
        <f>SUMIF('Faculty Members_List'!$I$2:$I$256,recap_Incmpres!$A19,'Faculty Members_List'!BZ$2:BZ$256)</f>
        <v>512511.00000000006</v>
      </c>
      <c r="T19" s="308">
        <f>SUMIF('Faculty Members_List'!$I$2:$I$256,recap_Incmpres!$A19,'Faculty Members_List'!CA$2:CA$256)</f>
        <v>512511.00000000006</v>
      </c>
      <c r="U19" s="308">
        <f>SUMIF('Faculty Members_List'!$I$2:$I$256,recap_Incmpres!$A19,'Faculty Members_List'!CB$2:CB$256)</f>
        <v>564680.25</v>
      </c>
      <c r="V19" s="308">
        <f>SUMIF('Faculty Members_List'!$I$2:$I$256,recap_Incmpres!$A19,'Faculty Members_List'!CC$2:CC$256)</f>
        <v>564680.25</v>
      </c>
      <c r="W19" s="301" t="str">
        <f>IF(SUMIF('Faculty Members_List'!$I$2:$I$256,recap_Incmpres!$A19,'Faculty Members_List'!T$2:T$256)=0,"",SUMIF('Faculty Members_List'!$I$2:$I$256,recap_Incmpres!$A19,'Faculty Members_List'!T$2:T$256)-1)</f>
        <v/>
      </c>
      <c r="X19" s="308">
        <f>SUMIF('Faculty Members_List'!$I$2:$I$256,recap_Incmpres!$A19,'Faculty Members_List'!S$2:S$256)</f>
        <v>0</v>
      </c>
      <c r="Y19" s="302">
        <f t="shared" si="1"/>
        <v>0</v>
      </c>
      <c r="Z19" s="302">
        <f t="shared" si="1"/>
        <v>0</v>
      </c>
      <c r="AA19" s="302">
        <f t="shared" si="1"/>
        <v>0</v>
      </c>
      <c r="AB19" s="302">
        <f t="shared" si="1"/>
        <v>0</v>
      </c>
      <c r="AE19" s="300" t="s">
        <v>1415</v>
      </c>
      <c r="AF19" s="300" t="s">
        <v>1416</v>
      </c>
      <c r="AG19" s="300" t="s">
        <v>1417</v>
      </c>
      <c r="AH19" s="302">
        <f t="shared" si="9"/>
        <v>62990.020000000077</v>
      </c>
      <c r="AI19" s="302">
        <f t="shared" si="10"/>
        <v>123754.49125000002</v>
      </c>
      <c r="AJ19" s="302">
        <f t="shared" si="11"/>
        <v>173452.435</v>
      </c>
      <c r="AK19" s="302">
        <f t="shared" si="12"/>
        <v>225621.68499999994</v>
      </c>
      <c r="AL19" s="302">
        <f t="shared" si="13"/>
        <v>225621.68499999994</v>
      </c>
    </row>
    <row r="20" spans="1:38" ht="12" customHeight="1" x14ac:dyDescent="0.2">
      <c r="A20" s="300">
        <f t="shared" si="2"/>
        <v>370</v>
      </c>
      <c r="B20" s="300" t="s">
        <v>1418</v>
      </c>
      <c r="C20" s="300" t="s">
        <v>1419</v>
      </c>
      <c r="D20" s="300" t="s">
        <v>1420</v>
      </c>
      <c r="E20" s="301">
        <v>54727</v>
      </c>
      <c r="F20" s="332">
        <f t="shared" si="3"/>
        <v>2049</v>
      </c>
      <c r="G20" s="307">
        <v>348907.8333</v>
      </c>
      <c r="H20" s="308">
        <v>326349.59999999998</v>
      </c>
      <c r="I20" s="308">
        <v>326349.59999999998</v>
      </c>
      <c r="J20" s="308">
        <v>313333.8</v>
      </c>
      <c r="K20" s="308">
        <v>256986.4</v>
      </c>
      <c r="L20" s="307">
        <f>SUMIF(envB2018!$R$2:$R$162,recap_Incmpres!$B20,envB2018!$I$2:$I$162)+SUMIF(Transferts2018_EnvB!$V$2:$V$82,recap_Incmpres!$B20,Transferts2018_EnvB!$W$2:$W$82)+SUMIF(Transferts2018_EnvB!$V$2:$V$82,recap_Incmpres!$B20,Transferts2018_EnvB!$X$2:$X$82)</f>
        <v>-155342.89000000001</v>
      </c>
      <c r="M20" s="307">
        <f t="shared" si="4"/>
        <v>-582754.98579249997</v>
      </c>
      <c r="N20" s="307">
        <f t="shared" si="5"/>
        <v>-555121.15</v>
      </c>
      <c r="O20" s="307">
        <f t="shared" si="6"/>
        <v>-555121.15</v>
      </c>
      <c r="P20" s="307">
        <f t="shared" si="7"/>
        <v>-539176.79500000004</v>
      </c>
      <c r="Q20" s="307">
        <f t="shared" si="8"/>
        <v>-470151.23000000004</v>
      </c>
      <c r="R20" s="307">
        <f>SUMIF('Faculty Members_List'!$I$2:$I$256,recap_Incmpres!$A20,'Faculty Members_List'!BY$2:BY$256)</f>
        <v>445136</v>
      </c>
      <c r="S20" s="308">
        <f>SUMIF('Faculty Members_List'!$I$2:$I$256,recap_Incmpres!$A20,'Faculty Members_List'!BZ$2:BZ$256)</f>
        <v>490052.66666666669</v>
      </c>
      <c r="T20" s="308">
        <f>SUMIF('Faculty Members_List'!$I$2:$I$256,recap_Incmpres!$A20,'Faculty Members_List'!CA$2:CA$256)</f>
        <v>512511</v>
      </c>
      <c r="U20" s="308">
        <f>SUMIF('Faculty Members_List'!$I$2:$I$256,recap_Incmpres!$A20,'Faculty Members_List'!CB$2:CB$256)</f>
        <v>512511</v>
      </c>
      <c r="V20" s="308">
        <f>SUMIF('Faculty Members_List'!$I$2:$I$256,recap_Incmpres!$A20,'Faculty Members_List'!CC$2:CC$256)</f>
        <v>512511</v>
      </c>
      <c r="W20" s="301" t="str">
        <f>IF(SUMIF('Faculty Members_List'!$I$2:$I$256,recap_Incmpres!$A20,'Faculty Members_List'!T$2:T$256)=0,"",SUMIF('Faculty Members_List'!$I$2:$I$256,recap_Incmpres!$A20,'Faculty Members_List'!T$2:T$256)-1)</f>
        <v/>
      </c>
      <c r="X20" s="308">
        <f>SUMIF('Faculty Members_List'!$I$2:$I$256,recap_Incmpres!$A20,'Faculty Members_List'!S$2:S$256)</f>
        <v>0</v>
      </c>
      <c r="Y20" s="302">
        <f t="shared" si="1"/>
        <v>0</v>
      </c>
      <c r="Z20" s="302">
        <f t="shared" si="1"/>
        <v>0</v>
      </c>
      <c r="AA20" s="302">
        <f t="shared" si="1"/>
        <v>0</v>
      </c>
      <c r="AB20" s="302">
        <f t="shared" si="1"/>
        <v>0</v>
      </c>
      <c r="AE20" s="300" t="s">
        <v>1418</v>
      </c>
      <c r="AF20" s="300" t="s">
        <v>1419</v>
      </c>
      <c r="AG20" s="300" t="s">
        <v>1420</v>
      </c>
      <c r="AH20" s="302">
        <f t="shared" si="9"/>
        <v>-137618.98579249997</v>
      </c>
      <c r="AI20" s="302">
        <f t="shared" si="10"/>
        <v>-65068.483333333337</v>
      </c>
      <c r="AJ20" s="302">
        <f t="shared" si="11"/>
        <v>-42610.150000000023</v>
      </c>
      <c r="AK20" s="302">
        <f t="shared" si="12"/>
        <v>-26665.795000000042</v>
      </c>
      <c r="AL20" s="302">
        <f t="shared" si="13"/>
        <v>42359.76999999996</v>
      </c>
    </row>
    <row r="21" spans="1:38" ht="12" customHeight="1" x14ac:dyDescent="0.2">
      <c r="A21" s="300">
        <f t="shared" si="2"/>
        <v>377</v>
      </c>
      <c r="B21" s="300" t="s">
        <v>1421</v>
      </c>
      <c r="C21" s="300" t="s">
        <v>1422</v>
      </c>
      <c r="D21" s="300" t="s">
        <v>1423</v>
      </c>
      <c r="E21" s="301">
        <v>47330</v>
      </c>
      <c r="F21" s="332">
        <f t="shared" si="3"/>
        <v>2029</v>
      </c>
      <c r="G21" s="307">
        <v>691052.03330000001</v>
      </c>
      <c r="H21" s="308">
        <v>682888.4166</v>
      </c>
      <c r="I21" s="308">
        <v>636483</v>
      </c>
      <c r="J21" s="308">
        <v>626922.6</v>
      </c>
      <c r="K21" s="308">
        <v>590501.80000000005</v>
      </c>
      <c r="L21" s="307">
        <f>SUMIF(envB2018!$R$2:$R$162,recap_Incmpres!$B21,envB2018!$I$2:$I$162)+SUMIF(Transferts2018_EnvB!$V$2:$V$82,recap_Incmpres!$B21,Transferts2018_EnvB!$W$2:$W$82)+SUMIF(Transferts2018_EnvB!$V$2:$V$82,recap_Incmpres!$B21,Transferts2018_EnvB!$X$2:$X$82)</f>
        <v>-150140.64000000001</v>
      </c>
      <c r="M21" s="307">
        <f t="shared" si="4"/>
        <v>-996679.3807925001</v>
      </c>
      <c r="N21" s="307">
        <f t="shared" si="5"/>
        <v>-986678.95033500006</v>
      </c>
      <c r="O21" s="307">
        <f t="shared" si="6"/>
        <v>-929832.31500000006</v>
      </c>
      <c r="P21" s="307">
        <f t="shared" si="7"/>
        <v>-918120.82500000007</v>
      </c>
      <c r="Q21" s="307">
        <f t="shared" si="8"/>
        <v>-873505.34500000009</v>
      </c>
      <c r="R21" s="307">
        <f>SUMIF('Faculty Members_List'!$I$2:$I$256,recap_Incmpres!$A21,'Faculty Members_List'!BY$2:BY$256)</f>
        <v>1061102</v>
      </c>
      <c r="S21" s="308">
        <f>SUMIF('Faculty Members_List'!$I$2:$I$256,recap_Incmpres!$A21,'Faculty Members_List'!BZ$2:BZ$256)</f>
        <v>1000375</v>
      </c>
      <c r="T21" s="308">
        <f>SUMIF('Faculty Members_List'!$I$2:$I$256,recap_Incmpres!$A21,'Faculty Members_List'!CA$2:CA$256)</f>
        <v>1000375</v>
      </c>
      <c r="U21" s="308">
        <f>SUMIF('Faculty Members_List'!$I$2:$I$256,recap_Incmpres!$A21,'Faculty Members_List'!CB$2:CB$256)</f>
        <v>1000375</v>
      </c>
      <c r="V21" s="308">
        <f>SUMIF('Faculty Members_List'!$I$2:$I$256,recap_Incmpres!$A21,'Faculty Members_List'!CC$2:CC$256)</f>
        <v>1000375</v>
      </c>
      <c r="W21" s="301" t="str">
        <f>IF(SUMIF('Faculty Members_List'!$I$2:$I$256,recap_Incmpres!$A21,'Faculty Members_List'!T$2:T$256)=0,"",SUMIF('Faculty Members_List'!$I$2:$I$256,recap_Incmpres!$A21,'Faculty Members_List'!T$2:T$256)-1)</f>
        <v/>
      </c>
      <c r="X21" s="308">
        <f>SUMIF('Faculty Members_List'!$I$2:$I$256,recap_Incmpres!$A21,'Faculty Members_List'!S$2:S$256)</f>
        <v>0</v>
      </c>
      <c r="Y21" s="302">
        <f t="shared" si="1"/>
        <v>0</v>
      </c>
      <c r="Z21" s="302">
        <f t="shared" si="1"/>
        <v>0</v>
      </c>
      <c r="AA21" s="302">
        <f t="shared" si="1"/>
        <v>0</v>
      </c>
      <c r="AB21" s="302">
        <f t="shared" si="1"/>
        <v>0</v>
      </c>
      <c r="AC21" s="300">
        <v>-4097</v>
      </c>
      <c r="AE21" s="300" t="s">
        <v>1421</v>
      </c>
      <c r="AF21" s="300" t="s">
        <v>1422</v>
      </c>
      <c r="AG21" s="300" t="s">
        <v>1423</v>
      </c>
      <c r="AH21" s="302">
        <f t="shared" si="9"/>
        <v>59403.794207499945</v>
      </c>
      <c r="AI21" s="302">
        <f t="shared" si="10"/>
        <v>8677.224664999987</v>
      </c>
      <c r="AJ21" s="302">
        <f t="shared" si="11"/>
        <v>65523.859999999986</v>
      </c>
      <c r="AK21" s="302">
        <f t="shared" si="12"/>
        <v>77235.349999999977</v>
      </c>
      <c r="AL21" s="302">
        <f t="shared" si="13"/>
        <v>121850.82999999996</v>
      </c>
    </row>
    <row r="22" spans="1:38" ht="12" customHeight="1" x14ac:dyDescent="0.2">
      <c r="A22" s="300">
        <f t="shared" si="2"/>
        <v>405</v>
      </c>
      <c r="B22" s="300" t="s">
        <v>1424</v>
      </c>
      <c r="C22" s="300" t="s">
        <v>1425</v>
      </c>
      <c r="D22" s="300" t="s">
        <v>1426</v>
      </c>
      <c r="E22" s="301">
        <v>49552</v>
      </c>
      <c r="F22" s="332">
        <f t="shared" si="3"/>
        <v>2035</v>
      </c>
      <c r="G22" s="307">
        <v>583649.56000000006</v>
      </c>
      <c r="H22" s="308">
        <v>429187.08360000001</v>
      </c>
      <c r="I22" s="308">
        <v>348535.6004</v>
      </c>
      <c r="J22" s="308">
        <v>330588.80040000001</v>
      </c>
      <c r="K22" s="308">
        <v>296055.46679999999</v>
      </c>
      <c r="L22" s="307">
        <f>SUMIF(envB2018!$R$2:$R$162,recap_Incmpres!$B22,envB2018!$I$2:$I$162)+SUMIF(Transferts2018_EnvB!$V$2:$V$82,recap_Incmpres!$B22,Transferts2018_EnvB!$W$2:$W$82)+SUMIF(Transferts2018_EnvB!$V$2:$V$82,recap_Incmpres!$B22,Transferts2018_EnvB!$X$2:$X$82)</f>
        <v>-95775.71</v>
      </c>
      <c r="M22" s="307">
        <f t="shared" si="4"/>
        <v>-810746.42100000009</v>
      </c>
      <c r="N22" s="307">
        <f t="shared" si="5"/>
        <v>-621529.88740999997</v>
      </c>
      <c r="O22" s="307">
        <f t="shared" si="6"/>
        <v>-522731.82049000007</v>
      </c>
      <c r="P22" s="307">
        <f t="shared" si="7"/>
        <v>-500746.99049000005</v>
      </c>
      <c r="Q22" s="307">
        <f t="shared" si="8"/>
        <v>-458443.65683000005</v>
      </c>
      <c r="R22" s="307">
        <f>SUMIF('Faculty Members_List'!$I$2:$I$256,recap_Incmpres!$A22,'Faculty Members_List'!BY$2:BY$256)</f>
        <v>678069.75</v>
      </c>
      <c r="S22" s="308">
        <f>SUMIF('Faculty Members_List'!$I$2:$I$256,recap_Incmpres!$A22,'Faculty Members_List'!BZ$2:BZ$256)</f>
        <v>733907.25</v>
      </c>
      <c r="T22" s="308">
        <f>SUMIF('Faculty Members_List'!$I$2:$I$256,recap_Incmpres!$A22,'Faculty Members_List'!CA$2:CA$256)</f>
        <v>789744.75</v>
      </c>
      <c r="U22" s="308">
        <f>SUMIF('Faculty Members_List'!$I$2:$I$256,recap_Incmpres!$A22,'Faculty Members_List'!CB$2:CB$256)</f>
        <v>845582.25</v>
      </c>
      <c r="V22" s="308">
        <f>SUMIF('Faculty Members_List'!$I$2:$I$256,recap_Incmpres!$A22,'Faculty Members_List'!CC$2:CC$256)</f>
        <v>901419.75</v>
      </c>
      <c r="W22" s="301" t="str">
        <f>IF(SUMIF('Faculty Members_List'!$I$2:$I$256,recap_Incmpres!$A22,'Faculty Members_List'!T$2:T$256)=0,"",SUMIF('Faculty Members_List'!$I$2:$I$256,recap_Incmpres!$A22,'Faculty Members_List'!T$2:T$256)-1)</f>
        <v/>
      </c>
      <c r="X22" s="308">
        <f>SUMIF('Faculty Members_List'!$I$2:$I$256,recap_Incmpres!$A22,'Faculty Members_List'!S$2:S$256)</f>
        <v>0</v>
      </c>
      <c r="Y22" s="302">
        <f t="shared" si="1"/>
        <v>0</v>
      </c>
      <c r="Z22" s="302">
        <f t="shared" si="1"/>
        <v>0</v>
      </c>
      <c r="AA22" s="302">
        <f t="shared" si="1"/>
        <v>0</v>
      </c>
      <c r="AB22" s="302">
        <f t="shared" si="1"/>
        <v>0</v>
      </c>
      <c r="AC22" s="300">
        <v>50049</v>
      </c>
      <c r="AE22" s="300" t="s">
        <v>1424</v>
      </c>
      <c r="AF22" s="300" t="s">
        <v>1425</v>
      </c>
      <c r="AG22" s="300" t="s">
        <v>1426</v>
      </c>
      <c r="AH22" s="302">
        <f t="shared" si="9"/>
        <v>-71366.646000000066</v>
      </c>
      <c r="AI22" s="302">
        <f t="shared" si="10"/>
        <v>173687.38759000006</v>
      </c>
      <c r="AJ22" s="302">
        <f t="shared" si="11"/>
        <v>328322.95450999995</v>
      </c>
      <c r="AK22" s="302">
        <f t="shared" si="12"/>
        <v>406145.28450999997</v>
      </c>
      <c r="AL22" s="302">
        <f t="shared" si="13"/>
        <v>504286.11816999997</v>
      </c>
    </row>
    <row r="23" spans="1:38" ht="12" customHeight="1" x14ac:dyDescent="0.2">
      <c r="A23" s="300">
        <f t="shared" si="2"/>
        <v>407</v>
      </c>
      <c r="B23" s="300" t="s">
        <v>1427</v>
      </c>
      <c r="C23" s="300" t="s">
        <v>1428</v>
      </c>
      <c r="D23" s="300" t="s">
        <v>1429</v>
      </c>
      <c r="E23" s="301">
        <v>49795</v>
      </c>
      <c r="F23" s="332">
        <f t="shared" si="3"/>
        <v>2036</v>
      </c>
      <c r="G23" s="307">
        <v>745110.91669999994</v>
      </c>
      <c r="H23" s="308">
        <v>592155.26749999996</v>
      </c>
      <c r="I23" s="308">
        <v>513989.6004</v>
      </c>
      <c r="J23" s="308">
        <v>513989.6004</v>
      </c>
      <c r="K23" s="308">
        <v>513989.6004</v>
      </c>
      <c r="L23" s="307">
        <f>SUMIF(envB2018!$R$2:$R$162,recap_Incmpres!$B23,envB2018!$I$2:$I$162)+SUMIF(Transferts2018_EnvB!$V$2:$V$82,recap_Incmpres!$B23,Transferts2018_EnvB!$W$2:$W$82)+SUMIF(Transferts2018_EnvB!$V$2:$V$82,recap_Incmpres!$B23,Transferts2018_EnvB!$X$2:$X$82)</f>
        <v>-52582.92</v>
      </c>
      <c r="M23" s="307">
        <f t="shared" si="4"/>
        <v>-965343.79295750009</v>
      </c>
      <c r="N23" s="307">
        <f t="shared" si="5"/>
        <v>-777973.12268750009</v>
      </c>
      <c r="O23" s="307">
        <f t="shared" si="6"/>
        <v>-682220.18049000006</v>
      </c>
      <c r="P23" s="307">
        <f t="shared" si="7"/>
        <v>-682220.18049000006</v>
      </c>
      <c r="Q23" s="307">
        <f t="shared" si="8"/>
        <v>-682220.18049000006</v>
      </c>
      <c r="R23" s="307">
        <f>SUMIF('Faculty Members_List'!$I$2:$I$256,recap_Incmpres!$A23,'Faculty Members_List'!BY$2:BY$256)</f>
        <v>972932</v>
      </c>
      <c r="S23" s="308">
        <f>SUMIF('Faculty Members_List'!$I$2:$I$256,recap_Incmpres!$A23,'Faculty Members_List'!BZ$2:BZ$256)</f>
        <v>1028769.5</v>
      </c>
      <c r="T23" s="308">
        <f>SUMIF('Faculty Members_List'!$I$2:$I$256,recap_Incmpres!$A23,'Faculty Members_List'!CA$2:CA$256)</f>
        <v>1084607</v>
      </c>
      <c r="U23" s="308">
        <f>SUMIF('Faculty Members_List'!$I$2:$I$256,recap_Incmpres!$A23,'Faculty Members_List'!CB$2:CB$256)</f>
        <v>1117440.25</v>
      </c>
      <c r="V23" s="308">
        <f>SUMIF('Faculty Members_List'!$I$2:$I$256,recap_Incmpres!$A23,'Faculty Members_List'!CC$2:CC$256)</f>
        <v>1117440.25</v>
      </c>
      <c r="W23" s="301" t="str">
        <f>IF(SUMIF('Faculty Members_List'!$I$2:$I$256,recap_Incmpres!$A23,'Faculty Members_List'!T$2:T$256)=0,"",SUMIF('Faculty Members_List'!$I$2:$I$256,recap_Incmpres!$A23,'Faculty Members_List'!T$2:T$256)-1)</f>
        <v/>
      </c>
      <c r="X23" s="308">
        <f>SUMIF('Faculty Members_List'!$I$2:$I$256,recap_Incmpres!$A23,'Faculty Members_List'!S$2:S$256)</f>
        <v>0</v>
      </c>
      <c r="Y23" s="302">
        <f t="shared" ref="Y23:AB42" si="14">IF(X23=0,0,IF(YEAR($W23)&gt;Y$2,X23,IF(YEAR($W23)=Y$2,X23*(MONTH($W23))/12,0)))</f>
        <v>0</v>
      </c>
      <c r="Z23" s="302">
        <f t="shared" si="14"/>
        <v>0</v>
      </c>
      <c r="AA23" s="302">
        <f t="shared" si="14"/>
        <v>0</v>
      </c>
      <c r="AB23" s="302">
        <f t="shared" si="14"/>
        <v>0</v>
      </c>
      <c r="AE23" s="300" t="s">
        <v>1427</v>
      </c>
      <c r="AF23" s="300" t="s">
        <v>1428</v>
      </c>
      <c r="AG23" s="300" t="s">
        <v>1429</v>
      </c>
      <c r="AH23" s="302">
        <f t="shared" si="9"/>
        <v>7588.207042499911</v>
      </c>
      <c r="AI23" s="302">
        <f t="shared" si="10"/>
        <v>250796.37731249991</v>
      </c>
      <c r="AJ23" s="302">
        <f t="shared" si="11"/>
        <v>402386.81950999994</v>
      </c>
      <c r="AK23" s="302">
        <f t="shared" si="12"/>
        <v>435220.06950999994</v>
      </c>
      <c r="AL23" s="302">
        <f t="shared" si="13"/>
        <v>435220.06950999994</v>
      </c>
    </row>
    <row r="24" spans="1:38" ht="12" customHeight="1" x14ac:dyDescent="0.2">
      <c r="A24" s="300">
        <f t="shared" si="2"/>
        <v>414</v>
      </c>
      <c r="B24" s="300" t="s">
        <v>1430</v>
      </c>
      <c r="C24" s="300" t="s">
        <v>1431</v>
      </c>
      <c r="D24" s="300" t="s">
        <v>1432</v>
      </c>
      <c r="E24" s="301">
        <v>44255</v>
      </c>
      <c r="F24" s="332">
        <f t="shared" si="3"/>
        <v>2021</v>
      </c>
      <c r="G24" s="307">
        <v>525813.63329999999</v>
      </c>
      <c r="H24" s="308">
        <v>420867.6</v>
      </c>
      <c r="I24" s="308">
        <v>70144.600000000006</v>
      </c>
      <c r="J24" s="308">
        <v>0</v>
      </c>
      <c r="K24" s="308">
        <v>0</v>
      </c>
      <c r="L24" s="307">
        <f>SUMIF(envB2018!$R$2:$R$162,recap_Incmpres!$B24,envB2018!$I$2:$I$162)+SUMIF(Transferts2018_EnvB!$V$2:$V$82,recap_Incmpres!$B24,Transferts2018_EnvB!$W$2:$W$82)+SUMIF(Transferts2018_EnvB!$V$2:$V$82,recap_Incmpres!$B24,Transferts2018_EnvB!$X$2:$X$82)</f>
        <v>-100987.24</v>
      </c>
      <c r="M24" s="307">
        <f t="shared" si="4"/>
        <v>-745108.94079250004</v>
      </c>
      <c r="N24" s="307">
        <f t="shared" si="5"/>
        <v>-616550.05000000005</v>
      </c>
      <c r="O24" s="307">
        <f t="shared" si="6"/>
        <v>-102758.34166666667</v>
      </c>
      <c r="P24" s="307">
        <f t="shared" si="7"/>
        <v>0</v>
      </c>
      <c r="Q24" s="307">
        <f t="shared" si="8"/>
        <v>0</v>
      </c>
      <c r="R24" s="307">
        <f>SUMIF('Faculty Members_List'!$I$2:$I$256,recap_Incmpres!$A24,'Faculty Members_List'!BY$2:BY$256)</f>
        <v>689084</v>
      </c>
      <c r="S24" s="308">
        <f>SUMIF('Faculty Members_List'!$I$2:$I$256,recap_Incmpres!$A24,'Faculty Members_List'!BZ$2:BZ$256)</f>
        <v>678025.5</v>
      </c>
      <c r="T24" s="308">
        <f>SUMIF('Faculty Members_List'!$I$2:$I$256,recap_Incmpres!$A24,'Faculty Members_List'!CA$2:CA$256)</f>
        <v>363529</v>
      </c>
      <c r="U24" s="308">
        <f>SUMIF('Faculty Members_List'!$I$2:$I$256,recap_Incmpres!$A24,'Faculty Members_List'!CB$2:CB$256)</f>
        <v>300629.7</v>
      </c>
      <c r="V24" s="308">
        <f>SUMIF('Faculty Members_List'!$I$2:$I$256,recap_Incmpres!$A24,'Faculty Members_List'!CC$2:CC$256)</f>
        <v>300629.7</v>
      </c>
      <c r="W24" s="301" t="str">
        <f>IF(SUMIF('Faculty Members_List'!$I$2:$I$256,recap_Incmpres!$A24,'Faculty Members_List'!T$2:T$256)=0,"",SUMIF('Faculty Members_List'!$I$2:$I$256,recap_Incmpres!$A24,'Faculty Members_List'!T$2:T$256)-1)</f>
        <v/>
      </c>
      <c r="X24" s="308">
        <f>SUMIF('Faculty Members_List'!$I$2:$I$256,recap_Incmpres!$A24,'Faculty Members_List'!S$2:S$256)</f>
        <v>0</v>
      </c>
      <c r="Y24" s="302">
        <f t="shared" si="14"/>
        <v>0</v>
      </c>
      <c r="Z24" s="302">
        <f t="shared" si="14"/>
        <v>0</v>
      </c>
      <c r="AA24" s="302">
        <f t="shared" si="14"/>
        <v>0</v>
      </c>
      <c r="AB24" s="302">
        <f t="shared" si="14"/>
        <v>0</v>
      </c>
      <c r="AE24" s="300" t="s">
        <v>1430</v>
      </c>
      <c r="AF24" s="300" t="s">
        <v>1431</v>
      </c>
      <c r="AG24" s="300" t="s">
        <v>1432</v>
      </c>
      <c r="AH24" s="302">
        <f t="shared" si="9"/>
        <v>-56024.940792500041</v>
      </c>
      <c r="AI24" s="302">
        <f t="shared" si="10"/>
        <v>61475.449999999953</v>
      </c>
      <c r="AJ24" s="302">
        <f t="shared" si="11"/>
        <v>260770.65833333333</v>
      </c>
      <c r="AK24" s="302">
        <f t="shared" si="12"/>
        <v>300629.7</v>
      </c>
      <c r="AL24" s="302">
        <f t="shared" si="13"/>
        <v>300629.7</v>
      </c>
    </row>
    <row r="25" spans="1:38" ht="12" customHeight="1" x14ac:dyDescent="0.2">
      <c r="A25" s="300">
        <f t="shared" si="2"/>
        <v>418</v>
      </c>
      <c r="B25" s="300" t="s">
        <v>1433</v>
      </c>
      <c r="C25" s="300" t="s">
        <v>1434</v>
      </c>
      <c r="D25" s="300" t="s">
        <v>1435</v>
      </c>
      <c r="E25" s="301">
        <v>47573</v>
      </c>
      <c r="F25" s="332">
        <f t="shared" si="3"/>
        <v>2030</v>
      </c>
      <c r="G25" s="307">
        <v>763549.9</v>
      </c>
      <c r="H25" s="308">
        <v>629471.79960000003</v>
      </c>
      <c r="I25" s="308">
        <v>629471.79960000003</v>
      </c>
      <c r="J25" s="308">
        <v>629471.79960000003</v>
      </c>
      <c r="K25" s="308">
        <v>629471.79960000003</v>
      </c>
      <c r="L25" s="307">
        <f>SUMIF(envB2018!$R$2:$R$162,recap_Incmpres!$B25,envB2018!$I$2:$I$162)+SUMIF(Transferts2018_EnvB!$V$2:$V$82,recap_Incmpres!$B25,Transferts2018_EnvB!$W$2:$W$82)+SUMIF(Transferts2018_EnvB!$V$2:$V$82,recap_Incmpres!$B25,Transferts2018_EnvB!$X$2:$X$82)</f>
        <v>-143312.71000000002</v>
      </c>
      <c r="M25" s="307">
        <f t="shared" si="4"/>
        <v>-1078661.3375000001</v>
      </c>
      <c r="N25" s="307">
        <f t="shared" si="5"/>
        <v>-914415.66451000003</v>
      </c>
      <c r="O25" s="307">
        <f t="shared" si="6"/>
        <v>-914415.66451000003</v>
      </c>
      <c r="P25" s="307">
        <f t="shared" si="7"/>
        <v>-914415.66451000003</v>
      </c>
      <c r="Q25" s="307">
        <f t="shared" si="8"/>
        <v>-914415.66451000003</v>
      </c>
      <c r="R25" s="307">
        <f>SUMIF('Faculty Members_List'!$I$2:$I$256,recap_Incmpres!$A25,'Faculty Members_List'!BY$2:BY$256)</f>
        <v>1083318</v>
      </c>
      <c r="S25" s="308">
        <f>SUMIF('Faculty Members_List'!$I$2:$I$256,recap_Incmpres!$A25,'Faculty Members_List'!BZ$2:BZ$256)</f>
        <v>1139155.5</v>
      </c>
      <c r="T25" s="308">
        <f>SUMIF('Faculty Members_List'!$I$2:$I$256,recap_Incmpres!$A25,'Faculty Members_List'!CA$2:CA$256)</f>
        <v>1194993</v>
      </c>
      <c r="U25" s="308">
        <f>SUMIF('Faculty Members_List'!$I$2:$I$256,recap_Incmpres!$A25,'Faculty Members_List'!CB$2:CB$256)</f>
        <v>1201577.575</v>
      </c>
      <c r="V25" s="308">
        <f>SUMIF('Faculty Members_List'!$I$2:$I$256,recap_Incmpres!$A25,'Faculty Members_List'!CC$2:CC$256)</f>
        <v>1201577.575</v>
      </c>
      <c r="W25" s="301" t="str">
        <f>IF(SUMIF('Faculty Members_List'!$I$2:$I$256,recap_Incmpres!$A25,'Faculty Members_List'!T$2:T$256)=0,"",SUMIF('Faculty Members_List'!$I$2:$I$256,recap_Incmpres!$A25,'Faculty Members_List'!T$2:T$256)-1)</f>
        <v/>
      </c>
      <c r="X25" s="308">
        <f>SUMIF('Faculty Members_List'!$I$2:$I$256,recap_Incmpres!$A25,'Faculty Members_List'!S$2:S$256)</f>
        <v>0</v>
      </c>
      <c r="Y25" s="302">
        <f t="shared" si="14"/>
        <v>0</v>
      </c>
      <c r="Z25" s="302">
        <f t="shared" si="14"/>
        <v>0</v>
      </c>
      <c r="AA25" s="302">
        <f t="shared" si="14"/>
        <v>0</v>
      </c>
      <c r="AB25" s="302">
        <f t="shared" si="14"/>
        <v>0</v>
      </c>
      <c r="AE25" s="300" t="s">
        <v>1433</v>
      </c>
      <c r="AF25" s="300" t="s">
        <v>1434</v>
      </c>
      <c r="AG25" s="300" t="s">
        <v>1435</v>
      </c>
      <c r="AH25" s="302">
        <f t="shared" si="9"/>
        <v>4656.6624999998603</v>
      </c>
      <c r="AI25" s="302">
        <f t="shared" si="10"/>
        <v>224739.83548999997</v>
      </c>
      <c r="AJ25" s="302">
        <f t="shared" si="11"/>
        <v>280577.33548999997</v>
      </c>
      <c r="AK25" s="302">
        <f t="shared" si="12"/>
        <v>287161.91048999992</v>
      </c>
      <c r="AL25" s="302">
        <f t="shared" si="13"/>
        <v>287161.91048999992</v>
      </c>
    </row>
    <row r="26" spans="1:38" ht="12" customHeight="1" x14ac:dyDescent="0.2">
      <c r="A26" s="300">
        <f t="shared" si="2"/>
        <v>423</v>
      </c>
      <c r="B26" s="300" t="s">
        <v>1436</v>
      </c>
      <c r="C26" s="300" t="s">
        <v>1437</v>
      </c>
      <c r="D26" s="300" t="s">
        <v>1438</v>
      </c>
      <c r="E26" s="301">
        <v>50221</v>
      </c>
      <c r="F26" s="332">
        <f t="shared" si="3"/>
        <v>2037</v>
      </c>
      <c r="G26" s="307">
        <v>934059.7</v>
      </c>
      <c r="H26" s="308">
        <v>694159</v>
      </c>
      <c r="I26" s="308">
        <v>675930.6</v>
      </c>
      <c r="J26" s="308">
        <v>675930.6</v>
      </c>
      <c r="K26" s="308">
        <v>675930.6</v>
      </c>
      <c r="L26" s="307">
        <f>SUMIF(envB2018!$R$2:$R$162,recap_Incmpres!$B26,envB2018!$I$2:$I$162)+SUMIF(Transferts2018_EnvB!$V$2:$V$82,recap_Incmpres!$B26,Transferts2018_EnvB!$W$2:$W$82)+SUMIF(Transferts2018_EnvB!$V$2:$V$82,recap_Incmpres!$B26,Transferts2018_EnvB!$X$2:$X$82)</f>
        <v>-4317.2599999999948</v>
      </c>
      <c r="M26" s="307">
        <f t="shared" si="4"/>
        <v>-1148540.3925000001</v>
      </c>
      <c r="N26" s="307">
        <f t="shared" si="5"/>
        <v>-854662.03500000003</v>
      </c>
      <c r="O26" s="307">
        <f t="shared" si="6"/>
        <v>-832332.245</v>
      </c>
      <c r="P26" s="307">
        <f t="shared" si="7"/>
        <v>-832332.245</v>
      </c>
      <c r="Q26" s="307">
        <f t="shared" si="8"/>
        <v>-832332.245</v>
      </c>
      <c r="R26" s="307">
        <f>SUMIF('Faculty Members_List'!$I$2:$I$256,recap_Incmpres!$A26,'Faculty Members_List'!BY$2:BY$256)</f>
        <v>960113</v>
      </c>
      <c r="S26" s="308">
        <f>SUMIF('Faculty Members_List'!$I$2:$I$256,recap_Incmpres!$A26,'Faculty Members_List'!BZ$2:BZ$256)</f>
        <v>1000375</v>
      </c>
      <c r="T26" s="308">
        <f>SUMIF('Faculty Members_List'!$I$2:$I$256,recap_Incmpres!$A26,'Faculty Members_List'!CA$2:CA$256)</f>
        <v>1000375</v>
      </c>
      <c r="U26" s="308">
        <f>SUMIF('Faculty Members_List'!$I$2:$I$256,recap_Incmpres!$A26,'Faculty Members_List'!CB$2:CB$256)</f>
        <v>1000375</v>
      </c>
      <c r="V26" s="308">
        <f>SUMIF('Faculty Members_List'!$I$2:$I$256,recap_Incmpres!$A26,'Faculty Members_List'!CC$2:CC$256)</f>
        <v>1000375</v>
      </c>
      <c r="W26" s="301" t="str">
        <f>IF(SUMIF('Faculty Members_List'!$I$2:$I$256,recap_Incmpres!$A26,'Faculty Members_List'!T$2:T$256)=0,"",SUMIF('Faculty Members_List'!$I$2:$I$256,recap_Incmpres!$A26,'Faculty Members_List'!T$2:T$256)-1)</f>
        <v/>
      </c>
      <c r="X26" s="308">
        <f>SUMIF('Faculty Members_List'!$I$2:$I$256,recap_Incmpres!$A26,'Faculty Members_List'!S$2:S$256)</f>
        <v>0</v>
      </c>
      <c r="Y26" s="302">
        <f t="shared" si="14"/>
        <v>0</v>
      </c>
      <c r="Z26" s="302">
        <f t="shared" si="14"/>
        <v>0</v>
      </c>
      <c r="AA26" s="302">
        <f t="shared" si="14"/>
        <v>0</v>
      </c>
      <c r="AB26" s="302">
        <f t="shared" si="14"/>
        <v>0</v>
      </c>
      <c r="AC26" s="300">
        <v>9591</v>
      </c>
      <c r="AE26" s="300" t="s">
        <v>1436</v>
      </c>
      <c r="AF26" s="300" t="s">
        <v>1437</v>
      </c>
      <c r="AG26" s="300" t="s">
        <v>1438</v>
      </c>
      <c r="AH26" s="302">
        <f t="shared" si="9"/>
        <v>-176678.4175000001</v>
      </c>
      <c r="AI26" s="302">
        <f t="shared" si="10"/>
        <v>157461.93999999994</v>
      </c>
      <c r="AJ26" s="302">
        <f t="shared" si="11"/>
        <v>179791.72999999998</v>
      </c>
      <c r="AK26" s="302">
        <f t="shared" si="12"/>
        <v>179791.72999999998</v>
      </c>
      <c r="AL26" s="302">
        <f t="shared" si="13"/>
        <v>179791.72999999998</v>
      </c>
    </row>
    <row r="27" spans="1:38" ht="12" customHeight="1" x14ac:dyDescent="0.2">
      <c r="A27" s="300">
        <f t="shared" si="2"/>
        <v>425</v>
      </c>
      <c r="B27" s="300" t="s">
        <v>1439</v>
      </c>
      <c r="C27" s="300" t="s">
        <v>1440</v>
      </c>
      <c r="D27" s="300" t="s">
        <v>1441</v>
      </c>
      <c r="E27" s="301">
        <v>46934</v>
      </c>
      <c r="F27" s="332">
        <f t="shared" si="3"/>
        <v>2028</v>
      </c>
      <c r="G27" s="307">
        <v>664402.38329999999</v>
      </c>
      <c r="H27" s="308">
        <v>540946.6666</v>
      </c>
      <c r="I27" s="308">
        <v>512426.4</v>
      </c>
      <c r="J27" s="308">
        <v>495043.8</v>
      </c>
      <c r="K27" s="308">
        <v>460278.6</v>
      </c>
      <c r="L27" s="307">
        <f>SUMIF(envB2018!$R$2:$R$162,recap_Incmpres!$B27,envB2018!$I$2:$I$162)+SUMIF(Transferts2018_EnvB!$V$2:$V$82,recap_Incmpres!$B27,Transferts2018_EnvB!$W$2:$W$82)+SUMIF(Transferts2018_EnvB!$V$2:$V$82,recap_Incmpres!$B27,Transferts2018_EnvB!$X$2:$X$82)</f>
        <v>-280547.89</v>
      </c>
      <c r="M27" s="307">
        <f t="shared" si="4"/>
        <v>-1094440.8095424999</v>
      </c>
      <c r="N27" s="307">
        <f t="shared" si="5"/>
        <v>-943207.55658500001</v>
      </c>
      <c r="O27" s="307">
        <f t="shared" si="6"/>
        <v>-908270.2300000001</v>
      </c>
      <c r="P27" s="307">
        <f t="shared" si="7"/>
        <v>-886976.54500000004</v>
      </c>
      <c r="Q27" s="307">
        <f t="shared" si="8"/>
        <v>-844389.17500000005</v>
      </c>
      <c r="R27" s="307">
        <f>SUMIF('Faculty Members_List'!$I$2:$I$256,recap_Incmpres!$A27,'Faculty Members_List'!BY$2:BY$256)</f>
        <v>1056289</v>
      </c>
      <c r="S27" s="308">
        <f>SUMIF('Faculty Members_List'!$I$2:$I$256,recap_Incmpres!$A27,'Faculty Members_List'!BZ$2:BZ$256)</f>
        <v>1090390.45</v>
      </c>
      <c r="T27" s="308">
        <f>SUMIF('Faculty Members_List'!$I$2:$I$256,recap_Incmpres!$A27,'Faculty Members_List'!CA$2:CA$256)</f>
        <v>1090390.45</v>
      </c>
      <c r="U27" s="308">
        <f>SUMIF('Faculty Members_List'!$I$2:$I$256,recap_Incmpres!$A27,'Faculty Members_List'!CB$2:CB$256)</f>
        <v>1090390.45</v>
      </c>
      <c r="V27" s="308">
        <f>SUMIF('Faculty Members_List'!$I$2:$I$256,recap_Incmpres!$A27,'Faculty Members_List'!CC$2:CC$256)</f>
        <v>1090390.45</v>
      </c>
      <c r="W27" s="301" t="str">
        <f>IF(SUMIF('Faculty Members_List'!$I$2:$I$256,recap_Incmpres!$A27,'Faculty Members_List'!T$2:T$256)=0,"",SUMIF('Faculty Members_List'!$I$2:$I$256,recap_Incmpres!$A27,'Faculty Members_List'!T$2:T$256)-1)</f>
        <v/>
      </c>
      <c r="X27" s="308">
        <f>SUMIF('Faculty Members_List'!$I$2:$I$256,recap_Incmpres!$A27,'Faculty Members_List'!S$2:S$256)</f>
        <v>0</v>
      </c>
      <c r="Y27" s="302">
        <f t="shared" si="14"/>
        <v>0</v>
      </c>
      <c r="Z27" s="302">
        <f t="shared" si="14"/>
        <v>0</v>
      </c>
      <c r="AA27" s="302">
        <f t="shared" si="14"/>
        <v>0</v>
      </c>
      <c r="AB27" s="302">
        <f t="shared" si="14"/>
        <v>0</v>
      </c>
      <c r="AE27" s="300" t="s">
        <v>1439</v>
      </c>
      <c r="AF27" s="300" t="s">
        <v>1440</v>
      </c>
      <c r="AG27" s="300" t="s">
        <v>1441</v>
      </c>
      <c r="AH27" s="302">
        <f t="shared" si="9"/>
        <v>-38151.809542499948</v>
      </c>
      <c r="AI27" s="302">
        <f t="shared" si="10"/>
        <v>147182.89341499994</v>
      </c>
      <c r="AJ27" s="302">
        <f t="shared" si="11"/>
        <v>182120.21999999986</v>
      </c>
      <c r="AK27" s="302">
        <f t="shared" si="12"/>
        <v>203413.90499999991</v>
      </c>
      <c r="AL27" s="302">
        <f t="shared" si="13"/>
        <v>246001.27499999991</v>
      </c>
    </row>
    <row r="28" spans="1:38" ht="12" customHeight="1" x14ac:dyDescent="0.2">
      <c r="A28" s="300">
        <f t="shared" si="2"/>
        <v>426</v>
      </c>
      <c r="B28" s="300" t="s">
        <v>1442</v>
      </c>
      <c r="C28" s="300" t="s">
        <v>1443</v>
      </c>
      <c r="D28" s="300" t="s">
        <v>1444</v>
      </c>
      <c r="E28" s="301">
        <v>50556</v>
      </c>
      <c r="F28" s="332">
        <f t="shared" si="3"/>
        <v>2038</v>
      </c>
      <c r="G28" s="307">
        <v>550111.19999999995</v>
      </c>
      <c r="H28" s="308">
        <v>411705.9</v>
      </c>
      <c r="I28" s="308">
        <v>344342.7</v>
      </c>
      <c r="J28" s="308">
        <v>322282.8</v>
      </c>
      <c r="K28" s="308">
        <v>278965.8</v>
      </c>
      <c r="L28" s="307">
        <f>SUMIF(envB2018!$R$2:$R$162,recap_Incmpres!$B28,envB2018!$I$2:$I$162)+SUMIF(Transferts2018_EnvB!$V$2:$V$82,recap_Incmpres!$B28,Transferts2018_EnvB!$W$2:$W$82)+SUMIF(Transferts2018_EnvB!$V$2:$V$82,recap_Incmpres!$B28,Transferts2018_EnvB!$X$2:$X$82)</f>
        <v>-49596.86</v>
      </c>
      <c r="M28" s="307">
        <f t="shared" si="4"/>
        <v>-723483.08</v>
      </c>
      <c r="N28" s="307">
        <f t="shared" si="5"/>
        <v>-553936.58750000002</v>
      </c>
      <c r="O28" s="307">
        <f t="shared" si="6"/>
        <v>-471416.66750000004</v>
      </c>
      <c r="P28" s="307">
        <f t="shared" si="7"/>
        <v>-444393.29</v>
      </c>
      <c r="Q28" s="307">
        <f t="shared" si="8"/>
        <v>-391329.96500000003</v>
      </c>
      <c r="R28" s="307">
        <f>SUMIF('Faculty Members_List'!$I$2:$I$256,recap_Incmpres!$A28,'Faculty Members_List'!BY$2:BY$256)</f>
        <v>733023</v>
      </c>
      <c r="S28" s="308">
        <f>SUMIF('Faculty Members_List'!$I$2:$I$256,recap_Incmpres!$A28,'Faculty Members_List'!BZ$2:BZ$256)</f>
        <v>756288.625</v>
      </c>
      <c r="T28" s="308">
        <f>SUMIF('Faculty Members_List'!$I$2:$I$256,recap_Incmpres!$A28,'Faculty Members_List'!CA$2:CA$256)</f>
        <v>812126.125</v>
      </c>
      <c r="U28" s="308">
        <f>SUMIF('Faculty Members_List'!$I$2:$I$256,recap_Incmpres!$A28,'Faculty Members_List'!CB$2:CB$256)</f>
        <v>867963.625</v>
      </c>
      <c r="V28" s="308">
        <f>SUMIF('Faculty Members_List'!$I$2:$I$256,recap_Incmpres!$A28,'Faculty Members_List'!CC$2:CC$256)</f>
        <v>923801.125</v>
      </c>
      <c r="W28" s="301" t="str">
        <f>IF(SUMIF('Faculty Members_List'!$I$2:$I$256,recap_Incmpres!$A28,'Faculty Members_List'!T$2:T$256)=0,"",SUMIF('Faculty Members_List'!$I$2:$I$256,recap_Incmpres!$A28,'Faculty Members_List'!T$2:T$256)-1)</f>
        <v/>
      </c>
      <c r="X28" s="308">
        <f>SUMIF('Faculty Members_List'!$I$2:$I$256,recap_Incmpres!$A28,'Faculty Members_List'!S$2:S$256)</f>
        <v>0</v>
      </c>
      <c r="Y28" s="302">
        <f t="shared" si="14"/>
        <v>0</v>
      </c>
      <c r="Z28" s="302">
        <f t="shared" si="14"/>
        <v>0</v>
      </c>
      <c r="AA28" s="302">
        <f t="shared" si="14"/>
        <v>0</v>
      </c>
      <c r="AB28" s="302">
        <f t="shared" si="14"/>
        <v>0</v>
      </c>
      <c r="AE28" s="300" t="s">
        <v>1442</v>
      </c>
      <c r="AF28" s="300" t="s">
        <v>1443</v>
      </c>
      <c r="AG28" s="300" t="s">
        <v>1444</v>
      </c>
      <c r="AH28" s="302">
        <f t="shared" si="9"/>
        <v>9539.9200000000419</v>
      </c>
      <c r="AI28" s="302">
        <f t="shared" si="10"/>
        <v>202352.03749999998</v>
      </c>
      <c r="AJ28" s="302">
        <f t="shared" si="11"/>
        <v>340709.45749999996</v>
      </c>
      <c r="AK28" s="302">
        <f t="shared" si="12"/>
        <v>423570.33500000002</v>
      </c>
      <c r="AL28" s="302">
        <f t="shared" si="13"/>
        <v>532471.15999999992</v>
      </c>
    </row>
    <row r="29" spans="1:38" s="322" customFormat="1" ht="12" customHeight="1" x14ac:dyDescent="0.2">
      <c r="A29" s="322">
        <f t="shared" si="2"/>
        <v>427</v>
      </c>
      <c r="B29" s="322" t="s">
        <v>1445</v>
      </c>
      <c r="C29" s="322" t="s">
        <v>1446</v>
      </c>
      <c r="D29" s="322" t="s">
        <v>1447</v>
      </c>
      <c r="E29" s="323">
        <v>51835</v>
      </c>
      <c r="F29" s="332">
        <f t="shared" si="3"/>
        <v>2041</v>
      </c>
      <c r="G29" s="324">
        <v>207749.85</v>
      </c>
      <c r="H29" s="325">
        <v>233163.80040000001</v>
      </c>
      <c r="I29" s="325">
        <v>233163.80040000001</v>
      </c>
      <c r="J29" s="325">
        <v>211400.4669</v>
      </c>
      <c r="K29" s="325">
        <v>180931.8</v>
      </c>
      <c r="L29" s="324">
        <f>SUMIF(envB2018!$R$2:$R$162,recap_Incmpres!$B29,envB2018!$I$2:$I$162)+SUMIF(Transferts2018_EnvB!$V$2:$V$82,recap_Incmpres!$B29,Transferts2018_EnvB!$W$2:$W$82)+SUMIF(Transferts2018_EnvB!$V$2:$V$82,recap_Incmpres!$B29,Transferts2018_EnvB!$X$2:$X$82)</f>
        <v>-311584.96000000002</v>
      </c>
      <c r="M29" s="324">
        <f t="shared" si="4"/>
        <v>-566078.52625000011</v>
      </c>
      <c r="N29" s="324">
        <f t="shared" si="5"/>
        <v>-597210.61549</v>
      </c>
      <c r="O29" s="324">
        <f t="shared" si="6"/>
        <v>-597210.61549</v>
      </c>
      <c r="P29" s="324">
        <f t="shared" si="7"/>
        <v>-570550.53195250011</v>
      </c>
      <c r="Q29" s="324">
        <f t="shared" si="8"/>
        <v>-533226.41500000004</v>
      </c>
      <c r="R29" s="324">
        <f>SUMIF('Faculty Members_List'!$I$2:$I$256,recap_Incmpres!$A29,'Faculty Members_List'!BY$2:BY$256)</f>
        <v>540882.5</v>
      </c>
      <c r="S29" s="325">
        <f>SUMIF('Faculty Members_List'!$I$2:$I$256,recap_Incmpres!$A29,'Faculty Members_List'!BZ$2:BZ$256)</f>
        <v>500187.5</v>
      </c>
      <c r="T29" s="325">
        <f>SUMIF('Faculty Members_List'!$I$2:$I$256,recap_Incmpres!$A29,'Faculty Members_List'!CA$2:CA$256)</f>
        <v>500187.5</v>
      </c>
      <c r="U29" s="325">
        <f>SUMIF('Faculty Members_List'!$I$2:$I$256,recap_Incmpres!$A29,'Faculty Members_List'!CB$2:CB$256)</f>
        <v>500187.5</v>
      </c>
      <c r="V29" s="325">
        <f>SUMIF('Faculty Members_List'!$I$2:$I$256,recap_Incmpres!$A29,'Faculty Members_List'!CC$2:CC$256)</f>
        <v>500187.5</v>
      </c>
      <c r="W29" s="323" t="str">
        <f>IF(SUMIF('Faculty Members_List'!$I$2:$I$256,recap_Incmpres!$A29,'Faculty Members_List'!T$2:T$256)=0,"",SUMIF('Faculty Members_List'!$I$2:$I$256,recap_Incmpres!$A29,'Faculty Members_List'!T$2:T$256)-1)</f>
        <v/>
      </c>
      <c r="X29" s="325">
        <f>SUMIF('Faculty Members_List'!$I$2:$I$256,recap_Incmpres!$A29,'Faculty Members_List'!S$2:S$256)</f>
        <v>0</v>
      </c>
      <c r="Y29" s="326">
        <f t="shared" si="14"/>
        <v>0</v>
      </c>
      <c r="Z29" s="326">
        <f t="shared" si="14"/>
        <v>0</v>
      </c>
      <c r="AA29" s="326">
        <f t="shared" si="14"/>
        <v>0</v>
      </c>
      <c r="AB29" s="326">
        <f t="shared" si="14"/>
        <v>0</v>
      </c>
      <c r="AE29" s="322" t="s">
        <v>1445</v>
      </c>
      <c r="AF29" s="322" t="s">
        <v>1446</v>
      </c>
      <c r="AG29" s="322" t="s">
        <v>1447</v>
      </c>
      <c r="AH29" s="326">
        <f t="shared" si="9"/>
        <v>-25196.026250000112</v>
      </c>
      <c r="AI29" s="326">
        <f t="shared" si="10"/>
        <v>-97023.115489999996</v>
      </c>
      <c r="AJ29" s="326">
        <f t="shared" si="11"/>
        <v>-97023.115489999996</v>
      </c>
      <c r="AK29" s="326">
        <f t="shared" si="12"/>
        <v>-70363.03195250011</v>
      </c>
      <c r="AL29" s="326">
        <f t="shared" si="13"/>
        <v>-33038.915000000037</v>
      </c>
    </row>
    <row r="30" spans="1:38" ht="12" customHeight="1" x14ac:dyDescent="0.2">
      <c r="A30" s="300">
        <f t="shared" si="2"/>
        <v>428</v>
      </c>
      <c r="B30" s="300" t="s">
        <v>1448</v>
      </c>
      <c r="C30" s="300" t="s">
        <v>1449</v>
      </c>
      <c r="D30" s="300" t="s">
        <v>1450</v>
      </c>
      <c r="E30" s="301">
        <v>51470</v>
      </c>
      <c r="F30" s="332">
        <f t="shared" si="3"/>
        <v>2040</v>
      </c>
      <c r="G30" s="307">
        <v>427888.26669999998</v>
      </c>
      <c r="H30" s="308">
        <v>324706.59989999997</v>
      </c>
      <c r="I30" s="308">
        <v>316446.59999999998</v>
      </c>
      <c r="J30" s="308">
        <v>316446.59999999998</v>
      </c>
      <c r="K30" s="308">
        <v>316446.59999999998</v>
      </c>
      <c r="L30" s="307">
        <f>SUMIF(envB2018!$R$2:$R$162,recap_Incmpres!$B30,envB2018!$I$2:$I$162)+SUMIF(Transferts2018_EnvB!$V$2:$V$82,recap_Incmpres!$B30,Transferts2018_EnvB!$W$2:$W$82)+SUMIF(Transferts2018_EnvB!$V$2:$V$82,recap_Incmpres!$B30,Transferts2018_EnvB!$X$2:$X$82)</f>
        <v>-222134.39</v>
      </c>
      <c r="M30" s="307">
        <f t="shared" si="4"/>
        <v>-746297.51670749998</v>
      </c>
      <c r="N30" s="307">
        <f t="shared" si="5"/>
        <v>-619899.97487749998</v>
      </c>
      <c r="O30" s="307">
        <f t="shared" si="6"/>
        <v>-609781.47500000009</v>
      </c>
      <c r="P30" s="307">
        <f t="shared" si="7"/>
        <v>-609781.47500000009</v>
      </c>
      <c r="Q30" s="307">
        <f t="shared" si="8"/>
        <v>-609781.47500000009</v>
      </c>
      <c r="R30" s="307">
        <f>SUMIF('Faculty Members_List'!$I$2:$I$256,recap_Incmpres!$A30,'Faculty Members_List'!BY$2:BY$256)</f>
        <v>735149.25</v>
      </c>
      <c r="S30" s="308">
        <f>SUMIF('Faculty Members_List'!$I$2:$I$256,recap_Incmpres!$A30,'Faculty Members_List'!BZ$2:BZ$256)</f>
        <v>758414.875</v>
      </c>
      <c r="T30" s="308">
        <f>SUMIF('Faculty Members_List'!$I$2:$I$256,recap_Incmpres!$A30,'Faculty Members_List'!CA$2:CA$256)</f>
        <v>814252.375</v>
      </c>
      <c r="U30" s="308">
        <f>SUMIF('Faculty Members_List'!$I$2:$I$256,recap_Incmpres!$A30,'Faculty Members_List'!CB$2:CB$256)</f>
        <v>870089.875</v>
      </c>
      <c r="V30" s="308">
        <f>SUMIF('Faculty Members_List'!$I$2:$I$256,recap_Incmpres!$A30,'Faculty Members_List'!CC$2:CC$256)</f>
        <v>925927.375</v>
      </c>
      <c r="W30" s="301" t="str">
        <f>IF(SUMIF('Faculty Members_List'!$I$2:$I$256,recap_Incmpres!$A30,'Faculty Members_List'!T$2:T$256)=0,"",SUMIF('Faculty Members_List'!$I$2:$I$256,recap_Incmpres!$A30,'Faculty Members_List'!T$2:T$256)-1)</f>
        <v/>
      </c>
      <c r="X30" s="308">
        <f>SUMIF('Faculty Members_List'!$I$2:$I$256,recap_Incmpres!$A30,'Faculty Members_List'!S$2:S$256)</f>
        <v>0</v>
      </c>
      <c r="Y30" s="302">
        <f t="shared" si="14"/>
        <v>0</v>
      </c>
      <c r="Z30" s="302">
        <f t="shared" si="14"/>
        <v>0</v>
      </c>
      <c r="AA30" s="302">
        <f t="shared" si="14"/>
        <v>0</v>
      </c>
      <c r="AB30" s="302">
        <f t="shared" si="14"/>
        <v>0</v>
      </c>
      <c r="AE30" s="300" t="s">
        <v>1448</v>
      </c>
      <c r="AF30" s="300" t="s">
        <v>1449</v>
      </c>
      <c r="AG30" s="300" t="s">
        <v>1450</v>
      </c>
      <c r="AH30" s="302">
        <f t="shared" si="9"/>
        <v>-11148.266707499977</v>
      </c>
      <c r="AI30" s="302">
        <f t="shared" si="10"/>
        <v>138514.90012250002</v>
      </c>
      <c r="AJ30" s="302">
        <f t="shared" si="11"/>
        <v>204470.89999999991</v>
      </c>
      <c r="AK30" s="302">
        <f t="shared" si="12"/>
        <v>260308.39999999991</v>
      </c>
      <c r="AL30" s="302">
        <f t="shared" si="13"/>
        <v>316145.89999999991</v>
      </c>
    </row>
    <row r="31" spans="1:38" ht="12" customHeight="1" x14ac:dyDescent="0.2">
      <c r="A31" s="300">
        <f t="shared" si="2"/>
        <v>433</v>
      </c>
      <c r="B31" s="300" t="s">
        <v>1451</v>
      </c>
      <c r="C31" s="300" t="s">
        <v>1452</v>
      </c>
      <c r="D31" s="300" t="s">
        <v>1453</v>
      </c>
      <c r="E31" s="301">
        <v>52596</v>
      </c>
      <c r="F31" s="332">
        <f t="shared" si="3"/>
        <v>2043</v>
      </c>
      <c r="G31" s="307">
        <v>506567.5</v>
      </c>
      <c r="H31" s="308">
        <v>407197.35</v>
      </c>
      <c r="I31" s="308">
        <v>338503.2</v>
      </c>
      <c r="J31" s="308">
        <v>338503.2</v>
      </c>
      <c r="K31" s="308">
        <v>338503.2</v>
      </c>
      <c r="L31" s="307">
        <f>SUMIF(envB2018!$R$2:$R$162,recap_Incmpres!$B31,envB2018!$I$2:$I$162)+SUMIF(Transferts2018_EnvB!$V$2:$V$82,recap_Incmpres!$B31,Transferts2018_EnvB!$W$2:$W$82)+SUMIF(Transferts2018_EnvB!$V$2:$V$82,recap_Incmpres!$B31,Transferts2018_EnvB!$X$2:$X$82)</f>
        <v>-131436.9</v>
      </c>
      <c r="M31" s="307">
        <f t="shared" si="4"/>
        <v>-751982.08750000002</v>
      </c>
      <c r="N31" s="307">
        <f t="shared" si="5"/>
        <v>-630253.65375000006</v>
      </c>
      <c r="O31" s="307">
        <f t="shared" si="6"/>
        <v>-546103.32000000007</v>
      </c>
      <c r="P31" s="307">
        <f t="shared" si="7"/>
        <v>-546103.32000000007</v>
      </c>
      <c r="Q31" s="307">
        <f t="shared" si="8"/>
        <v>-546103.32000000007</v>
      </c>
      <c r="R31" s="307">
        <f>SUMIF('Faculty Members_List'!$I$2:$I$256,recap_Incmpres!$A31,'Faculty Members_List'!BY$2:BY$256)</f>
        <v>732521</v>
      </c>
      <c r="S31" s="308">
        <f>SUMIF('Faculty Members_List'!$I$2:$I$256,recap_Incmpres!$A31,'Faculty Members_List'!BZ$2:BZ$256)</f>
        <v>746480.375</v>
      </c>
      <c r="T31" s="308">
        <f>SUMIF('Faculty Members_List'!$I$2:$I$256,recap_Incmpres!$A31,'Faculty Members_List'!CA$2:CA$256)</f>
        <v>802317.875</v>
      </c>
      <c r="U31" s="308">
        <f>SUMIF('Faculty Members_List'!$I$2:$I$256,recap_Incmpres!$A31,'Faculty Members_List'!CB$2:CB$256)</f>
        <v>858155.375</v>
      </c>
      <c r="V31" s="308">
        <f>SUMIF('Faculty Members_List'!$I$2:$I$256,recap_Incmpres!$A31,'Faculty Members_List'!CC$2:CC$256)</f>
        <v>913992.875</v>
      </c>
      <c r="W31" s="301" t="str">
        <f>IF(SUMIF('Faculty Members_List'!$I$2:$I$256,recap_Incmpres!$A31,'Faculty Members_List'!T$2:T$256)=0,"",SUMIF('Faculty Members_List'!$I$2:$I$256,recap_Incmpres!$A31,'Faculty Members_List'!T$2:T$256)-1)</f>
        <v/>
      </c>
      <c r="X31" s="308">
        <f>SUMIF('Faculty Members_List'!$I$2:$I$256,recap_Incmpres!$A31,'Faculty Members_List'!S$2:S$256)</f>
        <v>0</v>
      </c>
      <c r="Y31" s="302">
        <f t="shared" si="14"/>
        <v>0</v>
      </c>
      <c r="Z31" s="302">
        <f t="shared" si="14"/>
        <v>0</v>
      </c>
      <c r="AA31" s="302">
        <f t="shared" si="14"/>
        <v>0</v>
      </c>
      <c r="AB31" s="302">
        <f t="shared" si="14"/>
        <v>0</v>
      </c>
      <c r="AC31" s="300">
        <f>-20849-23750-14060</f>
        <v>-58659</v>
      </c>
      <c r="AE31" s="300" t="s">
        <v>1451</v>
      </c>
      <c r="AF31" s="300" t="s">
        <v>1452</v>
      </c>
      <c r="AG31" s="300" t="s">
        <v>1453</v>
      </c>
      <c r="AH31" s="302">
        <f t="shared" si="9"/>
        <v>-91318.362500000047</v>
      </c>
      <c r="AI31" s="302">
        <f t="shared" si="10"/>
        <v>44369.446249999921</v>
      </c>
      <c r="AJ31" s="302">
        <f t="shared" si="11"/>
        <v>184357.27999999991</v>
      </c>
      <c r="AK31" s="302">
        <f t="shared" si="12"/>
        <v>240194.77999999991</v>
      </c>
      <c r="AL31" s="302">
        <f t="shared" si="13"/>
        <v>296032.27999999991</v>
      </c>
    </row>
    <row r="32" spans="1:38" ht="12" customHeight="1" x14ac:dyDescent="0.2">
      <c r="A32" s="300">
        <f t="shared" si="2"/>
        <v>437</v>
      </c>
      <c r="B32" s="300" t="s">
        <v>1454</v>
      </c>
      <c r="C32" s="300" t="s">
        <v>1455</v>
      </c>
      <c r="D32" s="300" t="s">
        <v>1456</v>
      </c>
      <c r="E32" s="301">
        <v>52474</v>
      </c>
      <c r="F32" s="332">
        <f t="shared" si="3"/>
        <v>2043</v>
      </c>
      <c r="G32" s="307">
        <v>452348.22499999998</v>
      </c>
      <c r="H32" s="308">
        <v>396112</v>
      </c>
      <c r="I32" s="308">
        <v>327628.79999999999</v>
      </c>
      <c r="J32" s="308">
        <v>327628.79999999999</v>
      </c>
      <c r="K32" s="308">
        <v>314653.8</v>
      </c>
      <c r="L32" s="307">
        <f>SUMIF(envB2018!$R$2:$R$162,recap_Incmpres!$B32,envB2018!$I$2:$I$162)+SUMIF(Transferts2018_EnvB!$V$2:$V$82,recap_Incmpres!$B32,Transferts2018_EnvB!$W$2:$W$82)+SUMIF(Transferts2018_EnvB!$V$2:$V$82,recap_Incmpres!$B32,Transferts2018_EnvB!$X$2:$X$82)</f>
        <v>-91233.22</v>
      </c>
      <c r="M32" s="307">
        <f t="shared" si="4"/>
        <v>-645359.79562500003</v>
      </c>
      <c r="N32" s="307">
        <f t="shared" si="5"/>
        <v>-576470.42000000004</v>
      </c>
      <c r="O32" s="307">
        <f t="shared" si="6"/>
        <v>-492578.5</v>
      </c>
      <c r="P32" s="307">
        <f t="shared" si="7"/>
        <v>-492578.5</v>
      </c>
      <c r="Q32" s="307">
        <f t="shared" si="8"/>
        <v>-476684.125</v>
      </c>
      <c r="R32" s="307">
        <f>SUMIF('Faculty Members_List'!$I$2:$I$256,recap_Incmpres!$A32,'Faculty Members_List'!BY$2:BY$256)</f>
        <v>783836</v>
      </c>
      <c r="S32" s="308">
        <f>SUMIF('Faculty Members_List'!$I$2:$I$256,recap_Incmpres!$A32,'Faculty Members_List'!BZ$2:BZ$256)</f>
        <v>721188</v>
      </c>
      <c r="T32" s="308">
        <f>SUMIF('Faculty Members_List'!$I$2:$I$256,recap_Incmpres!$A32,'Faculty Members_List'!CA$2:CA$256)</f>
        <v>721188</v>
      </c>
      <c r="U32" s="308">
        <f>SUMIF('Faculty Members_List'!$I$2:$I$256,recap_Incmpres!$A32,'Faculty Members_List'!CB$2:CB$256)</f>
        <v>721188</v>
      </c>
      <c r="V32" s="308">
        <f>SUMIF('Faculty Members_List'!$I$2:$I$256,recap_Incmpres!$A32,'Faculty Members_List'!CC$2:CC$256)</f>
        <v>777025.5</v>
      </c>
      <c r="W32" s="301" t="str">
        <f>IF(SUMIF('Faculty Members_List'!$I$2:$I$256,recap_Incmpres!$A32,'Faculty Members_List'!T$2:T$256)=0,"",SUMIF('Faculty Members_List'!$I$2:$I$256,recap_Incmpres!$A32,'Faculty Members_List'!T$2:T$256)-1)</f>
        <v/>
      </c>
      <c r="X32" s="308">
        <f>SUMIF('Faculty Members_List'!$I$2:$I$256,recap_Incmpres!$A32,'Faculty Members_List'!S$2:S$256)</f>
        <v>0</v>
      </c>
      <c r="Y32" s="302">
        <f t="shared" si="14"/>
        <v>0</v>
      </c>
      <c r="Z32" s="302">
        <f t="shared" si="14"/>
        <v>0</v>
      </c>
      <c r="AA32" s="302">
        <f t="shared" si="14"/>
        <v>0</v>
      </c>
      <c r="AB32" s="302">
        <f t="shared" si="14"/>
        <v>0</v>
      </c>
      <c r="AE32" s="300" t="s">
        <v>1454</v>
      </c>
      <c r="AF32" s="300" t="s">
        <v>1455</v>
      </c>
      <c r="AG32" s="300" t="s">
        <v>1456</v>
      </c>
      <c r="AH32" s="302">
        <f t="shared" si="9"/>
        <v>138476.20437499997</v>
      </c>
      <c r="AI32" s="302">
        <f t="shared" si="10"/>
        <v>144717.57999999996</v>
      </c>
      <c r="AJ32" s="302">
        <f t="shared" si="11"/>
        <v>228609.5</v>
      </c>
      <c r="AK32" s="302">
        <f t="shared" si="12"/>
        <v>228609.5</v>
      </c>
      <c r="AL32" s="302">
        <f t="shared" si="13"/>
        <v>300341.375</v>
      </c>
    </row>
    <row r="33" spans="1:38" ht="12" customHeight="1" x14ac:dyDescent="0.2">
      <c r="A33" s="300">
        <f t="shared" si="2"/>
        <v>438</v>
      </c>
      <c r="B33" s="300" t="s">
        <v>1457</v>
      </c>
      <c r="C33" s="300" t="s">
        <v>1458</v>
      </c>
      <c r="D33" s="300" t="s">
        <v>1459</v>
      </c>
      <c r="E33" s="301">
        <v>52870</v>
      </c>
      <c r="F33" s="332">
        <f t="shared" si="3"/>
        <v>2044</v>
      </c>
      <c r="G33" s="307">
        <v>514456.18329999998</v>
      </c>
      <c r="H33" s="308">
        <v>381990.81660000002</v>
      </c>
      <c r="I33" s="308">
        <v>242608.2</v>
      </c>
      <c r="J33" s="308">
        <v>242608.2</v>
      </c>
      <c r="K33" s="308">
        <v>242608.2</v>
      </c>
      <c r="L33" s="307">
        <f>SUMIF(envB2018!$R$2:$R$162,recap_Incmpres!$B33,envB2018!$I$2:$I$162)+SUMIF(Transferts2018_EnvB!$V$2:$V$82,recap_Incmpres!$B33,Transferts2018_EnvB!$W$2:$W$82)+SUMIF(Transferts2018_EnvB!$V$2:$V$82,recap_Incmpres!$B33,Transferts2018_EnvB!$X$2:$X$82)</f>
        <v>-59578.13</v>
      </c>
      <c r="M33" s="307">
        <f t="shared" si="4"/>
        <v>-689786.95454249997</v>
      </c>
      <c r="N33" s="307">
        <f t="shared" si="5"/>
        <v>-527516.88033499999</v>
      </c>
      <c r="O33" s="307">
        <f t="shared" si="6"/>
        <v>-356773.17500000005</v>
      </c>
      <c r="P33" s="307">
        <f t="shared" si="7"/>
        <v>-356773.17500000005</v>
      </c>
      <c r="Q33" s="307">
        <f t="shared" si="8"/>
        <v>-356773.17500000005</v>
      </c>
      <c r="R33" s="307">
        <f>SUMIF('Faculty Members_List'!$I$2:$I$256,recap_Incmpres!$A33,'Faculty Members_List'!BY$2:BY$256)</f>
        <v>628568</v>
      </c>
      <c r="S33" s="308">
        <f>SUMIF('Faculty Members_List'!$I$2:$I$256,recap_Incmpres!$A33,'Faculty Members_List'!BZ$2:BZ$256)</f>
        <v>721188</v>
      </c>
      <c r="T33" s="308">
        <f>SUMIF('Faculty Members_List'!$I$2:$I$256,recap_Incmpres!$A33,'Faculty Members_List'!CA$2:CA$256)</f>
        <v>721188</v>
      </c>
      <c r="U33" s="308">
        <f>SUMIF('Faculty Members_List'!$I$2:$I$256,recap_Incmpres!$A33,'Faculty Members_List'!CB$2:CB$256)</f>
        <v>721188</v>
      </c>
      <c r="V33" s="308">
        <f>SUMIF('Faculty Members_List'!$I$2:$I$256,recap_Incmpres!$A33,'Faculty Members_List'!CC$2:CC$256)</f>
        <v>721188</v>
      </c>
      <c r="W33" s="301" t="str">
        <f>IF(SUMIF('Faculty Members_List'!$I$2:$I$256,recap_Incmpres!$A33,'Faculty Members_List'!T$2:T$256)=0,"",SUMIF('Faculty Members_List'!$I$2:$I$256,recap_Incmpres!$A33,'Faculty Members_List'!T$2:T$256)-1)</f>
        <v/>
      </c>
      <c r="X33" s="308">
        <f>SUMIF('Faculty Members_List'!$I$2:$I$256,recap_Incmpres!$A33,'Faculty Members_List'!S$2:S$256)</f>
        <v>0</v>
      </c>
      <c r="Y33" s="302">
        <f t="shared" si="14"/>
        <v>0</v>
      </c>
      <c r="Z33" s="302">
        <f t="shared" si="14"/>
        <v>0</v>
      </c>
      <c r="AA33" s="302">
        <f t="shared" si="14"/>
        <v>0</v>
      </c>
      <c r="AB33" s="302">
        <f t="shared" si="14"/>
        <v>0</v>
      </c>
      <c r="AE33" s="300" t="s">
        <v>1457</v>
      </c>
      <c r="AF33" s="300" t="s">
        <v>1458</v>
      </c>
      <c r="AG33" s="300" t="s">
        <v>1459</v>
      </c>
      <c r="AH33" s="302">
        <f t="shared" si="9"/>
        <v>-61218.954542499967</v>
      </c>
      <c r="AI33" s="302">
        <f t="shared" si="10"/>
        <v>193671.11966500001</v>
      </c>
      <c r="AJ33" s="302">
        <f t="shared" si="11"/>
        <v>364414.82499999995</v>
      </c>
      <c r="AK33" s="302">
        <f t="shared" si="12"/>
        <v>364414.82499999995</v>
      </c>
      <c r="AL33" s="302">
        <f t="shared" si="13"/>
        <v>364414.82499999995</v>
      </c>
    </row>
    <row r="34" spans="1:38" ht="12" customHeight="1" x14ac:dyDescent="0.2">
      <c r="A34" s="300">
        <f t="shared" si="2"/>
        <v>439</v>
      </c>
      <c r="B34" s="300" t="s">
        <v>1460</v>
      </c>
      <c r="C34" s="300" t="s">
        <v>1461</v>
      </c>
      <c r="D34" s="300" t="s">
        <v>1462</v>
      </c>
      <c r="E34" s="301">
        <v>51409</v>
      </c>
      <c r="F34" s="332">
        <f t="shared" si="3"/>
        <v>2040</v>
      </c>
      <c r="G34" s="307">
        <v>565167.78330000001</v>
      </c>
      <c r="H34" s="308">
        <v>307445.09999999998</v>
      </c>
      <c r="I34" s="308">
        <v>280473</v>
      </c>
      <c r="J34" s="308">
        <v>280473</v>
      </c>
      <c r="K34" s="308">
        <v>280473</v>
      </c>
      <c r="L34" s="307">
        <f>SUMIF(envB2018!$R$2:$R$162,recap_Incmpres!$B34,envB2018!$I$2:$I$162)+SUMIF(Transferts2018_EnvB!$V$2:$V$82,recap_Incmpres!$B34,Transferts2018_EnvB!$W$2:$W$82)+SUMIF(Transferts2018_EnvB!$V$2:$V$82,recap_Incmpres!$B34,Transferts2018_EnvB!$X$2:$X$82)</f>
        <v>-45747.73</v>
      </c>
      <c r="M34" s="307">
        <f t="shared" si="4"/>
        <v>-738078.26454250002</v>
      </c>
      <c r="N34" s="307">
        <f t="shared" si="5"/>
        <v>-422367.97749999998</v>
      </c>
      <c r="O34" s="307">
        <f t="shared" si="6"/>
        <v>-389327.15500000003</v>
      </c>
      <c r="P34" s="307">
        <f t="shared" si="7"/>
        <v>-389327.15500000003</v>
      </c>
      <c r="Q34" s="307">
        <f t="shared" si="8"/>
        <v>-389327.15500000003</v>
      </c>
      <c r="R34" s="307">
        <f>SUMIF('Faculty Members_List'!$I$2:$I$256,recap_Incmpres!$A34,'Faculty Members_List'!BY$2:BY$256)</f>
        <v>673268</v>
      </c>
      <c r="S34" s="308">
        <f>SUMIF('Faculty Members_List'!$I$2:$I$256,recap_Incmpres!$A34,'Faculty Members_List'!BZ$2:BZ$256)</f>
        <v>721188</v>
      </c>
      <c r="T34" s="308">
        <f>SUMIF('Faculty Members_List'!$I$2:$I$256,recap_Incmpres!$A34,'Faculty Members_List'!CA$2:CA$256)</f>
        <v>721188</v>
      </c>
      <c r="U34" s="308">
        <f>SUMIF('Faculty Members_List'!$I$2:$I$256,recap_Incmpres!$A34,'Faculty Members_List'!CB$2:CB$256)</f>
        <v>721188</v>
      </c>
      <c r="V34" s="308">
        <f>SUMIF('Faculty Members_List'!$I$2:$I$256,recap_Incmpres!$A34,'Faculty Members_List'!CC$2:CC$256)</f>
        <v>721188</v>
      </c>
      <c r="W34" s="301" t="str">
        <f>IF(SUMIF('Faculty Members_List'!$I$2:$I$256,recap_Incmpres!$A34,'Faculty Members_List'!T$2:T$256)=0,"",SUMIF('Faculty Members_List'!$I$2:$I$256,recap_Incmpres!$A34,'Faculty Members_List'!T$2:T$256)-1)</f>
        <v/>
      </c>
      <c r="X34" s="308">
        <f>SUMIF('Faculty Members_List'!$I$2:$I$256,recap_Incmpres!$A34,'Faculty Members_List'!S$2:S$256)</f>
        <v>0</v>
      </c>
      <c r="Y34" s="302">
        <f t="shared" si="14"/>
        <v>0</v>
      </c>
      <c r="Z34" s="302">
        <f t="shared" si="14"/>
        <v>0</v>
      </c>
      <c r="AA34" s="302">
        <f t="shared" si="14"/>
        <v>0</v>
      </c>
      <c r="AB34" s="302">
        <f t="shared" si="14"/>
        <v>0</v>
      </c>
      <c r="AE34" s="300" t="s">
        <v>1460</v>
      </c>
      <c r="AF34" s="300" t="s">
        <v>1461</v>
      </c>
      <c r="AG34" s="300" t="s">
        <v>1462</v>
      </c>
      <c r="AH34" s="302">
        <f t="shared" si="9"/>
        <v>-64810.264542500023</v>
      </c>
      <c r="AI34" s="302">
        <f t="shared" si="10"/>
        <v>298820.02250000002</v>
      </c>
      <c r="AJ34" s="302">
        <f t="shared" si="11"/>
        <v>331860.84499999997</v>
      </c>
      <c r="AK34" s="302">
        <f t="shared" si="12"/>
        <v>331860.84499999997</v>
      </c>
      <c r="AL34" s="302">
        <f t="shared" si="13"/>
        <v>331860.84499999997</v>
      </c>
    </row>
    <row r="35" spans="1:38" ht="12" customHeight="1" x14ac:dyDescent="0.2">
      <c r="A35" s="300">
        <f t="shared" si="2"/>
        <v>442</v>
      </c>
      <c r="B35" s="300" t="s">
        <v>1463</v>
      </c>
      <c r="C35" s="300" t="s">
        <v>1464</v>
      </c>
      <c r="D35" s="300" t="s">
        <v>1465</v>
      </c>
      <c r="E35" s="301">
        <v>50586</v>
      </c>
      <c r="F35" s="332">
        <f t="shared" si="3"/>
        <v>2038</v>
      </c>
      <c r="G35" s="307">
        <v>490896.95</v>
      </c>
      <c r="H35" s="308">
        <v>478249.70039999997</v>
      </c>
      <c r="I35" s="308">
        <v>478249.70039999997</v>
      </c>
      <c r="J35" s="308">
        <v>430070.1336</v>
      </c>
      <c r="K35" s="308">
        <v>382225</v>
      </c>
      <c r="L35" s="307">
        <f>SUMIF(envB2018!$R$2:$R$162,recap_Incmpres!$B35,envB2018!$I$2:$I$162)+SUMIF(Transferts2018_EnvB!$V$2:$V$82,recap_Incmpres!$B35,Transferts2018_EnvB!$W$2:$W$82)+SUMIF(Transferts2018_EnvB!$V$2:$V$82,recap_Incmpres!$B35,Transferts2018_EnvB!$X$2:$X$82)</f>
        <v>-321590.69</v>
      </c>
      <c r="M35" s="307">
        <f t="shared" si="4"/>
        <v>-922939.4537500001</v>
      </c>
      <c r="N35" s="307">
        <f t="shared" si="5"/>
        <v>-907446.57299000002</v>
      </c>
      <c r="O35" s="307">
        <f t="shared" si="6"/>
        <v>-907446.57299000002</v>
      </c>
      <c r="P35" s="307">
        <f t="shared" si="7"/>
        <v>-848426.60366000002</v>
      </c>
      <c r="Q35" s="307">
        <f t="shared" si="8"/>
        <v>-789816.31500000006</v>
      </c>
      <c r="R35" s="307">
        <f>SUMIF('Faculty Members_List'!$I$2:$I$256,recap_Incmpres!$A35,'Faculty Members_List'!BY$2:BY$256)</f>
        <v>922882.75</v>
      </c>
      <c r="S35" s="308">
        <f>SUMIF('Faculty Members_List'!$I$2:$I$256,recap_Incmpres!$A35,'Faculty Members_List'!BZ$2:BZ$256)</f>
        <v>978720.25</v>
      </c>
      <c r="T35" s="308">
        <f>SUMIF('Faculty Members_List'!$I$2:$I$256,recap_Incmpres!$A35,'Faculty Members_List'!CA$2:CA$256)</f>
        <v>1000375</v>
      </c>
      <c r="U35" s="308">
        <f>SUMIF('Faculty Members_List'!$I$2:$I$256,recap_Incmpres!$A35,'Faculty Members_List'!CB$2:CB$256)</f>
        <v>1000375</v>
      </c>
      <c r="V35" s="308">
        <f>SUMIF('Faculty Members_List'!$I$2:$I$256,recap_Incmpres!$A35,'Faculty Members_List'!CC$2:CC$256)</f>
        <v>1000375</v>
      </c>
      <c r="W35" s="301" t="str">
        <f>IF(SUMIF('Faculty Members_List'!$I$2:$I$256,recap_Incmpres!$A35,'Faculty Members_List'!T$2:T$256)=0,"",SUMIF('Faculty Members_List'!$I$2:$I$256,recap_Incmpres!$A35,'Faculty Members_List'!T$2:T$256)-1)</f>
        <v/>
      </c>
      <c r="X35" s="308">
        <f>SUMIF('Faculty Members_List'!$I$2:$I$256,recap_Incmpres!$A35,'Faculty Members_List'!S$2:S$256)</f>
        <v>0</v>
      </c>
      <c r="Y35" s="302">
        <f t="shared" si="14"/>
        <v>0</v>
      </c>
      <c r="Z35" s="302">
        <f t="shared" si="14"/>
        <v>0</v>
      </c>
      <c r="AA35" s="302">
        <f t="shared" si="14"/>
        <v>0</v>
      </c>
      <c r="AB35" s="302">
        <f t="shared" si="14"/>
        <v>0</v>
      </c>
      <c r="AE35" s="300" t="s">
        <v>1463</v>
      </c>
      <c r="AF35" s="300" t="s">
        <v>1464</v>
      </c>
      <c r="AG35" s="300" t="s">
        <v>1465</v>
      </c>
      <c r="AH35" s="302">
        <f t="shared" si="9"/>
        <v>-56.703750000102445</v>
      </c>
      <c r="AI35" s="302">
        <f t="shared" si="10"/>
        <v>71273.677009999985</v>
      </c>
      <c r="AJ35" s="302">
        <f t="shared" si="11"/>
        <v>92928.427009999985</v>
      </c>
      <c r="AK35" s="302">
        <f t="shared" si="12"/>
        <v>151948.39633999998</v>
      </c>
      <c r="AL35" s="302">
        <f t="shared" si="13"/>
        <v>210558.68499999994</v>
      </c>
    </row>
    <row r="36" spans="1:38" ht="12" customHeight="1" x14ac:dyDescent="0.2">
      <c r="A36" s="300">
        <f t="shared" si="2"/>
        <v>446</v>
      </c>
      <c r="B36" s="300" t="s">
        <v>1466</v>
      </c>
      <c r="C36" s="300" t="s">
        <v>1467</v>
      </c>
      <c r="D36" s="300" t="s">
        <v>1468</v>
      </c>
      <c r="E36" s="301">
        <v>52321</v>
      </c>
      <c r="F36" s="332">
        <f t="shared" si="3"/>
        <v>2043</v>
      </c>
      <c r="G36" s="307">
        <v>492093.45</v>
      </c>
      <c r="H36" s="308">
        <v>469114.2</v>
      </c>
      <c r="I36" s="308">
        <v>420260.25</v>
      </c>
      <c r="J36" s="308">
        <v>362531.4</v>
      </c>
      <c r="K36" s="308">
        <v>362531.4</v>
      </c>
      <c r="L36" s="307">
        <f>SUMIF(envB2018!$R$2:$R$162,recap_Incmpres!$B36,envB2018!$I$2:$I$162)+SUMIF(Transferts2018_EnvB!$V$2:$V$82,recap_Incmpres!$B36,Transferts2018_EnvB!$W$2:$W$82)+SUMIF(Transferts2018_EnvB!$V$2:$V$82,recap_Incmpres!$B36,Transferts2018_EnvB!$X$2:$X$82)</f>
        <v>-50479.65</v>
      </c>
      <c r="M36" s="307">
        <f t="shared" si="4"/>
        <v>-653294.12625000009</v>
      </c>
      <c r="N36" s="307">
        <f t="shared" si="5"/>
        <v>-625144.54500000004</v>
      </c>
      <c r="O36" s="307">
        <f t="shared" si="6"/>
        <v>-565298.45625000005</v>
      </c>
      <c r="P36" s="307">
        <f t="shared" si="7"/>
        <v>-494580.61500000011</v>
      </c>
      <c r="Q36" s="307">
        <f t="shared" si="8"/>
        <v>-494580.61500000011</v>
      </c>
      <c r="R36" s="307">
        <f>SUMIF('Faculty Members_List'!$I$2:$I$256,recap_Incmpres!$A36,'Faculty Members_List'!BY$2:BY$256)</f>
        <v>655322</v>
      </c>
      <c r="S36" s="308">
        <f>SUMIF('Faculty Members_List'!$I$2:$I$256,recap_Incmpres!$A36,'Faculty Members_List'!BZ$2:BZ$256)</f>
        <v>671788.5</v>
      </c>
      <c r="T36" s="308">
        <f>SUMIF('Faculty Members_List'!$I$2:$I$256,recap_Incmpres!$A36,'Faculty Members_List'!CA$2:CA$256)</f>
        <v>671788.5</v>
      </c>
      <c r="U36" s="308">
        <f>SUMIF('Faculty Members_List'!$I$2:$I$256,recap_Incmpres!$A36,'Faculty Members_List'!CB$2:CB$256)</f>
        <v>671788.5</v>
      </c>
      <c r="V36" s="308">
        <f>SUMIF('Faculty Members_List'!$I$2:$I$256,recap_Incmpres!$A36,'Faculty Members_List'!CC$2:CC$256)</f>
        <v>671788.5</v>
      </c>
      <c r="W36" s="301" t="str">
        <f>IF(SUMIF('Faculty Members_List'!$I$2:$I$256,recap_Incmpres!$A36,'Faculty Members_List'!T$2:T$256)=0,"",SUMIF('Faculty Members_List'!$I$2:$I$256,recap_Incmpres!$A36,'Faculty Members_List'!T$2:T$256)-1)</f>
        <v/>
      </c>
      <c r="X36" s="308">
        <f>SUMIF('Faculty Members_List'!$I$2:$I$256,recap_Incmpres!$A36,'Faculty Members_List'!S$2:S$256)</f>
        <v>0</v>
      </c>
      <c r="Y36" s="302">
        <f t="shared" si="14"/>
        <v>0</v>
      </c>
      <c r="Z36" s="302">
        <f t="shared" si="14"/>
        <v>0</v>
      </c>
      <c r="AA36" s="302">
        <f t="shared" si="14"/>
        <v>0</v>
      </c>
      <c r="AB36" s="302">
        <f t="shared" si="14"/>
        <v>0</v>
      </c>
      <c r="AE36" s="300" t="s">
        <v>1466</v>
      </c>
      <c r="AF36" s="300" t="s">
        <v>1467</v>
      </c>
      <c r="AG36" s="300" t="s">
        <v>1468</v>
      </c>
      <c r="AH36" s="302">
        <f t="shared" si="9"/>
        <v>2027.8737499999115</v>
      </c>
      <c r="AI36" s="302">
        <f t="shared" si="10"/>
        <v>46643.954999999958</v>
      </c>
      <c r="AJ36" s="302">
        <f t="shared" si="11"/>
        <v>106490.04374999995</v>
      </c>
      <c r="AK36" s="302">
        <f t="shared" si="12"/>
        <v>177207.88499999989</v>
      </c>
      <c r="AL36" s="302">
        <f t="shared" si="13"/>
        <v>177207.88499999989</v>
      </c>
    </row>
    <row r="37" spans="1:38" ht="12" customHeight="1" x14ac:dyDescent="0.2">
      <c r="A37" s="300">
        <f t="shared" si="2"/>
        <v>449</v>
      </c>
      <c r="B37" s="300" t="s">
        <v>1469</v>
      </c>
      <c r="C37" s="300" t="s">
        <v>1470</v>
      </c>
      <c r="D37" s="300" t="s">
        <v>1471</v>
      </c>
      <c r="E37" s="301">
        <v>55884</v>
      </c>
      <c r="F37" s="332">
        <f t="shared" si="3"/>
        <v>2052</v>
      </c>
      <c r="G37" s="307">
        <v>354165.57079999999</v>
      </c>
      <c r="H37" s="308">
        <v>280398.09210000001</v>
      </c>
      <c r="I37" s="308">
        <v>255469.40040000001</v>
      </c>
      <c r="J37" s="308">
        <v>255469.40040000001</v>
      </c>
      <c r="K37" s="308">
        <v>238202.73360000001</v>
      </c>
      <c r="L37" s="307">
        <f>SUMIF(envB2018!$R$2:$R$162,recap_Incmpres!$B37,envB2018!$I$2:$I$162)+SUMIF(Transferts2018_EnvB!$V$2:$V$82,recap_Incmpres!$B37,Transferts2018_EnvB!$W$2:$W$82)+SUMIF(Transferts2018_EnvB!$V$2:$V$82,recap_Incmpres!$B37,Transferts2018_EnvB!$X$2:$X$82)</f>
        <v>-56553.68</v>
      </c>
      <c r="M37" s="307">
        <f t="shared" si="4"/>
        <v>-490406.50423000002</v>
      </c>
      <c r="N37" s="307">
        <f t="shared" si="5"/>
        <v>-400041.34282250004</v>
      </c>
      <c r="O37" s="307">
        <f t="shared" si="6"/>
        <v>-369503.69549000001</v>
      </c>
      <c r="P37" s="307">
        <f t="shared" si="7"/>
        <v>-369503.69549000001</v>
      </c>
      <c r="Q37" s="307">
        <f t="shared" si="8"/>
        <v>-348352.02866000001</v>
      </c>
      <c r="R37" s="307">
        <f>SUMIF('Faculty Members_List'!$I$2:$I$256,recap_Incmpres!$A37,'Faculty Members_List'!BY$2:BY$256)</f>
        <v>445136</v>
      </c>
      <c r="S37" s="308">
        <f>SUMIF('Faculty Members_List'!$I$2:$I$256,recap_Incmpres!$A37,'Faculty Members_List'!BZ$2:BZ$256)</f>
        <v>512511</v>
      </c>
      <c r="T37" s="308">
        <f>SUMIF('Faculty Members_List'!$I$2:$I$256,recap_Incmpres!$A37,'Faculty Members_List'!CA$2:CA$256)</f>
        <v>512511</v>
      </c>
      <c r="U37" s="308">
        <f>SUMIF('Faculty Members_List'!$I$2:$I$256,recap_Incmpres!$A37,'Faculty Members_List'!CB$2:CB$256)</f>
        <v>512511</v>
      </c>
      <c r="V37" s="308">
        <f>SUMIF('Faculty Members_List'!$I$2:$I$256,recap_Incmpres!$A37,'Faculty Members_List'!CC$2:CC$256)</f>
        <v>564680.25</v>
      </c>
      <c r="W37" s="301" t="str">
        <f>IF(SUMIF('Faculty Members_List'!$I$2:$I$256,recap_Incmpres!$A37,'Faculty Members_List'!T$2:T$256)=0,"",SUMIF('Faculty Members_List'!$I$2:$I$256,recap_Incmpres!$A37,'Faculty Members_List'!T$2:T$256)-1)</f>
        <v/>
      </c>
      <c r="X37" s="308">
        <f>SUMIF('Faculty Members_List'!$I$2:$I$256,recap_Incmpres!$A37,'Faculty Members_List'!S$2:S$256)</f>
        <v>0</v>
      </c>
      <c r="Y37" s="302">
        <f t="shared" si="14"/>
        <v>0</v>
      </c>
      <c r="Z37" s="302">
        <f t="shared" si="14"/>
        <v>0</v>
      </c>
      <c r="AA37" s="302">
        <f t="shared" si="14"/>
        <v>0</v>
      </c>
      <c r="AB37" s="302">
        <f t="shared" si="14"/>
        <v>0</v>
      </c>
      <c r="AE37" s="300" t="s">
        <v>1469</v>
      </c>
      <c r="AF37" s="300" t="s">
        <v>1470</v>
      </c>
      <c r="AG37" s="300" t="s">
        <v>1471</v>
      </c>
      <c r="AH37" s="302">
        <f t="shared" si="9"/>
        <v>-45270.50423000002</v>
      </c>
      <c r="AI37" s="302">
        <f t="shared" si="10"/>
        <v>112469.65717749996</v>
      </c>
      <c r="AJ37" s="302">
        <f t="shared" si="11"/>
        <v>143007.30450999999</v>
      </c>
      <c r="AK37" s="302">
        <f t="shared" si="12"/>
        <v>143007.30450999999</v>
      </c>
      <c r="AL37" s="302">
        <f t="shared" si="13"/>
        <v>216328.22133999999</v>
      </c>
    </row>
    <row r="38" spans="1:38" ht="12" customHeight="1" x14ac:dyDescent="0.2">
      <c r="A38" s="300">
        <f t="shared" si="2"/>
        <v>808</v>
      </c>
      <c r="B38" s="300" t="s">
        <v>1472</v>
      </c>
      <c r="C38" s="300" t="s">
        <v>1473</v>
      </c>
      <c r="D38" s="300" t="s">
        <v>1474</v>
      </c>
      <c r="E38" s="301">
        <v>50495</v>
      </c>
      <c r="F38" s="332">
        <f t="shared" si="3"/>
        <v>2038</v>
      </c>
      <c r="G38" s="307">
        <v>750322.84</v>
      </c>
      <c r="H38" s="308">
        <v>559533.39989999996</v>
      </c>
      <c r="I38" s="308">
        <v>538883.4</v>
      </c>
      <c r="J38" s="308">
        <v>538883.4</v>
      </c>
      <c r="K38" s="308">
        <v>538883.4</v>
      </c>
      <c r="L38" s="307">
        <f>SUMIF(envB2018!$R$2:$R$162,recap_Incmpres!$B38,envB2018!$I$2:$I$162)+SUMIF(Transferts2018_EnvB!$V$2:$V$82,recap_Incmpres!$B38,Transferts2018_EnvB!$W$2:$W$82)+SUMIF(Transferts2018_EnvB!$V$2:$V$82,recap_Incmpres!$B38,Transferts2018_EnvB!$X$2:$X$82)</f>
        <v>-158232.26</v>
      </c>
      <c r="M38" s="307">
        <f t="shared" si="4"/>
        <v>-1077377.7390000001</v>
      </c>
      <c r="N38" s="307">
        <f t="shared" si="5"/>
        <v>-843660.67487750005</v>
      </c>
      <c r="O38" s="307">
        <f t="shared" si="6"/>
        <v>-818364.42500000005</v>
      </c>
      <c r="P38" s="307">
        <f t="shared" si="7"/>
        <v>-818364.42500000005</v>
      </c>
      <c r="Q38" s="307">
        <f t="shared" si="8"/>
        <v>-818364.42500000005</v>
      </c>
      <c r="R38" s="307">
        <f>SUMIF('Faculty Members_List'!$I$2:$I$256,recap_Incmpres!$A38,'Faculty Members_List'!BY$2:BY$256)</f>
        <v>1061041</v>
      </c>
      <c r="S38" s="308">
        <f>SUMIF('Faculty Members_List'!$I$2:$I$256,recap_Incmpres!$A38,'Faculty Members_List'!BZ$2:BZ$256)</f>
        <v>1000375</v>
      </c>
      <c r="T38" s="308">
        <f>SUMIF('Faculty Members_List'!$I$2:$I$256,recap_Incmpres!$A38,'Faculty Members_List'!CA$2:CA$256)</f>
        <v>1000375</v>
      </c>
      <c r="U38" s="308">
        <f>SUMIF('Faculty Members_List'!$I$2:$I$256,recap_Incmpres!$A38,'Faculty Members_List'!CB$2:CB$256)</f>
        <v>1000375</v>
      </c>
      <c r="V38" s="308">
        <f>SUMIF('Faculty Members_List'!$I$2:$I$256,recap_Incmpres!$A38,'Faculty Members_List'!CC$2:CC$256)</f>
        <v>1000375</v>
      </c>
      <c r="W38" s="301" t="str">
        <f>IF(SUMIF('Faculty Members_List'!$I$2:$I$256,recap_Incmpres!$A38,'Faculty Members_List'!T$2:T$256)=0,"",SUMIF('Faculty Members_List'!$I$2:$I$256,recap_Incmpres!$A38,'Faculty Members_List'!T$2:T$256)-1)</f>
        <v/>
      </c>
      <c r="X38" s="308">
        <f>SUMIF('Faculty Members_List'!$I$2:$I$256,recap_Incmpres!$A38,'Faculty Members_List'!S$2:S$256)</f>
        <v>0</v>
      </c>
      <c r="Y38" s="302">
        <f t="shared" si="14"/>
        <v>0</v>
      </c>
      <c r="Z38" s="302">
        <f t="shared" si="14"/>
        <v>0</v>
      </c>
      <c r="AA38" s="302">
        <f t="shared" si="14"/>
        <v>0</v>
      </c>
      <c r="AB38" s="302">
        <f t="shared" si="14"/>
        <v>0</v>
      </c>
      <c r="AE38" s="300" t="s">
        <v>1472</v>
      </c>
      <c r="AF38" s="300" t="s">
        <v>1473</v>
      </c>
      <c r="AG38" s="300" t="s">
        <v>1474</v>
      </c>
      <c r="AH38" s="302">
        <f t="shared" si="9"/>
        <v>-16336.73900000006</v>
      </c>
      <c r="AI38" s="302">
        <f t="shared" si="10"/>
        <v>156714.32512249995</v>
      </c>
      <c r="AJ38" s="302">
        <f t="shared" si="11"/>
        <v>182010.57499999995</v>
      </c>
      <c r="AK38" s="302">
        <f t="shared" si="12"/>
        <v>182010.57499999995</v>
      </c>
      <c r="AL38" s="302">
        <f t="shared" si="13"/>
        <v>182010.57499999995</v>
      </c>
    </row>
    <row r="39" spans="1:38" ht="12" customHeight="1" x14ac:dyDescent="0.2">
      <c r="A39" s="300">
        <f t="shared" si="2"/>
        <v>813</v>
      </c>
      <c r="B39" s="300" t="s">
        <v>1475</v>
      </c>
      <c r="C39" s="300" t="s">
        <v>1476</v>
      </c>
      <c r="D39" s="300" t="s">
        <v>1477</v>
      </c>
      <c r="E39" s="301">
        <v>49948</v>
      </c>
      <c r="F39" s="332">
        <f t="shared" si="3"/>
        <v>2036</v>
      </c>
      <c r="G39" s="307">
        <v>555705.15</v>
      </c>
      <c r="H39" s="308">
        <v>509428.8</v>
      </c>
      <c r="I39" s="308">
        <v>509428.8</v>
      </c>
      <c r="J39" s="308">
        <v>509428.8</v>
      </c>
      <c r="K39" s="308">
        <v>509428.8</v>
      </c>
      <c r="L39" s="307">
        <f>SUMIF(envB2018!$R$2:$R$162,recap_Incmpres!$B39,envB2018!$I$2:$I$162)+SUMIF(Transferts2018_EnvB!$V$2:$V$82,recap_Incmpres!$B39,Transferts2018_EnvB!$W$2:$W$82)+SUMIF(Transferts2018_EnvB!$V$2:$V$82,recap_Incmpres!$B39,Transferts2018_EnvB!$X$2:$X$82)</f>
        <v>-106711.24</v>
      </c>
      <c r="M39" s="307">
        <f t="shared" si="4"/>
        <v>-787450.04875000007</v>
      </c>
      <c r="N39" s="307">
        <f t="shared" si="5"/>
        <v>-730761.52</v>
      </c>
      <c r="O39" s="307">
        <f t="shared" si="6"/>
        <v>-730761.52</v>
      </c>
      <c r="P39" s="307">
        <f t="shared" si="7"/>
        <v>-730761.52</v>
      </c>
      <c r="Q39" s="307">
        <f t="shared" si="8"/>
        <v>-730761.52</v>
      </c>
      <c r="R39" s="307">
        <f>SUMIF('Faculty Members_List'!$I$2:$I$256,recap_Incmpres!$A39,'Faculty Members_List'!BY$2:BY$256)</f>
        <v>318811.15000000002</v>
      </c>
      <c r="S39" s="308">
        <f>SUMIF('Faculty Members_List'!$I$2:$I$256,recap_Incmpres!$A39,'Faculty Members_List'!BZ$2:BZ$256)</f>
        <v>332770.52500000002</v>
      </c>
      <c r="T39" s="308">
        <f>SUMIF('Faculty Members_List'!$I$2:$I$256,recap_Incmpres!$A39,'Faculty Members_List'!CA$2:CA$256)</f>
        <v>388608.02500000002</v>
      </c>
      <c r="U39" s="308">
        <f>SUMIF('Faculty Members_List'!$I$2:$I$256,recap_Incmpres!$A39,'Faculty Members_List'!CB$2:CB$256)</f>
        <v>444445.52500000002</v>
      </c>
      <c r="V39" s="308">
        <f>SUMIF('Faculty Members_List'!$I$2:$I$256,recap_Incmpres!$A39,'Faculty Members_List'!CC$2:CC$256)</f>
        <v>500283.02500000002</v>
      </c>
      <c r="W39" s="301">
        <f>IF(SUMIF('Faculty Members_List'!$I$2:$I$256,recap_Incmpres!$A39,'Faculty Members_List'!T$2:T$256)=0,"",SUMIF('Faculty Members_List'!$I$2:$I$256,recap_Incmpres!$A39,'Faculty Members_List'!T$2:T$256)-1)</f>
        <v>45351</v>
      </c>
      <c r="X39" s="308">
        <f>SUMIF('Faculty Members_List'!$I$2:$I$256,recap_Incmpres!$A39,'Faculty Members_List'!S$2:S$256)</f>
        <v>500000</v>
      </c>
      <c r="Y39" s="316">
        <f t="shared" si="14"/>
        <v>500000</v>
      </c>
      <c r="Z39" s="316">
        <f t="shared" si="14"/>
        <v>500000</v>
      </c>
      <c r="AA39" s="316">
        <f t="shared" si="14"/>
        <v>500000</v>
      </c>
      <c r="AB39" s="316">
        <f t="shared" si="14"/>
        <v>500000</v>
      </c>
      <c r="AC39" s="300">
        <v>-4093</v>
      </c>
      <c r="AE39" s="300" t="s">
        <v>1475</v>
      </c>
      <c r="AF39" s="300" t="s">
        <v>1476</v>
      </c>
      <c r="AG39" s="300" t="s">
        <v>1477</v>
      </c>
      <c r="AH39" s="302">
        <f t="shared" si="9"/>
        <v>26347.176249999902</v>
      </c>
      <c r="AI39" s="302">
        <f t="shared" si="10"/>
        <v>96995.079999999958</v>
      </c>
      <c r="AJ39" s="302">
        <f t="shared" si="11"/>
        <v>152832.57999999996</v>
      </c>
      <c r="AK39" s="302">
        <f t="shared" si="12"/>
        <v>208670.07999999996</v>
      </c>
      <c r="AL39" s="302">
        <f t="shared" si="13"/>
        <v>264507.57999999996</v>
      </c>
    </row>
    <row r="40" spans="1:38" ht="12" customHeight="1" x14ac:dyDescent="0.2">
      <c r="A40" s="300">
        <f t="shared" si="2"/>
        <v>824</v>
      </c>
      <c r="B40" s="300" t="s">
        <v>1478</v>
      </c>
      <c r="C40" s="300" t="s">
        <v>1479</v>
      </c>
      <c r="D40" s="300" t="s">
        <v>1480</v>
      </c>
      <c r="E40" s="301">
        <v>50921</v>
      </c>
      <c r="F40" s="332">
        <f t="shared" si="3"/>
        <v>2039</v>
      </c>
      <c r="G40" s="307">
        <v>518574.28330000001</v>
      </c>
      <c r="H40" s="308">
        <v>431180.4</v>
      </c>
      <c r="I40" s="308">
        <v>431180.4</v>
      </c>
      <c r="J40" s="308">
        <v>431180.4</v>
      </c>
      <c r="K40" s="308">
        <v>431180.4</v>
      </c>
      <c r="L40" s="307">
        <f>SUMIF(envB2018!$R$2:$R$162,recap_Incmpres!$B40,envB2018!$I$2:$I$162)+SUMIF(Transferts2018_EnvB!$V$2:$V$82,recap_Incmpres!$B40,Transferts2018_EnvB!$W$2:$W$82)+SUMIF(Transferts2018_EnvB!$V$2:$V$82,recap_Incmpres!$B40,Transferts2018_EnvB!$X$2:$X$82)</f>
        <v>-170887.36</v>
      </c>
      <c r="M40" s="307">
        <f t="shared" si="4"/>
        <v>-806140.85704250005</v>
      </c>
      <c r="N40" s="307">
        <f t="shared" si="5"/>
        <v>-699083.35000000009</v>
      </c>
      <c r="O40" s="307">
        <f t="shared" si="6"/>
        <v>-699083.35000000009</v>
      </c>
      <c r="P40" s="307">
        <f t="shared" si="7"/>
        <v>-699083.35000000009</v>
      </c>
      <c r="Q40" s="307">
        <f t="shared" si="8"/>
        <v>-699083.35000000009</v>
      </c>
      <c r="R40" s="307">
        <f>SUMIF('Faculty Members_List'!$I$2:$I$256,recap_Incmpres!$A40,'Faculty Members_List'!BY$2:BY$256)</f>
        <v>745776</v>
      </c>
      <c r="S40" s="308">
        <f>SUMIF('Faculty Members_List'!$I$2:$I$256,recap_Incmpres!$A40,'Faculty Members_List'!BZ$2:BZ$256)</f>
        <v>801613.5</v>
      </c>
      <c r="T40" s="308">
        <f>SUMIF('Faculty Members_List'!$I$2:$I$256,recap_Incmpres!$A40,'Faculty Members_List'!CA$2:CA$256)</f>
        <v>857451</v>
      </c>
      <c r="U40" s="308">
        <f>SUMIF('Faculty Members_List'!$I$2:$I$256,recap_Incmpres!$A40,'Faculty Members_List'!CB$2:CB$256)</f>
        <v>913288.5</v>
      </c>
      <c r="V40" s="308">
        <f>SUMIF('Faculty Members_List'!$I$2:$I$256,recap_Incmpres!$A40,'Faculty Members_List'!CC$2:CC$256)</f>
        <v>969126</v>
      </c>
      <c r="W40" s="301" t="str">
        <f>IF(SUMIF('Faculty Members_List'!$I$2:$I$256,recap_Incmpres!$A40,'Faculty Members_List'!T$2:T$256)=0,"",SUMIF('Faculty Members_List'!$I$2:$I$256,recap_Incmpres!$A40,'Faculty Members_List'!T$2:T$256)-1)</f>
        <v/>
      </c>
      <c r="X40" s="308">
        <f>SUMIF('Faculty Members_List'!$I$2:$I$256,recap_Incmpres!$A40,'Faculty Members_List'!S$2:S$256)</f>
        <v>0</v>
      </c>
      <c r="Y40" s="302">
        <f t="shared" si="14"/>
        <v>0</v>
      </c>
      <c r="Z40" s="302">
        <f t="shared" si="14"/>
        <v>0</v>
      </c>
      <c r="AA40" s="302">
        <f t="shared" si="14"/>
        <v>0</v>
      </c>
      <c r="AB40" s="302">
        <f t="shared" si="14"/>
        <v>0</v>
      </c>
      <c r="AE40" s="300" t="s">
        <v>1478</v>
      </c>
      <c r="AF40" s="300" t="s">
        <v>1479</v>
      </c>
      <c r="AG40" s="300" t="s">
        <v>1480</v>
      </c>
      <c r="AH40" s="302">
        <f t="shared" si="9"/>
        <v>-60364.857042500051</v>
      </c>
      <c r="AI40" s="302">
        <f t="shared" si="10"/>
        <v>102530.14999999991</v>
      </c>
      <c r="AJ40" s="302">
        <f t="shared" si="11"/>
        <v>158367.64999999991</v>
      </c>
      <c r="AK40" s="302">
        <f t="shared" si="12"/>
        <v>214205.14999999991</v>
      </c>
      <c r="AL40" s="302">
        <f t="shared" si="13"/>
        <v>270042.64999999991</v>
      </c>
    </row>
    <row r="41" spans="1:38" ht="12" customHeight="1" x14ac:dyDescent="0.2">
      <c r="A41" s="300">
        <f t="shared" si="2"/>
        <v>825</v>
      </c>
      <c r="B41" s="300" t="s">
        <v>1481</v>
      </c>
      <c r="C41" s="300" t="s">
        <v>1482</v>
      </c>
      <c r="D41" s="300" t="s">
        <v>1483</v>
      </c>
      <c r="E41" s="301">
        <v>44865</v>
      </c>
      <c r="F41" s="332">
        <f t="shared" si="3"/>
        <v>2022</v>
      </c>
      <c r="G41" s="307">
        <v>704405</v>
      </c>
      <c r="H41" s="308">
        <v>531250.4</v>
      </c>
      <c r="I41" s="308">
        <v>516950.4</v>
      </c>
      <c r="J41" s="308">
        <v>426453.4</v>
      </c>
      <c r="K41" s="308">
        <v>0</v>
      </c>
      <c r="L41" s="307">
        <f>SUMIF(envB2018!$R$2:$R$162,recap_Incmpres!$B41,envB2018!$I$2:$I$162)+SUMIF(Transferts2018_EnvB!$V$2:$V$82,recap_Incmpres!$B41,Transferts2018_EnvB!$W$2:$W$82)+SUMIF(Transferts2018_EnvB!$V$2:$V$82,recap_Incmpres!$B41,Transferts2018_EnvB!$X$2:$X$82)</f>
        <v>-6897.3000000000029</v>
      </c>
      <c r="M41" s="307">
        <f t="shared" si="4"/>
        <v>-869793.42500000016</v>
      </c>
      <c r="N41" s="307">
        <f t="shared" si="5"/>
        <v>-657679.04000000015</v>
      </c>
      <c r="O41" s="307">
        <f t="shared" si="6"/>
        <v>-640161.54000000015</v>
      </c>
      <c r="P41" s="307">
        <f t="shared" si="7"/>
        <v>-528153.16500000015</v>
      </c>
      <c r="Q41" s="307">
        <f t="shared" si="8"/>
        <v>0</v>
      </c>
      <c r="R41" s="307">
        <f>SUMIF('Faculty Members_List'!$I$2:$I$256,recap_Incmpres!$A41,'Faculty Members_List'!BY$2:BY$256)</f>
        <v>1122029</v>
      </c>
      <c r="S41" s="308">
        <f>SUMIF('Faculty Members_List'!$I$2:$I$256,recap_Incmpres!$A41,'Faculty Members_List'!BZ$2:BZ$256)</f>
        <v>1000375</v>
      </c>
      <c r="T41" s="308">
        <f>SUMIF('Faculty Members_List'!$I$2:$I$256,recap_Incmpres!$A41,'Faculty Members_List'!CA$2:CA$256)</f>
        <v>1000375</v>
      </c>
      <c r="U41" s="308">
        <f>SUMIF('Faculty Members_List'!$I$2:$I$256,recap_Incmpres!$A41,'Faculty Members_List'!CB$2:CB$256)</f>
        <v>866742.96500000008</v>
      </c>
      <c r="V41" s="308">
        <f>SUMIF('Faculty Members_List'!$I$2:$I$256,recap_Incmpres!$A41,'Faculty Members_List'!CC$2:CC$256)</f>
        <v>198582.79</v>
      </c>
      <c r="W41" s="301" t="str">
        <f>IF(SUMIF('Faculty Members_List'!$I$2:$I$256,recap_Incmpres!$A41,'Faculty Members_List'!T$2:T$256)=0,"",SUMIF('Faculty Members_List'!$I$2:$I$256,recap_Incmpres!$A41,'Faculty Members_List'!T$2:T$256)-1)</f>
        <v/>
      </c>
      <c r="X41" s="308">
        <f>SUMIF('Faculty Members_List'!$I$2:$I$256,recap_Incmpres!$A41,'Faculty Members_List'!S$2:S$256)</f>
        <v>0</v>
      </c>
      <c r="Y41" s="302">
        <f t="shared" si="14"/>
        <v>0</v>
      </c>
      <c r="Z41" s="302">
        <f t="shared" si="14"/>
        <v>0</v>
      </c>
      <c r="AA41" s="302">
        <f t="shared" si="14"/>
        <v>0</v>
      </c>
      <c r="AB41" s="302">
        <f t="shared" si="14"/>
        <v>0</v>
      </c>
      <c r="AE41" s="300" t="s">
        <v>1481</v>
      </c>
      <c r="AF41" s="300" t="s">
        <v>1482</v>
      </c>
      <c r="AG41" s="300" t="s">
        <v>1483</v>
      </c>
      <c r="AH41" s="302">
        <f t="shared" si="9"/>
        <v>252235.57499999984</v>
      </c>
      <c r="AI41" s="302">
        <f t="shared" si="10"/>
        <v>342695.95999999985</v>
      </c>
      <c r="AJ41" s="302">
        <f t="shared" si="11"/>
        <v>360213.45999999985</v>
      </c>
      <c r="AK41" s="302">
        <f t="shared" si="12"/>
        <v>338589.79999999993</v>
      </c>
      <c r="AL41" s="302">
        <f t="shared" si="13"/>
        <v>198582.79</v>
      </c>
    </row>
    <row r="42" spans="1:38" ht="12" customHeight="1" x14ac:dyDescent="0.2">
      <c r="A42" s="300">
        <f t="shared" si="2"/>
        <v>826</v>
      </c>
      <c r="B42" s="300" t="s">
        <v>1484</v>
      </c>
      <c r="C42" s="300" t="s">
        <v>1485</v>
      </c>
      <c r="D42" s="300" t="s">
        <v>1486</v>
      </c>
      <c r="E42" s="301">
        <v>50344</v>
      </c>
      <c r="F42" s="332">
        <f t="shared" si="3"/>
        <v>2037</v>
      </c>
      <c r="G42" s="307">
        <v>742194.13329999999</v>
      </c>
      <c r="H42" s="308">
        <v>617980.66639999999</v>
      </c>
      <c r="I42" s="308">
        <v>513955.8</v>
      </c>
      <c r="J42" s="308">
        <v>513955.8</v>
      </c>
      <c r="K42" s="308">
        <v>462155.4</v>
      </c>
      <c r="L42" s="307">
        <f>SUMIF(envB2018!$R$2:$R$162,recap_Incmpres!$B42,envB2018!$I$2:$I$162)+SUMIF(Transferts2018_EnvB!$V$2:$V$82,recap_Incmpres!$B42,Transferts2018_EnvB!$W$2:$W$82)+SUMIF(Transferts2018_EnvB!$V$2:$V$82,recap_Incmpres!$B42,Transferts2018_EnvB!$X$2:$X$82)</f>
        <v>-4435.9400000000023</v>
      </c>
      <c r="M42" s="307">
        <f t="shared" si="4"/>
        <v>-913623.75329250004</v>
      </c>
      <c r="N42" s="307">
        <f t="shared" si="5"/>
        <v>-761462.25634000008</v>
      </c>
      <c r="O42" s="307">
        <f t="shared" si="6"/>
        <v>-634031.79499999993</v>
      </c>
      <c r="P42" s="307">
        <f t="shared" si="7"/>
        <v>-634031.79499999993</v>
      </c>
      <c r="Q42" s="307">
        <f t="shared" si="8"/>
        <v>-570576.30500000017</v>
      </c>
      <c r="R42" s="307">
        <f>SUMIF('Faculty Members_List'!$I$2:$I$256,recap_Incmpres!$A42,'Faculty Members_List'!BY$2:BY$256)</f>
        <v>856414.8</v>
      </c>
      <c r="S42" s="308">
        <f>SUMIF('Faculty Members_List'!$I$2:$I$256,recap_Incmpres!$A42,'Faculty Members_List'!BZ$2:BZ$256)</f>
        <v>811308.8</v>
      </c>
      <c r="T42" s="308">
        <f>SUMIF('Faculty Members_List'!$I$2:$I$256,recap_Incmpres!$A42,'Faculty Members_List'!CA$2:CA$256)</f>
        <v>811308.8</v>
      </c>
      <c r="U42" s="308">
        <f>SUMIF('Faculty Members_List'!$I$2:$I$256,recap_Incmpres!$A42,'Faculty Members_List'!CB$2:CB$256)</f>
        <v>811308.8</v>
      </c>
      <c r="V42" s="308">
        <f>SUMIF('Faculty Members_List'!$I$2:$I$256,recap_Incmpres!$A42,'Faculty Members_List'!CC$2:CC$256)</f>
        <v>867146.3</v>
      </c>
      <c r="W42" s="301" t="str">
        <f>IF(SUMIF('Faculty Members_List'!$I$2:$I$256,recap_Incmpres!$A42,'Faculty Members_List'!T$2:T$256)=0,"",SUMIF('Faculty Members_List'!$I$2:$I$256,recap_Incmpres!$A42,'Faculty Members_List'!T$2:T$256)-1)</f>
        <v/>
      </c>
      <c r="X42" s="308">
        <f>SUMIF('Faculty Members_List'!$I$2:$I$256,recap_Incmpres!$A42,'Faculty Members_List'!S$2:S$256)</f>
        <v>0</v>
      </c>
      <c r="Y42" s="302">
        <f t="shared" si="14"/>
        <v>0</v>
      </c>
      <c r="Z42" s="302">
        <f t="shared" si="14"/>
        <v>0</v>
      </c>
      <c r="AA42" s="302">
        <f t="shared" si="14"/>
        <v>0</v>
      </c>
      <c r="AB42" s="302">
        <f t="shared" si="14"/>
        <v>0</v>
      </c>
      <c r="AE42" s="300" t="s">
        <v>1484</v>
      </c>
      <c r="AF42" s="300" t="s">
        <v>1485</v>
      </c>
      <c r="AG42" s="300" t="s">
        <v>1486</v>
      </c>
      <c r="AH42" s="302">
        <f t="shared" si="9"/>
        <v>-57208.953292499995</v>
      </c>
      <c r="AI42" s="302">
        <f t="shared" si="10"/>
        <v>49846.543659999967</v>
      </c>
      <c r="AJ42" s="302">
        <f t="shared" si="11"/>
        <v>177277.00500000012</v>
      </c>
      <c r="AK42" s="302">
        <f t="shared" si="12"/>
        <v>177277.00500000012</v>
      </c>
      <c r="AL42" s="302">
        <f t="shared" si="13"/>
        <v>296569.99499999988</v>
      </c>
    </row>
    <row r="43" spans="1:38" ht="12" customHeight="1" x14ac:dyDescent="0.2">
      <c r="A43" s="300">
        <f t="shared" si="2"/>
        <v>828</v>
      </c>
      <c r="B43" s="300" t="s">
        <v>1487</v>
      </c>
      <c r="C43" s="300" t="s">
        <v>1488</v>
      </c>
      <c r="D43" s="300" t="s">
        <v>1489</v>
      </c>
      <c r="E43" s="301">
        <v>48182</v>
      </c>
      <c r="F43" s="332">
        <f t="shared" si="3"/>
        <v>2031</v>
      </c>
      <c r="G43" s="307">
        <v>778752.1</v>
      </c>
      <c r="H43" s="308">
        <v>667273.80000000005</v>
      </c>
      <c r="I43" s="308">
        <v>484755</v>
      </c>
      <c r="J43" s="308">
        <v>461062.05</v>
      </c>
      <c r="K43" s="308">
        <v>392614.40000000002</v>
      </c>
      <c r="L43" s="307">
        <f>SUMIF(envB2018!$R$2:$R$162,recap_Incmpres!$B43,envB2018!$I$2:$I$162)+SUMIF(Transferts2018_EnvB!$V$2:$V$82,recap_Incmpres!$B43,Transferts2018_EnvB!$W$2:$W$82)+SUMIF(Transferts2018_EnvB!$V$2:$V$82,recap_Incmpres!$B43,Transferts2018_EnvB!$X$2:$X$82)</f>
        <v>-94939.82</v>
      </c>
      <c r="M43" s="307">
        <f t="shared" si="4"/>
        <v>-1048911.1425000001</v>
      </c>
      <c r="N43" s="307">
        <f t="shared" si="5"/>
        <v>-912350.22500000009</v>
      </c>
      <c r="O43" s="307">
        <f t="shared" si="6"/>
        <v>-688764.69500000007</v>
      </c>
      <c r="P43" s="307">
        <f t="shared" si="7"/>
        <v>-659740.83125000005</v>
      </c>
      <c r="Q43" s="307">
        <f t="shared" si="8"/>
        <v>-575892.46000000008</v>
      </c>
      <c r="R43" s="307">
        <f>SUMIF('Faculty Members_List'!$I$2:$I$256,recap_Incmpres!$A43,'Faculty Members_List'!BY$2:BY$256)</f>
        <v>1074438.75</v>
      </c>
      <c r="S43" s="308">
        <f>SUMIF('Faculty Members_List'!$I$2:$I$256,recap_Incmpres!$A43,'Faculty Members_List'!BZ$2:BZ$256)</f>
        <v>1000375</v>
      </c>
      <c r="T43" s="308">
        <f>SUMIF('Faculty Members_List'!$I$2:$I$256,recap_Incmpres!$A43,'Faculty Members_List'!CA$2:CA$256)</f>
        <v>1000375</v>
      </c>
      <c r="U43" s="308">
        <f>SUMIF('Faculty Members_List'!$I$2:$I$256,recap_Incmpres!$A43,'Faculty Members_List'!CB$2:CB$256)</f>
        <v>1000375</v>
      </c>
      <c r="V43" s="308">
        <f>SUMIF('Faculty Members_List'!$I$2:$I$256,recap_Incmpres!$A43,'Faculty Members_List'!CC$2:CC$256)</f>
        <v>1000375</v>
      </c>
      <c r="W43" s="301" t="str">
        <f>IF(SUMIF('Faculty Members_List'!$I$2:$I$256,recap_Incmpres!$A43,'Faculty Members_List'!T$2:T$256)=0,"",SUMIF('Faculty Members_List'!$I$2:$I$256,recap_Incmpres!$A43,'Faculty Members_List'!T$2:T$256)-1)</f>
        <v/>
      </c>
      <c r="X43" s="308">
        <f>SUMIF('Faculty Members_List'!$I$2:$I$256,recap_Incmpres!$A43,'Faculty Members_List'!S$2:S$256)</f>
        <v>0</v>
      </c>
      <c r="Y43" s="302">
        <f t="shared" ref="Y43:AB62" si="15">IF(X43=0,0,IF(YEAR($W43)&gt;Y$2,X43,IF(YEAR($W43)=Y$2,X43*(MONTH($W43))/12,0)))</f>
        <v>0</v>
      </c>
      <c r="Z43" s="302">
        <f t="shared" si="15"/>
        <v>0</v>
      </c>
      <c r="AA43" s="302">
        <f t="shared" si="15"/>
        <v>0</v>
      </c>
      <c r="AB43" s="302">
        <f t="shared" si="15"/>
        <v>0</v>
      </c>
      <c r="AE43" s="300" t="s">
        <v>1487</v>
      </c>
      <c r="AF43" s="300" t="s">
        <v>1488</v>
      </c>
      <c r="AG43" s="300" t="s">
        <v>1489</v>
      </c>
      <c r="AH43" s="302">
        <f t="shared" si="9"/>
        <v>25527.607499999925</v>
      </c>
      <c r="AI43" s="302">
        <f t="shared" si="10"/>
        <v>88024.774999999907</v>
      </c>
      <c r="AJ43" s="302">
        <f t="shared" si="11"/>
        <v>311610.30499999993</v>
      </c>
      <c r="AK43" s="302">
        <f t="shared" si="12"/>
        <v>340634.16874999995</v>
      </c>
      <c r="AL43" s="302">
        <f t="shared" si="13"/>
        <v>424482.53999999992</v>
      </c>
    </row>
    <row r="44" spans="1:38" ht="12" customHeight="1" x14ac:dyDescent="0.2">
      <c r="A44" s="300">
        <f t="shared" si="2"/>
        <v>829</v>
      </c>
      <c r="B44" s="300" t="s">
        <v>1490</v>
      </c>
      <c r="C44" s="300" t="s">
        <v>1491</v>
      </c>
      <c r="D44" s="300" t="s">
        <v>1492</v>
      </c>
      <c r="E44" s="301">
        <v>44074</v>
      </c>
      <c r="F44" s="332">
        <f t="shared" si="3"/>
        <v>2020</v>
      </c>
      <c r="G44" s="307">
        <v>49429.8</v>
      </c>
      <c r="H44" s="308">
        <v>32953.199999999997</v>
      </c>
      <c r="I44" s="308">
        <v>0</v>
      </c>
      <c r="J44" s="308">
        <v>0</v>
      </c>
      <c r="K44" s="308">
        <v>0</v>
      </c>
      <c r="L44" s="307">
        <f>SUMIF(envB2018!$R$2:$R$162,recap_Incmpres!$B44,envB2018!$I$2:$I$162)+SUMIF(Transferts2018_EnvB!$V$2:$V$82,recap_Incmpres!$B44,Transferts2018_EnvB!$W$2:$W$82)+SUMIF(Transferts2018_EnvB!$V$2:$V$82,recap_Incmpres!$B44,Transferts2018_EnvB!$X$2:$X$82)</f>
        <v>-30654.25</v>
      </c>
      <c r="M44" s="307">
        <f t="shared" si="4"/>
        <v>-91205.755000000005</v>
      </c>
      <c r="N44" s="307">
        <f t="shared" si="5"/>
        <v>-60803.83666666667</v>
      </c>
      <c r="O44" s="307">
        <f t="shared" si="6"/>
        <v>0</v>
      </c>
      <c r="P44" s="307">
        <f t="shared" si="7"/>
        <v>0</v>
      </c>
      <c r="Q44" s="307">
        <f t="shared" si="8"/>
        <v>0</v>
      </c>
      <c r="R44" s="307">
        <f>SUMIF('Faculty Members_List'!$I$2:$I$256,recap_Incmpres!$A44,'Faculty Members_List'!BY$2:BY$256)</f>
        <v>90520</v>
      </c>
      <c r="S44" s="308">
        <f>SUMIF('Faculty Members_List'!$I$2:$I$256,recap_Incmpres!$A44,'Faculty Members_List'!BZ$2:BZ$256)</f>
        <v>60346.666666666664</v>
      </c>
      <c r="T44" s="308">
        <f>SUMIF('Faculty Members_List'!$I$2:$I$256,recap_Incmpres!$A44,'Faculty Members_List'!CA$2:CA$256)</f>
        <v>0</v>
      </c>
      <c r="U44" s="308">
        <f>SUMIF('Faculty Members_List'!$I$2:$I$256,recap_Incmpres!$A44,'Faculty Members_List'!CB$2:CB$256)</f>
        <v>0</v>
      </c>
      <c r="V44" s="308">
        <f>SUMIF('Faculty Members_List'!$I$2:$I$256,recap_Incmpres!$A44,'Faculty Members_List'!CC$2:CC$256)</f>
        <v>0</v>
      </c>
      <c r="W44" s="301" t="str">
        <f>IF(SUMIF('Faculty Members_List'!$I$2:$I$256,recap_Incmpres!$A44,'Faculty Members_List'!T$2:T$256)=0,"",SUMIF('Faculty Members_List'!$I$2:$I$256,recap_Incmpres!$A44,'Faculty Members_List'!T$2:T$256)-1)</f>
        <v/>
      </c>
      <c r="X44" s="308">
        <f>SUMIF('Faculty Members_List'!$I$2:$I$256,recap_Incmpres!$A44,'Faculty Members_List'!S$2:S$256)</f>
        <v>0</v>
      </c>
      <c r="Y44" s="302">
        <f t="shared" si="15"/>
        <v>0</v>
      </c>
      <c r="Z44" s="302">
        <f t="shared" si="15"/>
        <v>0</v>
      </c>
      <c r="AA44" s="302">
        <f t="shared" si="15"/>
        <v>0</v>
      </c>
      <c r="AB44" s="302">
        <f t="shared" si="15"/>
        <v>0</v>
      </c>
      <c r="AE44" s="300" t="s">
        <v>1490</v>
      </c>
      <c r="AF44" s="300" t="s">
        <v>1491</v>
      </c>
      <c r="AG44" s="300" t="s">
        <v>1492</v>
      </c>
      <c r="AH44" s="302">
        <f t="shared" si="9"/>
        <v>-685.75500000000466</v>
      </c>
      <c r="AI44" s="302">
        <f t="shared" si="10"/>
        <v>-457.17000000000553</v>
      </c>
      <c r="AJ44" s="302">
        <f t="shared" si="11"/>
        <v>0</v>
      </c>
      <c r="AK44" s="302">
        <f t="shared" si="12"/>
        <v>0</v>
      </c>
      <c r="AL44" s="302">
        <f t="shared" si="13"/>
        <v>0</v>
      </c>
    </row>
    <row r="45" spans="1:38" ht="12" customHeight="1" x14ac:dyDescent="0.2">
      <c r="A45" s="300">
        <f t="shared" si="2"/>
        <v>830</v>
      </c>
      <c r="B45" s="300" t="s">
        <v>1493</v>
      </c>
      <c r="C45" s="300" t="s">
        <v>1494</v>
      </c>
      <c r="D45" s="300" t="s">
        <v>1495</v>
      </c>
      <c r="E45" s="301">
        <v>49856</v>
      </c>
      <c r="F45" s="332">
        <f t="shared" si="3"/>
        <v>2036</v>
      </c>
      <c r="G45" s="307">
        <v>698795.7</v>
      </c>
      <c r="H45" s="308">
        <v>480760.36690000002</v>
      </c>
      <c r="I45" s="308">
        <v>437598.6</v>
      </c>
      <c r="J45" s="308">
        <v>432394.8</v>
      </c>
      <c r="K45" s="308">
        <v>416783.4</v>
      </c>
      <c r="L45" s="307">
        <f>SUMIF(envB2018!$R$2:$R$162,recap_Incmpres!$B45,envB2018!$I$2:$I$162)+SUMIF(Transferts2018_EnvB!$V$2:$V$82,recap_Incmpres!$B45,Transferts2018_EnvB!$W$2:$W$82)+SUMIF(Transferts2018_EnvB!$V$2:$V$82,recap_Incmpres!$B45,Transferts2018_EnvB!$X$2:$X$82)</f>
        <v>-262318.95</v>
      </c>
      <c r="M45" s="307">
        <f t="shared" si="4"/>
        <v>-1118343.6825000001</v>
      </c>
      <c r="N45" s="307">
        <f t="shared" si="5"/>
        <v>-851250.39945250005</v>
      </c>
      <c r="O45" s="307">
        <f t="shared" si="6"/>
        <v>-798377.2350000001</v>
      </c>
      <c r="P45" s="307">
        <f t="shared" si="7"/>
        <v>-792002.58000000007</v>
      </c>
      <c r="Q45" s="307">
        <f t="shared" si="8"/>
        <v>-772878.61499999999</v>
      </c>
      <c r="R45" s="307">
        <f>SUMIF('Faculty Members_List'!$I$2:$I$256,recap_Incmpres!$A45,'Faculty Members_List'!BY$2:BY$256)</f>
        <v>1045159.75</v>
      </c>
      <c r="S45" s="308">
        <f>SUMIF('Faculty Members_List'!$I$2:$I$256,recap_Incmpres!$A45,'Faculty Members_List'!BZ$2:BZ$256)</f>
        <v>1000375</v>
      </c>
      <c r="T45" s="308">
        <f>SUMIF('Faculty Members_List'!$I$2:$I$256,recap_Incmpres!$A45,'Faculty Members_List'!CA$2:CA$256)</f>
        <v>1000375</v>
      </c>
      <c r="U45" s="308">
        <f>SUMIF('Faculty Members_List'!$I$2:$I$256,recap_Incmpres!$A45,'Faculty Members_List'!CB$2:CB$256)</f>
        <v>1000375</v>
      </c>
      <c r="V45" s="308">
        <f>SUMIF('Faculty Members_List'!$I$2:$I$256,recap_Incmpres!$A45,'Faculty Members_List'!CC$2:CC$256)</f>
        <v>1000375</v>
      </c>
      <c r="W45" s="301" t="str">
        <f>IF(SUMIF('Faculty Members_List'!$I$2:$I$256,recap_Incmpres!$A45,'Faculty Members_List'!T$2:T$256)=0,"",SUMIF('Faculty Members_List'!$I$2:$I$256,recap_Incmpres!$A45,'Faculty Members_List'!T$2:T$256)-1)</f>
        <v/>
      </c>
      <c r="X45" s="308">
        <f>SUMIF('Faculty Members_List'!$I$2:$I$256,recap_Incmpres!$A45,'Faculty Members_List'!S$2:S$256)</f>
        <v>0</v>
      </c>
      <c r="Y45" s="302">
        <f t="shared" si="15"/>
        <v>0</v>
      </c>
      <c r="Z45" s="302">
        <f t="shared" si="15"/>
        <v>0</v>
      </c>
      <c r="AA45" s="302">
        <f t="shared" si="15"/>
        <v>0</v>
      </c>
      <c r="AB45" s="302">
        <f t="shared" si="15"/>
        <v>0</v>
      </c>
      <c r="AE45" s="300" t="s">
        <v>1493</v>
      </c>
      <c r="AF45" s="300" t="s">
        <v>1494</v>
      </c>
      <c r="AG45" s="300" t="s">
        <v>1495</v>
      </c>
      <c r="AH45" s="302">
        <f t="shared" si="9"/>
        <v>-73183.932500000112</v>
      </c>
      <c r="AI45" s="302">
        <f t="shared" si="10"/>
        <v>149124.60054749995</v>
      </c>
      <c r="AJ45" s="302">
        <f t="shared" si="11"/>
        <v>201997.7649999999</v>
      </c>
      <c r="AK45" s="302">
        <f t="shared" si="12"/>
        <v>208372.41999999993</v>
      </c>
      <c r="AL45" s="302">
        <f t="shared" si="13"/>
        <v>227496.38500000001</v>
      </c>
    </row>
    <row r="46" spans="1:38" ht="12" customHeight="1" x14ac:dyDescent="0.2">
      <c r="A46" s="300">
        <f t="shared" si="2"/>
        <v>831</v>
      </c>
      <c r="B46" s="300" t="s">
        <v>1496</v>
      </c>
      <c r="C46" s="300" t="s">
        <v>1497</v>
      </c>
      <c r="D46" s="300" t="s">
        <v>1498</v>
      </c>
      <c r="E46" s="301">
        <v>52412</v>
      </c>
      <c r="F46" s="332">
        <f t="shared" si="3"/>
        <v>2043</v>
      </c>
      <c r="G46" s="307">
        <v>327291.65000000002</v>
      </c>
      <c r="H46" s="308">
        <v>296292.59999999998</v>
      </c>
      <c r="I46" s="308">
        <v>296292.59999999998</v>
      </c>
      <c r="J46" s="308">
        <v>283276.79999999999</v>
      </c>
      <c r="K46" s="308">
        <v>244229.4</v>
      </c>
      <c r="L46" s="307">
        <f>SUMIF(envB2018!$R$2:$R$162,recap_Incmpres!$B46,envB2018!$I$2:$I$162)+SUMIF(Transferts2018_EnvB!$V$2:$V$82,recap_Incmpres!$B46,Transferts2018_EnvB!$W$2:$W$82)+SUMIF(Transferts2018_EnvB!$V$2:$V$82,recap_Incmpres!$B46,Transferts2018_EnvB!$X$2:$X$82)</f>
        <v>-51629.16</v>
      </c>
      <c r="M46" s="307">
        <f t="shared" si="4"/>
        <v>-452561.43125000002</v>
      </c>
      <c r="N46" s="307">
        <f t="shared" si="5"/>
        <v>-414587.59499999997</v>
      </c>
      <c r="O46" s="307">
        <f t="shared" si="6"/>
        <v>-414587.59499999997</v>
      </c>
      <c r="P46" s="307">
        <f t="shared" si="7"/>
        <v>-398643.24</v>
      </c>
      <c r="Q46" s="307">
        <f t="shared" si="8"/>
        <v>-350810.17500000005</v>
      </c>
      <c r="R46" s="307">
        <f>SUMIF('Faculty Members_List'!$I$2:$I$256,recap_Incmpres!$A46,'Faculty Members_List'!BY$2:BY$256)</f>
        <v>526598.5</v>
      </c>
      <c r="S46" s="308">
        <f>SUMIF('Faculty Members_List'!$I$2:$I$256,recap_Incmpres!$A46,'Faculty Members_List'!BZ$2:BZ$256)</f>
        <v>721188</v>
      </c>
      <c r="T46" s="308">
        <f>SUMIF('Faculty Members_List'!$I$2:$I$256,recap_Incmpres!$A46,'Faculty Members_List'!CA$2:CA$256)</f>
        <v>721188</v>
      </c>
      <c r="U46" s="308">
        <f>SUMIF('Faculty Members_List'!$I$2:$I$256,recap_Incmpres!$A46,'Faculty Members_List'!CB$2:CB$256)</f>
        <v>721188</v>
      </c>
      <c r="V46" s="308">
        <f>SUMIF('Faculty Members_List'!$I$2:$I$256,recap_Incmpres!$A46,'Faculty Members_List'!CC$2:CC$256)</f>
        <v>721188</v>
      </c>
      <c r="W46" s="301" t="str">
        <f>IF(SUMIF('Faculty Members_List'!$I$2:$I$256,recap_Incmpres!$A46,'Faculty Members_List'!T$2:T$256)=0,"",SUMIF('Faculty Members_List'!$I$2:$I$256,recap_Incmpres!$A46,'Faculty Members_List'!T$2:T$256)-1)</f>
        <v/>
      </c>
      <c r="X46" s="308">
        <f>SUMIF('Faculty Members_List'!$I$2:$I$256,recap_Incmpres!$A46,'Faculty Members_List'!S$2:S$256)</f>
        <v>0</v>
      </c>
      <c r="Y46" s="302">
        <f t="shared" si="15"/>
        <v>0</v>
      </c>
      <c r="Z46" s="302">
        <f t="shared" si="15"/>
        <v>0</v>
      </c>
      <c r="AA46" s="302">
        <f t="shared" si="15"/>
        <v>0</v>
      </c>
      <c r="AB46" s="302">
        <f t="shared" si="15"/>
        <v>0</v>
      </c>
      <c r="AE46" s="300" t="s">
        <v>1496</v>
      </c>
      <c r="AF46" s="300" t="s">
        <v>1497</v>
      </c>
      <c r="AG46" s="300" t="s">
        <v>1498</v>
      </c>
      <c r="AH46" s="302">
        <f t="shared" si="9"/>
        <v>74037.068749999977</v>
      </c>
      <c r="AI46" s="302">
        <f t="shared" si="10"/>
        <v>306600.40500000003</v>
      </c>
      <c r="AJ46" s="302">
        <f t="shared" si="11"/>
        <v>306600.40500000003</v>
      </c>
      <c r="AK46" s="302">
        <f t="shared" si="12"/>
        <v>322544.76</v>
      </c>
      <c r="AL46" s="302">
        <f t="shared" si="13"/>
        <v>370377.82499999995</v>
      </c>
    </row>
    <row r="47" spans="1:38" ht="12" customHeight="1" x14ac:dyDescent="0.2">
      <c r="A47" s="300">
        <f t="shared" si="2"/>
        <v>832</v>
      </c>
      <c r="B47" s="300" t="s">
        <v>1499</v>
      </c>
      <c r="C47" s="300" t="s">
        <v>1500</v>
      </c>
      <c r="D47" s="300" t="s">
        <v>1501</v>
      </c>
      <c r="E47" s="301">
        <v>53904</v>
      </c>
      <c r="F47" s="332">
        <f t="shared" si="3"/>
        <v>2047</v>
      </c>
      <c r="G47" s="307">
        <v>383619.5833</v>
      </c>
      <c r="H47" s="308">
        <v>312921.28320000001</v>
      </c>
      <c r="I47" s="308">
        <v>234328.8</v>
      </c>
      <c r="J47" s="308">
        <v>234328.8</v>
      </c>
      <c r="K47" s="308">
        <v>234328.8</v>
      </c>
      <c r="L47" s="307">
        <f>SUMIF(envB2018!$R$2:$R$162,recap_Incmpres!$B47,envB2018!$I$2:$I$162)+SUMIF(Transferts2018_EnvB!$V$2:$V$82,recap_Incmpres!$B47,Transferts2018_EnvB!$W$2:$W$82)+SUMIF(Transferts2018_EnvB!$V$2:$V$82,recap_Incmpres!$B47,Transferts2018_EnvB!$X$2:$X$82)</f>
        <v>-136011.32999999999</v>
      </c>
      <c r="M47" s="307">
        <f t="shared" si="4"/>
        <v>-605945.31954250007</v>
      </c>
      <c r="N47" s="307">
        <f t="shared" si="5"/>
        <v>-519339.90191999997</v>
      </c>
      <c r="O47" s="307">
        <f t="shared" si="6"/>
        <v>-423064.11</v>
      </c>
      <c r="P47" s="307">
        <f t="shared" si="7"/>
        <v>-423064.11</v>
      </c>
      <c r="Q47" s="307">
        <f t="shared" si="8"/>
        <v>-423064.11</v>
      </c>
      <c r="R47" s="307">
        <f>SUMIF('Faculty Members_List'!$I$2:$I$256,recap_Incmpres!$A47,'Faculty Members_List'!BY$2:BY$256)</f>
        <v>514875</v>
      </c>
      <c r="S47" s="308">
        <f>SUMIF('Faculty Members_List'!$I$2:$I$256,recap_Incmpres!$A47,'Faculty Members_List'!BZ$2:BZ$256)</f>
        <v>635224.25</v>
      </c>
      <c r="T47" s="308">
        <f>SUMIF('Faculty Members_List'!$I$2:$I$256,recap_Incmpres!$A47,'Faculty Members_List'!CA$2:CA$256)</f>
        <v>635224.25</v>
      </c>
      <c r="U47" s="308">
        <f>SUMIF('Faculty Members_List'!$I$2:$I$256,recap_Incmpres!$A47,'Faculty Members_List'!CB$2:CB$256)</f>
        <v>635224.25</v>
      </c>
      <c r="V47" s="308">
        <f>SUMIF('Faculty Members_List'!$I$2:$I$256,recap_Incmpres!$A47,'Faculty Members_List'!CC$2:CC$256)</f>
        <v>635224.25</v>
      </c>
      <c r="W47" s="301" t="str">
        <f>IF(SUMIF('Faculty Members_List'!$I$2:$I$256,recap_Incmpres!$A47,'Faculty Members_List'!T$2:T$256)=0,"",SUMIF('Faculty Members_List'!$I$2:$I$256,recap_Incmpres!$A47,'Faculty Members_List'!T$2:T$256)-1)</f>
        <v/>
      </c>
      <c r="X47" s="308">
        <f>SUMIF('Faculty Members_List'!$I$2:$I$256,recap_Incmpres!$A47,'Faculty Members_List'!S$2:S$256)</f>
        <v>0</v>
      </c>
      <c r="Y47" s="302">
        <f t="shared" si="15"/>
        <v>0</v>
      </c>
      <c r="Z47" s="302">
        <f t="shared" si="15"/>
        <v>0</v>
      </c>
      <c r="AA47" s="302">
        <f t="shared" si="15"/>
        <v>0</v>
      </c>
      <c r="AB47" s="302">
        <f t="shared" si="15"/>
        <v>0</v>
      </c>
      <c r="AE47" s="300" t="s">
        <v>1499</v>
      </c>
      <c r="AF47" s="300" t="s">
        <v>1500</v>
      </c>
      <c r="AG47" s="300" t="s">
        <v>1501</v>
      </c>
      <c r="AH47" s="302">
        <f t="shared" si="9"/>
        <v>-91070.319542500074</v>
      </c>
      <c r="AI47" s="302">
        <f t="shared" si="10"/>
        <v>115884.34808000003</v>
      </c>
      <c r="AJ47" s="302">
        <f t="shared" si="11"/>
        <v>212160.14</v>
      </c>
      <c r="AK47" s="302">
        <f t="shared" si="12"/>
        <v>212160.14</v>
      </c>
      <c r="AL47" s="302">
        <f t="shared" si="13"/>
        <v>212160.14</v>
      </c>
    </row>
    <row r="48" spans="1:38" ht="12" customHeight="1" x14ac:dyDescent="0.2">
      <c r="A48" s="300">
        <f t="shared" si="2"/>
        <v>833</v>
      </c>
      <c r="B48" s="300" t="s">
        <v>1502</v>
      </c>
      <c r="C48" s="300" t="s">
        <v>1503</v>
      </c>
      <c r="D48" s="300" t="s">
        <v>1504</v>
      </c>
      <c r="E48" s="301">
        <v>53873</v>
      </c>
      <c r="F48" s="332">
        <f t="shared" si="3"/>
        <v>2047</v>
      </c>
      <c r="G48" s="307">
        <v>329109.92499999999</v>
      </c>
      <c r="H48" s="308">
        <v>336440.90039999998</v>
      </c>
      <c r="I48" s="308">
        <v>336440.90039999998</v>
      </c>
      <c r="J48" s="308">
        <v>336440.90039999998</v>
      </c>
      <c r="K48" s="308">
        <v>301840.90039999998</v>
      </c>
      <c r="L48" s="307">
        <f>SUMIF(envB2018!$R$2:$R$162,recap_Incmpres!$B48,envB2018!$I$2:$I$162)+SUMIF(Transferts2018_EnvB!$V$2:$V$82,recap_Incmpres!$B48,Transferts2018_EnvB!$W$2:$W$82)+SUMIF(Transferts2018_EnvB!$V$2:$V$82,recap_Incmpres!$B48,Transferts2018_EnvB!$X$2:$X$82)</f>
        <v>-63308.97</v>
      </c>
      <c r="M48" s="307">
        <f t="shared" si="4"/>
        <v>-466468.62812500005</v>
      </c>
      <c r="N48" s="307">
        <f t="shared" si="5"/>
        <v>-475449.07299000002</v>
      </c>
      <c r="O48" s="307">
        <f t="shared" si="6"/>
        <v>-475449.07299000002</v>
      </c>
      <c r="P48" s="307">
        <f t="shared" si="7"/>
        <v>-475449.07299000002</v>
      </c>
      <c r="Q48" s="307">
        <f t="shared" si="8"/>
        <v>-433064.07299000002</v>
      </c>
      <c r="R48" s="307">
        <f>SUMIF('Faculty Members_List'!$I$2:$I$256,recap_Incmpres!$A48,'Faculty Members_List'!BY$2:BY$256)</f>
        <v>516933</v>
      </c>
      <c r="S48" s="308">
        <f>SUMIF('Faculty Members_List'!$I$2:$I$256,recap_Incmpres!$A48,'Faculty Members_List'!BZ$2:BZ$256)</f>
        <v>516933</v>
      </c>
      <c r="T48" s="308">
        <f>SUMIF('Faculty Members_List'!$I$2:$I$256,recap_Incmpres!$A48,'Faculty Members_List'!CA$2:CA$256)</f>
        <v>602039.25</v>
      </c>
      <c r="U48" s="308">
        <f>SUMIF('Faculty Members_List'!$I$2:$I$256,recap_Incmpres!$A48,'Faculty Members_List'!CB$2:CB$256)</f>
        <v>602039.25</v>
      </c>
      <c r="V48" s="308">
        <f>SUMIF('Faculty Members_List'!$I$2:$I$256,recap_Incmpres!$A48,'Faculty Members_List'!CC$2:CC$256)</f>
        <v>602039.25</v>
      </c>
      <c r="W48" s="301" t="str">
        <f>IF(SUMIF('Faculty Members_List'!$I$2:$I$256,recap_Incmpres!$A48,'Faculty Members_List'!T$2:T$256)=0,"",SUMIF('Faculty Members_List'!$I$2:$I$256,recap_Incmpres!$A48,'Faculty Members_List'!T$2:T$256)-1)</f>
        <v/>
      </c>
      <c r="X48" s="308">
        <f>SUMIF('Faculty Members_List'!$I$2:$I$256,recap_Incmpres!$A48,'Faculty Members_List'!S$2:S$256)</f>
        <v>0</v>
      </c>
      <c r="Y48" s="302">
        <f t="shared" si="15"/>
        <v>0</v>
      </c>
      <c r="Z48" s="302">
        <f t="shared" si="15"/>
        <v>0</v>
      </c>
      <c r="AA48" s="302">
        <f t="shared" si="15"/>
        <v>0</v>
      </c>
      <c r="AB48" s="302">
        <f t="shared" si="15"/>
        <v>0</v>
      </c>
      <c r="AE48" s="300" t="s">
        <v>1502</v>
      </c>
      <c r="AF48" s="300" t="s">
        <v>1503</v>
      </c>
      <c r="AG48" s="300" t="s">
        <v>1504</v>
      </c>
      <c r="AH48" s="302">
        <f t="shared" si="9"/>
        <v>50464.371874999953</v>
      </c>
      <c r="AI48" s="302">
        <f t="shared" si="10"/>
        <v>41483.927009999985</v>
      </c>
      <c r="AJ48" s="302">
        <f t="shared" si="11"/>
        <v>126590.17700999998</v>
      </c>
      <c r="AK48" s="302">
        <f t="shared" si="12"/>
        <v>126590.17700999998</v>
      </c>
      <c r="AL48" s="302">
        <f t="shared" si="13"/>
        <v>168975.17700999998</v>
      </c>
    </row>
    <row r="49" spans="1:38" ht="12" customHeight="1" x14ac:dyDescent="0.2">
      <c r="A49" s="300">
        <f t="shared" si="2"/>
        <v>837</v>
      </c>
      <c r="B49" s="300" t="s">
        <v>1505</v>
      </c>
      <c r="C49" s="300" t="s">
        <v>1506</v>
      </c>
      <c r="D49" s="300" t="s">
        <v>1507</v>
      </c>
      <c r="E49" s="301">
        <v>53113</v>
      </c>
      <c r="F49" s="332">
        <f t="shared" si="3"/>
        <v>2045</v>
      </c>
      <c r="G49" s="307">
        <v>322963.96669999999</v>
      </c>
      <c r="H49" s="308">
        <v>338288.94959999999</v>
      </c>
      <c r="I49" s="308">
        <v>297719.19959999999</v>
      </c>
      <c r="J49" s="308">
        <v>297719.19959999999</v>
      </c>
      <c r="K49" s="308">
        <v>297719.19959999999</v>
      </c>
      <c r="L49" s="307">
        <f>SUMIF(envB2018!$R$2:$R$162,recap_Incmpres!$B49,envB2018!$I$2:$I$162)+SUMIF(Transferts2018_EnvB!$V$2:$V$82,recap_Incmpres!$B49,Transferts2018_EnvB!$W$2:$W$82)+SUMIF(Transferts2018_EnvB!$V$2:$V$82,recap_Incmpres!$B49,Transferts2018_EnvB!$X$2:$X$82)</f>
        <v>-70165.350000000006</v>
      </c>
      <c r="M49" s="307">
        <f t="shared" si="4"/>
        <v>-465796.20920749998</v>
      </c>
      <c r="N49" s="307">
        <f t="shared" si="5"/>
        <v>-484569.31326000008</v>
      </c>
      <c r="O49" s="307">
        <f t="shared" si="6"/>
        <v>-434871.36950999999</v>
      </c>
      <c r="P49" s="307">
        <f t="shared" si="7"/>
        <v>-434871.36950999999</v>
      </c>
      <c r="Q49" s="307">
        <f t="shared" si="8"/>
        <v>-434871.36950999999</v>
      </c>
      <c r="R49" s="307">
        <f>SUMIF('Faculty Members_List'!$I$2:$I$256,recap_Incmpres!$A49,'Faculty Members_List'!BY$2:BY$256)</f>
        <v>512511</v>
      </c>
      <c r="S49" s="308">
        <f>SUMIF('Faculty Members_List'!$I$2:$I$256,recap_Incmpres!$A49,'Faculty Members_List'!BZ$2:BZ$256)</f>
        <v>512511</v>
      </c>
      <c r="T49" s="308">
        <f>SUMIF('Faculty Members_List'!$I$2:$I$256,recap_Incmpres!$A49,'Faculty Members_List'!CA$2:CA$256)</f>
        <v>512511</v>
      </c>
      <c r="U49" s="308">
        <f>SUMIF('Faculty Members_List'!$I$2:$I$256,recap_Incmpres!$A49,'Faculty Members_List'!CB$2:CB$256)</f>
        <v>564680.25</v>
      </c>
      <c r="V49" s="308">
        <f>SUMIF('Faculty Members_List'!$I$2:$I$256,recap_Incmpres!$A49,'Faculty Members_List'!CC$2:CC$256)</f>
        <v>564680.25</v>
      </c>
      <c r="W49" s="301" t="str">
        <f>IF(SUMIF('Faculty Members_List'!$I$2:$I$256,recap_Incmpres!$A49,'Faculty Members_List'!T$2:T$256)=0,"",SUMIF('Faculty Members_List'!$I$2:$I$256,recap_Incmpres!$A49,'Faculty Members_List'!T$2:T$256)-1)</f>
        <v/>
      </c>
      <c r="X49" s="308">
        <f>SUMIF('Faculty Members_List'!$I$2:$I$256,recap_Incmpres!$A49,'Faculty Members_List'!S$2:S$256)</f>
        <v>0</v>
      </c>
      <c r="Y49" s="302">
        <f t="shared" si="15"/>
        <v>0</v>
      </c>
      <c r="Z49" s="302">
        <f t="shared" si="15"/>
        <v>0</v>
      </c>
      <c r="AA49" s="302">
        <f t="shared" si="15"/>
        <v>0</v>
      </c>
      <c r="AB49" s="302">
        <f t="shared" si="15"/>
        <v>0</v>
      </c>
      <c r="AE49" s="300" t="s">
        <v>1505</v>
      </c>
      <c r="AF49" s="300" t="s">
        <v>1506</v>
      </c>
      <c r="AG49" s="300" t="s">
        <v>1507</v>
      </c>
      <c r="AH49" s="302">
        <f t="shared" si="9"/>
        <v>46714.790792500018</v>
      </c>
      <c r="AI49" s="302">
        <f t="shared" si="10"/>
        <v>27941.686739999917</v>
      </c>
      <c r="AJ49" s="302">
        <f t="shared" si="11"/>
        <v>77639.63049000001</v>
      </c>
      <c r="AK49" s="302">
        <f t="shared" si="12"/>
        <v>129808.88049000001</v>
      </c>
      <c r="AL49" s="302">
        <f t="shared" si="13"/>
        <v>129808.88049000001</v>
      </c>
    </row>
    <row r="50" spans="1:38" ht="12" customHeight="1" x14ac:dyDescent="0.2">
      <c r="A50" s="300">
        <f t="shared" si="2"/>
        <v>838</v>
      </c>
      <c r="B50" s="300" t="s">
        <v>1508</v>
      </c>
      <c r="C50" s="300" t="s">
        <v>1509</v>
      </c>
      <c r="D50" s="300" t="s">
        <v>1510</v>
      </c>
      <c r="E50" s="301">
        <v>54178</v>
      </c>
      <c r="F50" s="332">
        <f t="shared" si="3"/>
        <v>2048</v>
      </c>
      <c r="G50" s="307">
        <v>252279.2</v>
      </c>
      <c r="H50" s="308">
        <v>256250.00039999999</v>
      </c>
      <c r="I50" s="308">
        <v>256250.00039999999</v>
      </c>
      <c r="J50" s="308">
        <v>256250.00039999999</v>
      </c>
      <c r="K50" s="308">
        <v>213083.3334</v>
      </c>
      <c r="L50" s="307">
        <f>SUMIF(envB2018!$R$2:$R$162,recap_Incmpres!$B50,envB2018!$I$2:$I$162)+SUMIF(Transferts2018_EnvB!$V$2:$V$82,recap_Incmpres!$B50,Transferts2018_EnvB!$W$2:$W$82)+SUMIF(Transferts2018_EnvB!$V$2:$V$82,recap_Incmpres!$B50,Transferts2018_EnvB!$X$2:$X$82)</f>
        <v>-1129.4199999999983</v>
      </c>
      <c r="M50" s="307">
        <f t="shared" si="4"/>
        <v>-310171.44</v>
      </c>
      <c r="N50" s="307">
        <f t="shared" si="5"/>
        <v>-315035.67048999999</v>
      </c>
      <c r="O50" s="307">
        <f t="shared" si="6"/>
        <v>-315035.67048999999</v>
      </c>
      <c r="P50" s="307">
        <f t="shared" si="7"/>
        <v>-315035.67048999999</v>
      </c>
      <c r="Q50" s="307">
        <f t="shared" si="8"/>
        <v>-262156.50341500004</v>
      </c>
      <c r="R50" s="307">
        <f>SUMIF('Faculty Members_List'!$I$2:$I$256,recap_Incmpres!$A50,'Faculty Members_List'!BY$2:BY$256)</f>
        <v>445136</v>
      </c>
      <c r="S50" s="308">
        <f>SUMIF('Faculty Members_List'!$I$2:$I$256,recap_Incmpres!$A50,'Faculty Members_List'!BZ$2:BZ$256)</f>
        <v>512511</v>
      </c>
      <c r="T50" s="308">
        <f>SUMIF('Faculty Members_List'!$I$2:$I$256,recap_Incmpres!$A50,'Faculty Members_List'!CA$2:CA$256)</f>
        <v>512511</v>
      </c>
      <c r="U50" s="308">
        <f>SUMIF('Faculty Members_List'!$I$2:$I$256,recap_Incmpres!$A50,'Faculty Members_List'!CB$2:CB$256)</f>
        <v>512511</v>
      </c>
      <c r="V50" s="308">
        <f>SUMIF('Faculty Members_List'!$I$2:$I$256,recap_Incmpres!$A50,'Faculty Members_List'!CC$2:CC$256)</f>
        <v>564680.25</v>
      </c>
      <c r="W50" s="301" t="str">
        <f>IF(SUMIF('Faculty Members_List'!$I$2:$I$256,recap_Incmpres!$A50,'Faculty Members_List'!T$2:T$256)=0,"",SUMIF('Faculty Members_List'!$I$2:$I$256,recap_Incmpres!$A50,'Faculty Members_List'!T$2:T$256)-1)</f>
        <v/>
      </c>
      <c r="X50" s="308">
        <f>SUMIF('Faculty Members_List'!$I$2:$I$256,recap_Incmpres!$A50,'Faculty Members_List'!S$2:S$256)</f>
        <v>0</v>
      </c>
      <c r="Y50" s="302">
        <f t="shared" si="15"/>
        <v>0</v>
      </c>
      <c r="Z50" s="302">
        <f t="shared" si="15"/>
        <v>0</v>
      </c>
      <c r="AA50" s="302">
        <f t="shared" si="15"/>
        <v>0</v>
      </c>
      <c r="AB50" s="302">
        <f t="shared" si="15"/>
        <v>0</v>
      </c>
      <c r="AE50" s="300" t="s">
        <v>1508</v>
      </c>
      <c r="AF50" s="300" t="s">
        <v>1509</v>
      </c>
      <c r="AG50" s="300" t="s">
        <v>1510</v>
      </c>
      <c r="AH50" s="302">
        <f t="shared" si="9"/>
        <v>134964.56</v>
      </c>
      <c r="AI50" s="302">
        <f t="shared" si="10"/>
        <v>197475.32951000001</v>
      </c>
      <c r="AJ50" s="302">
        <f t="shared" si="11"/>
        <v>197475.32951000001</v>
      </c>
      <c r="AK50" s="302">
        <f t="shared" si="12"/>
        <v>197475.32951000001</v>
      </c>
      <c r="AL50" s="302">
        <f t="shared" si="13"/>
        <v>302523.74658499996</v>
      </c>
    </row>
    <row r="51" spans="1:38" ht="12" customHeight="1" x14ac:dyDescent="0.2">
      <c r="A51" s="300">
        <f t="shared" si="2"/>
        <v>839</v>
      </c>
      <c r="B51" s="300" t="s">
        <v>1511</v>
      </c>
      <c r="C51" s="300" t="s">
        <v>1512</v>
      </c>
      <c r="D51" s="300" t="s">
        <v>1513</v>
      </c>
      <c r="E51" s="301">
        <v>55334</v>
      </c>
      <c r="F51" s="332">
        <f t="shared" si="3"/>
        <v>2051</v>
      </c>
      <c r="G51" s="307">
        <v>284648.25</v>
      </c>
      <c r="H51" s="308">
        <v>261954.9</v>
      </c>
      <c r="I51" s="308">
        <v>261954.9</v>
      </c>
      <c r="J51" s="308">
        <v>261954.9</v>
      </c>
      <c r="K51" s="308">
        <v>261954.9</v>
      </c>
      <c r="L51" s="307">
        <f>SUMIF(envB2018!$R$2:$R$162,recap_Incmpres!$B51,envB2018!$I$2:$I$162)+SUMIF(Transferts2018_EnvB!$V$2:$V$82,recap_Incmpres!$B51,Transferts2018_EnvB!$W$2:$W$82)+SUMIF(Transferts2018_EnvB!$V$2:$V$82,recap_Incmpres!$B51,Transferts2018_EnvB!$X$2:$X$82)</f>
        <v>-115352.84</v>
      </c>
      <c r="M51" s="307">
        <f t="shared" si="4"/>
        <v>-464046.94625000004</v>
      </c>
      <c r="N51" s="307">
        <f t="shared" si="5"/>
        <v>-436247.59250000003</v>
      </c>
      <c r="O51" s="307">
        <f t="shared" si="6"/>
        <v>-436247.59250000003</v>
      </c>
      <c r="P51" s="307">
        <f t="shared" si="7"/>
        <v>-436247.59250000003</v>
      </c>
      <c r="Q51" s="307">
        <f t="shared" si="8"/>
        <v>-436247.59250000003</v>
      </c>
      <c r="R51" s="307">
        <f>SUMIF('Faculty Members_List'!$I$2:$I$256,recap_Incmpres!$A51,'Faculty Members_List'!BY$2:BY$256)</f>
        <v>473213</v>
      </c>
      <c r="S51" s="308">
        <f>SUMIF('Faculty Members_List'!$I$2:$I$256,recap_Incmpres!$A51,'Faculty Members_List'!BZ$2:BZ$256)</f>
        <v>512515.08333333331</v>
      </c>
      <c r="T51" s="308">
        <f>SUMIF('Faculty Members_List'!$I$2:$I$256,recap_Incmpres!$A51,'Faculty Members_List'!CA$2:CA$256)</f>
        <v>512515.08333333331</v>
      </c>
      <c r="U51" s="308">
        <f>SUMIF('Faculty Members_List'!$I$2:$I$256,recap_Incmpres!$A51,'Faculty Members_List'!CB$2:CB$256)</f>
        <v>512515.08333333331</v>
      </c>
      <c r="V51" s="308">
        <f>SUMIF('Faculty Members_List'!$I$2:$I$256,recap_Incmpres!$A51,'Faculty Members_List'!CC$2:CC$256)</f>
        <v>651630.36111111112</v>
      </c>
      <c r="W51" s="301" t="str">
        <f>IF(SUMIF('Faculty Members_List'!$I$2:$I$256,recap_Incmpres!$A51,'Faculty Members_List'!T$2:T$256)=0,"",SUMIF('Faculty Members_List'!$I$2:$I$256,recap_Incmpres!$A51,'Faculty Members_List'!T$2:T$256)-1)</f>
        <v/>
      </c>
      <c r="X51" s="308">
        <f>SUMIF('Faculty Members_List'!$I$2:$I$256,recap_Incmpres!$A51,'Faculty Members_List'!S$2:S$256)</f>
        <v>0</v>
      </c>
      <c r="Y51" s="302">
        <f t="shared" si="15"/>
        <v>0</v>
      </c>
      <c r="Z51" s="302">
        <f t="shared" si="15"/>
        <v>0</v>
      </c>
      <c r="AA51" s="302">
        <f t="shared" si="15"/>
        <v>0</v>
      </c>
      <c r="AB51" s="302">
        <f t="shared" si="15"/>
        <v>0</v>
      </c>
      <c r="AE51" s="300" t="s">
        <v>1511</v>
      </c>
      <c r="AF51" s="300" t="s">
        <v>1512</v>
      </c>
      <c r="AG51" s="300" t="s">
        <v>1513</v>
      </c>
      <c r="AH51" s="302">
        <f t="shared" si="9"/>
        <v>9166.0537499999627</v>
      </c>
      <c r="AI51" s="302">
        <f t="shared" si="10"/>
        <v>76267.490833333286</v>
      </c>
      <c r="AJ51" s="302">
        <f t="shared" si="11"/>
        <v>76267.490833333286</v>
      </c>
      <c r="AK51" s="302">
        <f t="shared" si="12"/>
        <v>76267.490833333286</v>
      </c>
      <c r="AL51" s="302">
        <f t="shared" si="13"/>
        <v>215382.7686111111</v>
      </c>
    </row>
    <row r="52" spans="1:38" ht="12" customHeight="1" x14ac:dyDescent="0.2">
      <c r="A52" s="300">
        <f t="shared" si="2"/>
        <v>841</v>
      </c>
      <c r="B52" s="300" t="s">
        <v>1514</v>
      </c>
      <c r="C52" s="300" t="s">
        <v>1515</v>
      </c>
      <c r="D52" s="300" t="s">
        <v>1516</v>
      </c>
      <c r="E52" s="301">
        <v>47269</v>
      </c>
      <c r="F52" s="332">
        <f t="shared" si="3"/>
        <v>2029</v>
      </c>
      <c r="G52" s="307">
        <v>570682.80000000005</v>
      </c>
      <c r="H52" s="308">
        <v>497170.2</v>
      </c>
      <c r="I52" s="308">
        <v>497170.2</v>
      </c>
      <c r="J52" s="308">
        <v>492311.2</v>
      </c>
      <c r="K52" s="308">
        <v>468016.2</v>
      </c>
      <c r="L52" s="307">
        <f>SUMIF(envB2018!$R$2:$R$162,recap_Incmpres!$B52,envB2018!$I$2:$I$162)+SUMIF(Transferts2018_EnvB!$V$2:$V$82,recap_Incmpres!$B52,Transferts2018_EnvB!$W$2:$W$82)+SUMIF(Transferts2018_EnvB!$V$2:$V$82,recap_Incmpres!$B52,Transferts2018_EnvB!$X$2:$X$82)</f>
        <v>-53575.13</v>
      </c>
      <c r="M52" s="307">
        <f t="shared" si="4"/>
        <v>-752661.56</v>
      </c>
      <c r="N52" s="307">
        <f t="shared" si="5"/>
        <v>-662608.62500000012</v>
      </c>
      <c r="O52" s="307">
        <f t="shared" si="6"/>
        <v>-662608.62500000012</v>
      </c>
      <c r="P52" s="307">
        <f t="shared" si="7"/>
        <v>-656656.35000000009</v>
      </c>
      <c r="Q52" s="307">
        <f t="shared" si="8"/>
        <v>-626894.97500000009</v>
      </c>
      <c r="R52" s="307">
        <f>SUMIF('Faculty Members_List'!$I$2:$I$256,recap_Incmpres!$A52,'Faculty Members_List'!BY$2:BY$256)</f>
        <v>683270</v>
      </c>
      <c r="S52" s="308">
        <f>SUMIF('Faculty Members_List'!$I$2:$I$256,recap_Incmpres!$A52,'Faculty Members_List'!BZ$2:BZ$256)</f>
        <v>711708.5</v>
      </c>
      <c r="T52" s="308">
        <f>SUMIF('Faculty Members_List'!$I$2:$I$256,recap_Incmpres!$A52,'Faculty Members_List'!CA$2:CA$256)</f>
        <v>721188</v>
      </c>
      <c r="U52" s="308">
        <f>SUMIF('Faculty Members_List'!$I$2:$I$256,recap_Incmpres!$A52,'Faculty Members_List'!CB$2:CB$256)</f>
        <v>721188</v>
      </c>
      <c r="V52" s="308">
        <f>SUMIF('Faculty Members_List'!$I$2:$I$256,recap_Incmpres!$A52,'Faculty Members_List'!CC$2:CC$256)</f>
        <v>721188</v>
      </c>
      <c r="W52" s="301" t="str">
        <f>IF(SUMIF('Faculty Members_List'!$I$2:$I$256,recap_Incmpres!$A52,'Faculty Members_List'!T$2:T$256)=0,"",SUMIF('Faculty Members_List'!$I$2:$I$256,recap_Incmpres!$A52,'Faculty Members_List'!T$2:T$256)-1)</f>
        <v/>
      </c>
      <c r="X52" s="308">
        <f>SUMIF('Faculty Members_List'!$I$2:$I$256,recap_Incmpres!$A52,'Faculty Members_List'!S$2:S$256)</f>
        <v>0</v>
      </c>
      <c r="Y52" s="302">
        <f t="shared" si="15"/>
        <v>0</v>
      </c>
      <c r="Z52" s="302">
        <f t="shared" si="15"/>
        <v>0</v>
      </c>
      <c r="AA52" s="302">
        <f t="shared" si="15"/>
        <v>0</v>
      </c>
      <c r="AB52" s="302">
        <f t="shared" si="15"/>
        <v>0</v>
      </c>
      <c r="AE52" s="300" t="s">
        <v>1514</v>
      </c>
      <c r="AF52" s="300" t="s">
        <v>1515</v>
      </c>
      <c r="AG52" s="300" t="s">
        <v>1516</v>
      </c>
      <c r="AH52" s="302">
        <f t="shared" si="9"/>
        <v>-69391.560000000056</v>
      </c>
      <c r="AI52" s="302">
        <f t="shared" si="10"/>
        <v>49099.874999999884</v>
      </c>
      <c r="AJ52" s="302">
        <f t="shared" si="11"/>
        <v>58579.374999999884</v>
      </c>
      <c r="AK52" s="302">
        <f t="shared" si="12"/>
        <v>64531.649999999907</v>
      </c>
      <c r="AL52" s="302">
        <f t="shared" si="13"/>
        <v>94293.024999999907</v>
      </c>
    </row>
    <row r="53" spans="1:38" s="322" customFormat="1" ht="12" customHeight="1" x14ac:dyDescent="0.2">
      <c r="A53" s="322">
        <f t="shared" si="2"/>
        <v>851</v>
      </c>
      <c r="B53" s="322" t="s">
        <v>1517</v>
      </c>
      <c r="C53" s="322" t="s">
        <v>1518</v>
      </c>
      <c r="D53" s="322" t="s">
        <v>1519</v>
      </c>
      <c r="E53" s="323">
        <v>45169</v>
      </c>
      <c r="F53" s="332">
        <f t="shared" si="3"/>
        <v>2023</v>
      </c>
      <c r="G53" s="324">
        <v>1186279.8</v>
      </c>
      <c r="H53" s="325">
        <v>963252</v>
      </c>
      <c r="I53" s="325">
        <v>963252</v>
      </c>
      <c r="J53" s="325">
        <v>937011.19999999995</v>
      </c>
      <c r="K53" s="325">
        <v>605571.4</v>
      </c>
      <c r="L53" s="307">
        <f>SUMIF(envB2018!$R$2:$R$162,recap_Incmpres!$B53,envB2018!$I$2:$I$162)+SUMIF(Transferts2018_EnvB!$V$2:$V$82,recap_Incmpres!$B53,Transferts2018_EnvB!$W$2:$W$82)+SUMIF(Transferts2018_EnvB!$V$2:$V$82,recap_Incmpres!$B53,Transferts2018_EnvB!$X$2:$X$82)</f>
        <v>-89233.53</v>
      </c>
      <c r="M53" s="324">
        <f t="shared" si="4"/>
        <v>-1542426.2850000001</v>
      </c>
      <c r="N53" s="324">
        <f t="shared" si="5"/>
        <v>-1269217.2300000002</v>
      </c>
      <c r="O53" s="324">
        <f t="shared" si="6"/>
        <v>-1269217.2300000002</v>
      </c>
      <c r="P53" s="324">
        <f t="shared" si="7"/>
        <v>-1237072.25</v>
      </c>
      <c r="Q53" s="324">
        <f t="shared" si="8"/>
        <v>-801313.9850000001</v>
      </c>
      <c r="R53" s="324">
        <f>SUMIF('Faculty Members_List'!$I$2:$I$256,recap_Incmpres!$A53,'Faculty Members_List'!BY$2:BY$256)</f>
        <v>1365573.575</v>
      </c>
      <c r="S53" s="325">
        <f>SUMIF('Faculty Members_List'!$I$2:$I$256,recap_Incmpres!$A53,'Faculty Members_List'!BZ$2:BZ$256)</f>
        <v>1193345.575</v>
      </c>
      <c r="T53" s="325">
        <f>SUMIF('Faculty Members_List'!$I$2:$I$256,recap_Incmpres!$A53,'Faculty Members_List'!CA$2:CA$256)</f>
        <v>1193345.575</v>
      </c>
      <c r="U53" s="325">
        <f>SUMIF('Faculty Members_List'!$I$2:$I$256,recap_Incmpres!$A53,'Faculty Members_List'!CB$2:CB$256)</f>
        <v>1161183.8125</v>
      </c>
      <c r="V53" s="325">
        <f>SUMIF('Faculty Members_List'!$I$2:$I$256,recap_Incmpres!$A53,'Faculty Members_List'!CC$2:CC$256)</f>
        <v>833085.71166666667</v>
      </c>
      <c r="W53" s="323" t="str">
        <f>IF(SUMIF('Faculty Members_List'!$I$2:$I$256,recap_Incmpres!$A53,'Faculty Members_List'!T$2:T$256)=0,"",SUMIF('Faculty Members_List'!$I$2:$I$256,recap_Incmpres!$A53,'Faculty Members_List'!T$2:T$256)-1)</f>
        <v/>
      </c>
      <c r="X53" s="325">
        <f>SUMIF('Faculty Members_List'!$I$2:$I$256,recap_Incmpres!$A53,'Faculty Members_List'!S$2:S$256)</f>
        <v>0</v>
      </c>
      <c r="Y53" s="326">
        <f t="shared" si="15"/>
        <v>0</v>
      </c>
      <c r="Z53" s="326">
        <f t="shared" si="15"/>
        <v>0</v>
      </c>
      <c r="AA53" s="326">
        <f t="shared" si="15"/>
        <v>0</v>
      </c>
      <c r="AB53" s="326">
        <f t="shared" si="15"/>
        <v>0</v>
      </c>
      <c r="AC53" s="322">
        <f>40000</f>
        <v>40000</v>
      </c>
      <c r="AE53" s="322" t="s">
        <v>1517</v>
      </c>
      <c r="AF53" s="322" t="s">
        <v>1518</v>
      </c>
      <c r="AG53" s="322" t="s">
        <v>1519</v>
      </c>
      <c r="AH53" s="326">
        <f t="shared" si="9"/>
        <v>-127852.7100000002</v>
      </c>
      <c r="AI53" s="326">
        <f>S53+Y53+$AC53*1.225+N53</f>
        <v>-26871.655000000261</v>
      </c>
      <c r="AJ53" s="326">
        <f t="shared" si="11"/>
        <v>-26871.655000000261</v>
      </c>
      <c r="AK53" s="326">
        <f t="shared" si="12"/>
        <v>-26888.4375</v>
      </c>
      <c r="AL53" s="326">
        <f t="shared" si="13"/>
        <v>80771.726666666567</v>
      </c>
    </row>
    <row r="54" spans="1:38" ht="12" customHeight="1" x14ac:dyDescent="0.2">
      <c r="A54" s="300">
        <f t="shared" si="2"/>
        <v>862</v>
      </c>
      <c r="B54" s="300" t="s">
        <v>1520</v>
      </c>
      <c r="C54" s="300" t="s">
        <v>1521</v>
      </c>
      <c r="D54" s="300" t="s">
        <v>1522</v>
      </c>
      <c r="E54" s="301">
        <v>43708</v>
      </c>
      <c r="F54" s="332">
        <f t="shared" si="3"/>
        <v>2019</v>
      </c>
      <c r="G54" s="307">
        <v>366232.8333</v>
      </c>
      <c r="H54" s="308">
        <v>0</v>
      </c>
      <c r="I54" s="308">
        <v>0</v>
      </c>
      <c r="J54" s="308">
        <v>0</v>
      </c>
      <c r="K54" s="308">
        <v>0</v>
      </c>
      <c r="L54" s="307">
        <f>SUMIF(envB2018!$R$2:$R$162,recap_Incmpres!$B54,envB2018!$I$2:$I$162)+SUMIF(Transferts2018_EnvB!$V$2:$V$82,recap_Incmpres!$B54,Transferts2018_EnvB!$W$2:$W$82)+SUMIF(Transferts2018_EnvB!$V$2:$V$82,recap_Incmpres!$B54,Transferts2018_EnvB!$X$2:$X$82)</f>
        <v>-141047.01999999999</v>
      </c>
      <c r="M54" s="307">
        <f t="shared" si="4"/>
        <v>-542666.56745916663</v>
      </c>
      <c r="N54" s="307">
        <f t="shared" si="5"/>
        <v>0</v>
      </c>
      <c r="O54" s="307">
        <f t="shared" si="6"/>
        <v>0</v>
      </c>
      <c r="P54" s="307">
        <f t="shared" si="7"/>
        <v>0</v>
      </c>
      <c r="Q54" s="307">
        <f t="shared" si="8"/>
        <v>0</v>
      </c>
      <c r="R54" s="307">
        <f>SUMIF('Faculty Members_List'!$I$2:$I$256,recap_Incmpres!$A54,'Faculty Members_List'!BY$2:BY$256)</f>
        <v>460083</v>
      </c>
      <c r="S54" s="308">
        <f>SUMIF('Faculty Members_List'!$I$2:$I$256,recap_Incmpres!$A54,'Faculty Members_List'!BZ$2:BZ$256)</f>
        <v>148343.82500000001</v>
      </c>
      <c r="T54" s="308">
        <f>SUMIF('Faculty Members_List'!$I$2:$I$256,recap_Incmpres!$A54,'Faculty Members_List'!CA$2:CA$256)</f>
        <v>148343.82500000001</v>
      </c>
      <c r="U54" s="308">
        <f>SUMIF('Faculty Members_List'!$I$2:$I$256,recap_Incmpres!$A54,'Faculty Members_List'!CB$2:CB$256)</f>
        <v>148343.82500000001</v>
      </c>
      <c r="V54" s="308">
        <f>SUMIF('Faculty Members_List'!$I$2:$I$256,recap_Incmpres!$A54,'Faculty Members_List'!CC$2:CC$256)</f>
        <v>148343.82500000001</v>
      </c>
      <c r="W54" s="301" t="str">
        <f>IF(SUMIF('Faculty Members_List'!$I$2:$I$256,recap_Incmpres!$A54,'Faculty Members_List'!T$2:T$256)=0,"",SUMIF('Faculty Members_List'!$I$2:$I$256,recap_Incmpres!$A54,'Faculty Members_List'!T$2:T$256)-1)</f>
        <v/>
      </c>
      <c r="X54" s="308">
        <f>SUMIF('Faculty Members_List'!$I$2:$I$256,recap_Incmpres!$A54,'Faculty Members_List'!S$2:S$256)</f>
        <v>0</v>
      </c>
      <c r="Y54" s="302">
        <f t="shared" si="15"/>
        <v>0</v>
      </c>
      <c r="Z54" s="302">
        <f t="shared" si="15"/>
        <v>0</v>
      </c>
      <c r="AA54" s="302">
        <f t="shared" si="15"/>
        <v>0</v>
      </c>
      <c r="AB54" s="302">
        <f t="shared" si="15"/>
        <v>0</v>
      </c>
      <c r="AE54" s="300" t="s">
        <v>1520</v>
      </c>
      <c r="AF54" s="300" t="s">
        <v>1521</v>
      </c>
      <c r="AG54" s="300" t="s">
        <v>1522</v>
      </c>
      <c r="AH54" s="302">
        <f t="shared" si="9"/>
        <v>-82583.567459166632</v>
      </c>
      <c r="AI54" s="302">
        <f t="shared" si="10"/>
        <v>148343.82500000001</v>
      </c>
      <c r="AJ54" s="302">
        <f t="shared" si="11"/>
        <v>148343.82500000001</v>
      </c>
      <c r="AK54" s="302">
        <f t="shared" si="12"/>
        <v>148343.82500000001</v>
      </c>
      <c r="AL54" s="302">
        <f t="shared" si="13"/>
        <v>148343.82500000001</v>
      </c>
    </row>
    <row r="55" spans="1:38" ht="12" customHeight="1" x14ac:dyDescent="0.2">
      <c r="A55" s="300">
        <f t="shared" si="2"/>
        <v>864</v>
      </c>
      <c r="B55" s="300" t="s">
        <v>1523</v>
      </c>
      <c r="C55" s="300" t="s">
        <v>1524</v>
      </c>
      <c r="D55" s="300" t="s">
        <v>1525</v>
      </c>
      <c r="E55" s="301">
        <v>50283</v>
      </c>
      <c r="F55" s="332">
        <f t="shared" si="3"/>
        <v>2037</v>
      </c>
      <c r="G55" s="307">
        <v>316372.34999999998</v>
      </c>
      <c r="H55" s="308">
        <v>243175.65</v>
      </c>
      <c r="I55" s="308">
        <v>236339.85</v>
      </c>
      <c r="J55" s="308">
        <v>236339.85</v>
      </c>
      <c r="K55" s="308">
        <v>236339.85</v>
      </c>
      <c r="L55" s="307">
        <f>SUMIF(envB2018!$R$2:$R$162,recap_Incmpres!$B55,envB2018!$I$2:$I$162)+SUMIF(Transferts2018_EnvB!$V$2:$V$82,recap_Incmpres!$B55,Transferts2018_EnvB!$W$2:$W$82)+SUMIF(Transferts2018_EnvB!$V$2:$V$82,recap_Incmpres!$B55,Transferts2018_EnvB!$X$2:$X$82)</f>
        <v>-55816.49</v>
      </c>
      <c r="M55" s="307">
        <f t="shared" si="4"/>
        <v>-443372.61874999997</v>
      </c>
      <c r="N55" s="307">
        <f t="shared" si="5"/>
        <v>-353706.66125</v>
      </c>
      <c r="O55" s="307">
        <f t="shared" si="6"/>
        <v>-345332.80625000002</v>
      </c>
      <c r="P55" s="307">
        <f t="shared" si="7"/>
        <v>-345332.80625000002</v>
      </c>
      <c r="Q55" s="307">
        <f t="shared" si="8"/>
        <v>-345332.80625000002</v>
      </c>
      <c r="R55" s="307">
        <f>SUMIF('Faculty Members_List'!$I$2:$I$256,recap_Incmpres!$A55,'Faculty Members_List'!BY$2:BY$256)</f>
        <v>421361</v>
      </c>
      <c r="S55" s="308">
        <f>SUMIF('Faculty Members_List'!$I$2:$I$256,recap_Incmpres!$A55,'Faculty Members_List'!BZ$2:BZ$256)</f>
        <v>449279.75</v>
      </c>
      <c r="T55" s="308">
        <f>SUMIF('Faculty Members_List'!$I$2:$I$256,recap_Incmpres!$A55,'Faculty Members_List'!CA$2:CA$256)</f>
        <v>477198.5</v>
      </c>
      <c r="U55" s="308">
        <f>SUMIF('Faculty Members_List'!$I$2:$I$256,recap_Incmpres!$A55,'Faculty Members_List'!CB$2:CB$256)</f>
        <v>500187.5</v>
      </c>
      <c r="V55" s="308">
        <f>SUMIF('Faculty Members_List'!$I$2:$I$256,recap_Incmpres!$A55,'Faculty Members_List'!CC$2:CC$256)</f>
        <v>500187.5</v>
      </c>
      <c r="W55" s="301" t="str">
        <f>IF(SUMIF('Faculty Members_List'!$I$2:$I$256,recap_Incmpres!$A55,'Faculty Members_List'!T$2:T$256)=0,"",SUMIF('Faculty Members_List'!$I$2:$I$256,recap_Incmpres!$A55,'Faculty Members_List'!T$2:T$256)-1)</f>
        <v/>
      </c>
      <c r="X55" s="308">
        <f>SUMIF('Faculty Members_List'!$I$2:$I$256,recap_Incmpres!$A55,'Faculty Members_List'!S$2:S$256)</f>
        <v>0</v>
      </c>
      <c r="Y55" s="302">
        <f t="shared" si="15"/>
        <v>0</v>
      </c>
      <c r="Z55" s="302">
        <f t="shared" si="15"/>
        <v>0</v>
      </c>
      <c r="AA55" s="302">
        <f t="shared" si="15"/>
        <v>0</v>
      </c>
      <c r="AB55" s="302">
        <f t="shared" si="15"/>
        <v>0</v>
      </c>
      <c r="AE55" s="300" t="s">
        <v>1523</v>
      </c>
      <c r="AF55" s="300" t="s">
        <v>1524</v>
      </c>
      <c r="AG55" s="300" t="s">
        <v>1525</v>
      </c>
      <c r="AH55" s="302">
        <f t="shared" si="9"/>
        <v>-22011.618749999965</v>
      </c>
      <c r="AI55" s="302">
        <f t="shared" si="10"/>
        <v>95573.088749999995</v>
      </c>
      <c r="AJ55" s="302">
        <f t="shared" si="11"/>
        <v>131865.69374999998</v>
      </c>
      <c r="AK55" s="302">
        <f t="shared" si="12"/>
        <v>154854.69374999998</v>
      </c>
      <c r="AL55" s="302">
        <f t="shared" si="13"/>
        <v>154854.69374999998</v>
      </c>
    </row>
    <row r="56" spans="1:38" ht="12" customHeight="1" x14ac:dyDescent="0.2">
      <c r="A56" s="300">
        <f t="shared" si="2"/>
        <v>880</v>
      </c>
      <c r="B56" s="300" t="s">
        <v>1526</v>
      </c>
      <c r="C56" s="300" t="s">
        <v>1527</v>
      </c>
      <c r="D56" s="300" t="s">
        <v>1528</v>
      </c>
      <c r="E56" s="301">
        <v>52993</v>
      </c>
      <c r="F56" s="332">
        <f t="shared" si="3"/>
        <v>2045</v>
      </c>
      <c r="G56" s="307">
        <v>502169.9167</v>
      </c>
      <c r="H56" s="308">
        <v>532395.61699999997</v>
      </c>
      <c r="I56" s="308">
        <v>482478.80040000001</v>
      </c>
      <c r="J56" s="308">
        <v>473787.40039999998</v>
      </c>
      <c r="K56" s="308">
        <v>421871.26679999998</v>
      </c>
      <c r="L56" s="307">
        <f>SUMIF(envB2018!$R$2:$R$162,recap_Incmpres!$B56,envB2018!$I$2:$I$162)+SUMIF(Transferts2018_EnvB!$V$2:$V$82,recap_Incmpres!$B56,Transferts2018_EnvB!$W$2:$W$82)+SUMIF(Transferts2018_EnvB!$V$2:$V$82,recap_Incmpres!$B56,Transferts2018_EnvB!$X$2:$X$82)</f>
        <v>-200714.34</v>
      </c>
      <c r="M56" s="307">
        <f t="shared" si="4"/>
        <v>-815872.48795750004</v>
      </c>
      <c r="N56" s="307">
        <f t="shared" si="5"/>
        <v>-852898.97082499997</v>
      </c>
      <c r="O56" s="307">
        <f t="shared" si="6"/>
        <v>-791750.87049</v>
      </c>
      <c r="P56" s="307">
        <f t="shared" si="7"/>
        <v>-781103.90549000003</v>
      </c>
      <c r="Q56" s="307">
        <f t="shared" si="8"/>
        <v>-717506.64182999998</v>
      </c>
      <c r="R56" s="307">
        <f>SUMIF('Faculty Members_List'!$I$2:$I$256,recap_Incmpres!$A56,'Faculty Members_List'!BY$2:BY$256)</f>
        <v>748188.75</v>
      </c>
      <c r="S56" s="308">
        <f>SUMIF('Faculty Members_List'!$I$2:$I$256,recap_Incmpres!$A56,'Faculty Members_List'!BZ$2:BZ$256)</f>
        <v>721188</v>
      </c>
      <c r="T56" s="308">
        <f>SUMIF('Faculty Members_List'!$I$2:$I$256,recap_Incmpres!$A56,'Faculty Members_List'!CA$2:CA$256)</f>
        <v>721188</v>
      </c>
      <c r="U56" s="308">
        <f>SUMIF('Faculty Members_List'!$I$2:$I$256,recap_Incmpres!$A56,'Faculty Members_List'!CB$2:CB$256)</f>
        <v>777025.5</v>
      </c>
      <c r="V56" s="308">
        <f>SUMIF('Faculty Members_List'!$I$2:$I$256,recap_Incmpres!$A56,'Faculty Members_List'!CC$2:CC$256)</f>
        <v>832863</v>
      </c>
      <c r="W56" s="301" t="str">
        <f>IF(SUMIF('Faculty Members_List'!$I$2:$I$256,recap_Incmpres!$A56,'Faculty Members_List'!T$2:T$256)=0,"",SUMIF('Faculty Members_List'!$I$2:$I$256,recap_Incmpres!$A56,'Faculty Members_List'!T$2:T$256)-1)</f>
        <v/>
      </c>
      <c r="X56" s="308">
        <f>SUMIF('Faculty Members_List'!$I$2:$I$256,recap_Incmpres!$A56,'Faculty Members_List'!S$2:S$256)</f>
        <v>0</v>
      </c>
      <c r="Y56" s="302">
        <f t="shared" si="15"/>
        <v>0</v>
      </c>
      <c r="Z56" s="302">
        <f t="shared" si="15"/>
        <v>0</v>
      </c>
      <c r="AA56" s="302">
        <f t="shared" si="15"/>
        <v>0</v>
      </c>
      <c r="AB56" s="302">
        <f t="shared" si="15"/>
        <v>0</v>
      </c>
      <c r="AC56" s="335">
        <f>30000/1.225</f>
        <v>24489.795918367345</v>
      </c>
      <c r="AE56" s="300" t="s">
        <v>1526</v>
      </c>
      <c r="AF56" s="300" t="s">
        <v>1527</v>
      </c>
      <c r="AG56" s="300" t="s">
        <v>1528</v>
      </c>
      <c r="AH56" s="302">
        <f t="shared" si="9"/>
        <v>-37683.737957500038</v>
      </c>
      <c r="AI56" s="302">
        <f t="shared" si="10"/>
        <v>-101710.97082499997</v>
      </c>
      <c r="AJ56" s="302">
        <f t="shared" si="11"/>
        <v>-40562.870490000001</v>
      </c>
      <c r="AK56" s="302">
        <f t="shared" si="12"/>
        <v>25921.594509999966</v>
      </c>
      <c r="AL56" s="302">
        <f t="shared" si="13"/>
        <v>145356.35817000002</v>
      </c>
    </row>
    <row r="57" spans="1:38" ht="12" customHeight="1" x14ac:dyDescent="0.2">
      <c r="A57" s="300">
        <f t="shared" si="2"/>
        <v>881</v>
      </c>
      <c r="B57" s="300" t="s">
        <v>1529</v>
      </c>
      <c r="C57" s="300" t="s">
        <v>1530</v>
      </c>
      <c r="D57" s="300" t="s">
        <v>1531</v>
      </c>
      <c r="E57" s="301">
        <v>50982</v>
      </c>
      <c r="F57" s="332">
        <f t="shared" si="3"/>
        <v>2039</v>
      </c>
      <c r="G57" s="307">
        <v>490342.8</v>
      </c>
      <c r="H57" s="308">
        <v>432142.85</v>
      </c>
      <c r="I57" s="308">
        <v>383849.4</v>
      </c>
      <c r="J57" s="308">
        <v>383849.4</v>
      </c>
      <c r="K57" s="308">
        <v>370874.4</v>
      </c>
      <c r="L57" s="307">
        <f>SUMIF(envB2018!$R$2:$R$162,recap_Incmpres!$B57,envB2018!$I$2:$I$162)+SUMIF(Transferts2018_EnvB!$V$2:$V$82,recap_Incmpres!$B57,Transferts2018_EnvB!$W$2:$W$82)+SUMIF(Transferts2018_EnvB!$V$2:$V$82,recap_Incmpres!$B57,Transferts2018_EnvB!$X$2:$X$82)</f>
        <v>-82376.06</v>
      </c>
      <c r="M57" s="307">
        <f t="shared" si="4"/>
        <v>-683045.99</v>
      </c>
      <c r="N57" s="307">
        <f t="shared" si="5"/>
        <v>-611751.05125000002</v>
      </c>
      <c r="O57" s="307">
        <f t="shared" si="6"/>
        <v>-552591.57500000007</v>
      </c>
      <c r="P57" s="307">
        <f t="shared" si="7"/>
        <v>-552591.57500000007</v>
      </c>
      <c r="Q57" s="307">
        <f t="shared" si="8"/>
        <v>-536697.20000000007</v>
      </c>
      <c r="R57" s="307">
        <f>SUMIF('Faculty Members_List'!$I$2:$I$256,recap_Incmpres!$A57,'Faculty Members_List'!BY$2:BY$256)</f>
        <v>747306.75</v>
      </c>
      <c r="S57" s="308">
        <f>SUMIF('Faculty Members_List'!$I$2:$I$256,recap_Incmpres!$A57,'Faculty Members_List'!BZ$2:BZ$256)</f>
        <v>721188</v>
      </c>
      <c r="T57" s="308">
        <f>SUMIF('Faculty Members_List'!$I$2:$I$256,recap_Incmpres!$A57,'Faculty Members_List'!CA$2:CA$256)</f>
        <v>721188</v>
      </c>
      <c r="U57" s="308">
        <f>SUMIF('Faculty Members_List'!$I$2:$I$256,recap_Incmpres!$A57,'Faculty Members_List'!CB$2:CB$256)</f>
        <v>749106.75</v>
      </c>
      <c r="V57" s="308">
        <f>SUMIF('Faculty Members_List'!$I$2:$I$256,recap_Incmpres!$A57,'Faculty Members_List'!CC$2:CC$256)</f>
        <v>804944.25</v>
      </c>
      <c r="W57" s="301" t="str">
        <f>IF(SUMIF('Faculty Members_List'!$I$2:$I$256,recap_Incmpres!$A57,'Faculty Members_List'!T$2:T$256)=0,"",SUMIF('Faculty Members_List'!$I$2:$I$256,recap_Incmpres!$A57,'Faculty Members_List'!T$2:T$256)-1)</f>
        <v/>
      </c>
      <c r="X57" s="308">
        <f>SUMIF('Faculty Members_List'!$I$2:$I$256,recap_Incmpres!$A57,'Faculty Members_List'!S$2:S$256)</f>
        <v>0</v>
      </c>
      <c r="Y57" s="302">
        <f t="shared" si="15"/>
        <v>0</v>
      </c>
      <c r="Z57" s="302">
        <f t="shared" si="15"/>
        <v>0</v>
      </c>
      <c r="AA57" s="302">
        <f t="shared" si="15"/>
        <v>0</v>
      </c>
      <c r="AB57" s="302">
        <f t="shared" si="15"/>
        <v>0</v>
      </c>
      <c r="AE57" s="300" t="s">
        <v>1529</v>
      </c>
      <c r="AF57" s="300" t="s">
        <v>1530</v>
      </c>
      <c r="AG57" s="300" t="s">
        <v>1531</v>
      </c>
      <c r="AH57" s="302">
        <f t="shared" si="9"/>
        <v>64260.760000000009</v>
      </c>
      <c r="AI57" s="302">
        <f t="shared" si="10"/>
        <v>109436.94874999998</v>
      </c>
      <c r="AJ57" s="302">
        <f t="shared" si="11"/>
        <v>168596.42499999993</v>
      </c>
      <c r="AK57" s="302">
        <f t="shared" si="12"/>
        <v>196515.17499999993</v>
      </c>
      <c r="AL57" s="302">
        <f t="shared" si="13"/>
        <v>268247.04999999993</v>
      </c>
    </row>
    <row r="58" spans="1:38" ht="12" customHeight="1" x14ac:dyDescent="0.2">
      <c r="A58" s="300">
        <f t="shared" si="2"/>
        <v>886</v>
      </c>
      <c r="B58" s="300" t="s">
        <v>1532</v>
      </c>
      <c r="C58" s="300" t="s">
        <v>1533</v>
      </c>
      <c r="D58" s="300" t="s">
        <v>1534</v>
      </c>
      <c r="E58" s="301">
        <v>51682</v>
      </c>
      <c r="F58" s="332">
        <f t="shared" si="3"/>
        <v>2041</v>
      </c>
      <c r="G58" s="307">
        <v>403474.8</v>
      </c>
      <c r="H58" s="308">
        <v>363946.2</v>
      </c>
      <c r="I58" s="308">
        <v>316378.2</v>
      </c>
      <c r="J58" s="308">
        <v>294121.2</v>
      </c>
      <c r="K58" s="308">
        <v>294121.2</v>
      </c>
      <c r="L58" s="307">
        <f>SUMIF(envB2018!$R$2:$R$162,recap_Incmpres!$B58,envB2018!$I$2:$I$162)+SUMIF(Transferts2018_EnvB!$V$2:$V$82,recap_Incmpres!$B58,Transferts2018_EnvB!$W$2:$W$82)+SUMIF(Transferts2018_EnvB!$V$2:$V$82,recap_Incmpres!$B58,Transferts2018_EnvB!$X$2:$X$82)</f>
        <v>-155570.45000000001</v>
      </c>
      <c r="M58" s="307">
        <f t="shared" si="4"/>
        <v>-649827.08000000007</v>
      </c>
      <c r="N58" s="307">
        <f t="shared" si="5"/>
        <v>-601404.54500000004</v>
      </c>
      <c r="O58" s="307">
        <f t="shared" si="6"/>
        <v>-543133.74500000011</v>
      </c>
      <c r="P58" s="307">
        <f t="shared" si="7"/>
        <v>-515868.92000000004</v>
      </c>
      <c r="Q58" s="307">
        <f t="shared" si="8"/>
        <v>-515868.92000000004</v>
      </c>
      <c r="R58" s="307">
        <f>SUMIF('Faculty Members_List'!$I$2:$I$256,recap_Incmpres!$A58,'Faculty Members_List'!BY$2:BY$256)</f>
        <v>694691</v>
      </c>
      <c r="S58" s="308">
        <f>SUMIF('Faculty Members_List'!$I$2:$I$256,recap_Incmpres!$A58,'Faculty Members_List'!BZ$2:BZ$256)</f>
        <v>721188</v>
      </c>
      <c r="T58" s="308">
        <f>SUMIF('Faculty Members_List'!$I$2:$I$256,recap_Incmpres!$A58,'Faculty Members_List'!CA$2:CA$256)</f>
        <v>721188</v>
      </c>
      <c r="U58" s="308">
        <f>SUMIF('Faculty Members_List'!$I$2:$I$256,recap_Incmpres!$A58,'Faculty Members_List'!CB$2:CB$256)</f>
        <v>721188</v>
      </c>
      <c r="V58" s="308">
        <f>SUMIF('Faculty Members_List'!$I$2:$I$256,recap_Incmpres!$A58,'Faculty Members_List'!CC$2:CC$256)</f>
        <v>721188</v>
      </c>
      <c r="W58" s="301" t="str">
        <f>IF(SUMIF('Faculty Members_List'!$I$2:$I$256,recap_Incmpres!$A58,'Faculty Members_List'!T$2:T$256)=0,"",SUMIF('Faculty Members_List'!$I$2:$I$256,recap_Incmpres!$A58,'Faculty Members_List'!T$2:T$256)-1)</f>
        <v/>
      </c>
      <c r="X58" s="308">
        <f>SUMIF('Faculty Members_List'!$I$2:$I$256,recap_Incmpres!$A58,'Faculty Members_List'!S$2:S$256)</f>
        <v>0</v>
      </c>
      <c r="Y58" s="302">
        <f t="shared" si="15"/>
        <v>0</v>
      </c>
      <c r="Z58" s="302">
        <f t="shared" si="15"/>
        <v>0</v>
      </c>
      <c r="AA58" s="302">
        <f t="shared" si="15"/>
        <v>0</v>
      </c>
      <c r="AB58" s="302">
        <f t="shared" si="15"/>
        <v>0</v>
      </c>
      <c r="AE58" s="300" t="s">
        <v>1532</v>
      </c>
      <c r="AF58" s="300" t="s">
        <v>1533</v>
      </c>
      <c r="AG58" s="300" t="s">
        <v>1534</v>
      </c>
      <c r="AH58" s="302">
        <f t="shared" si="9"/>
        <v>44863.919999999925</v>
      </c>
      <c r="AI58" s="302">
        <f t="shared" si="10"/>
        <v>119783.45499999996</v>
      </c>
      <c r="AJ58" s="302">
        <f t="shared" si="11"/>
        <v>178054.25499999989</v>
      </c>
      <c r="AK58" s="302">
        <f t="shared" si="12"/>
        <v>205319.07999999996</v>
      </c>
      <c r="AL58" s="302">
        <f t="shared" si="13"/>
        <v>205319.07999999996</v>
      </c>
    </row>
    <row r="59" spans="1:38" ht="12" customHeight="1" x14ac:dyDescent="0.2">
      <c r="A59" s="300">
        <f t="shared" si="2"/>
        <v>887</v>
      </c>
      <c r="B59" s="300" t="s">
        <v>1535</v>
      </c>
      <c r="C59" s="300" t="s">
        <v>1536</v>
      </c>
      <c r="D59" s="300" t="s">
        <v>122</v>
      </c>
      <c r="E59" s="301">
        <v>51287</v>
      </c>
      <c r="F59" s="332">
        <f t="shared" si="3"/>
        <v>2040</v>
      </c>
      <c r="G59" s="307">
        <v>323496.68329999998</v>
      </c>
      <c r="H59" s="308">
        <v>284545.2</v>
      </c>
      <c r="I59" s="308">
        <v>271350.2</v>
      </c>
      <c r="J59" s="308">
        <v>270976.2</v>
      </c>
      <c r="K59" s="308">
        <v>270976.2</v>
      </c>
      <c r="L59" s="307">
        <f>SUMIF(envB2018!$R$2:$R$162,recap_Incmpres!$B59,envB2018!$I$2:$I$162)+SUMIF(Transferts2018_EnvB!$V$2:$V$82,recap_Incmpres!$B59,Transferts2018_EnvB!$W$2:$W$82)+SUMIF(Transferts2018_EnvB!$V$2:$V$82,recap_Incmpres!$B59,Transferts2018_EnvB!$X$2:$X$82)</f>
        <v>-83946.95</v>
      </c>
      <c r="M59" s="307">
        <f t="shared" si="4"/>
        <v>-480230.38704250002</v>
      </c>
      <c r="N59" s="307">
        <f t="shared" si="5"/>
        <v>-432514.82000000007</v>
      </c>
      <c r="O59" s="307">
        <f t="shared" si="6"/>
        <v>-416350.94500000007</v>
      </c>
      <c r="P59" s="307">
        <f t="shared" si="7"/>
        <v>-415892.79500000004</v>
      </c>
      <c r="Q59" s="307">
        <f t="shared" si="8"/>
        <v>-415892.79500000004</v>
      </c>
      <c r="R59" s="307">
        <f>SUMIF('Faculty Members_List'!$I$2:$I$256,recap_Incmpres!$A59,'Faculty Members_List'!BY$2:BY$256)</f>
        <v>374827</v>
      </c>
      <c r="S59" s="308">
        <f>SUMIF('Faculty Members_List'!$I$2:$I$256,recap_Incmpres!$A59,'Faculty Members_List'!BZ$2:BZ$256)</f>
        <v>721188</v>
      </c>
      <c r="T59" s="308">
        <f>SUMIF('Faculty Members_List'!$I$2:$I$256,recap_Incmpres!$A59,'Faculty Members_List'!CA$2:CA$256)</f>
        <v>721188</v>
      </c>
      <c r="U59" s="308">
        <f>SUMIF('Faculty Members_List'!$I$2:$I$256,recap_Incmpres!$A59,'Faculty Members_List'!CB$2:CB$256)</f>
        <v>753759.875</v>
      </c>
      <c r="V59" s="308">
        <f>SUMIF('Faculty Members_List'!$I$2:$I$256,recap_Incmpres!$A59,'Faculty Members_List'!CC$2:CC$256)</f>
        <v>809597.375</v>
      </c>
      <c r="W59" s="301" t="str">
        <f>IF(SUMIF('Faculty Members_List'!$I$2:$I$256,recap_Incmpres!$A59,'Faculty Members_List'!T$2:T$256)=0,"",SUMIF('Faculty Members_List'!$I$2:$I$256,recap_Incmpres!$A59,'Faculty Members_List'!T$2:T$256)-1)</f>
        <v/>
      </c>
      <c r="X59" s="308">
        <f>SUMIF('Faculty Members_List'!$I$2:$I$256,recap_Incmpres!$A59,'Faculty Members_List'!S$2:S$256)</f>
        <v>0</v>
      </c>
      <c r="Y59" s="302">
        <f t="shared" si="15"/>
        <v>0</v>
      </c>
      <c r="Z59" s="302">
        <f t="shared" si="15"/>
        <v>0</v>
      </c>
      <c r="AA59" s="302">
        <f t="shared" si="15"/>
        <v>0</v>
      </c>
      <c r="AB59" s="302">
        <f t="shared" si="15"/>
        <v>0</v>
      </c>
      <c r="AC59" s="300">
        <v>83414</v>
      </c>
      <c r="AE59" s="300" t="s">
        <v>1535</v>
      </c>
      <c r="AF59" s="300" t="s">
        <v>1536</v>
      </c>
      <c r="AG59" s="300" t="s">
        <v>122</v>
      </c>
      <c r="AH59" s="302">
        <f t="shared" si="9"/>
        <v>-3221.2370424999972</v>
      </c>
      <c r="AI59" s="302">
        <f t="shared" si="10"/>
        <v>390855.32999999996</v>
      </c>
      <c r="AJ59" s="302">
        <f t="shared" si="11"/>
        <v>407019.20499999996</v>
      </c>
      <c r="AK59" s="302">
        <f t="shared" si="12"/>
        <v>440049.23</v>
      </c>
      <c r="AL59" s="302">
        <f t="shared" si="13"/>
        <v>495886.73</v>
      </c>
    </row>
    <row r="60" spans="1:38" ht="12" customHeight="1" x14ac:dyDescent="0.2">
      <c r="A60" s="300">
        <f t="shared" si="2"/>
        <v>888</v>
      </c>
      <c r="B60" s="300" t="s">
        <v>1537</v>
      </c>
      <c r="C60" s="300" t="s">
        <v>1538</v>
      </c>
      <c r="D60" s="300" t="s">
        <v>1539</v>
      </c>
      <c r="E60" s="301">
        <v>49765</v>
      </c>
      <c r="F60" s="332">
        <f t="shared" si="3"/>
        <v>2036</v>
      </c>
      <c r="G60" s="307">
        <v>840764.98329999996</v>
      </c>
      <c r="H60" s="308">
        <v>817102.2</v>
      </c>
      <c r="I60" s="308">
        <v>755195.3</v>
      </c>
      <c r="J60" s="308">
        <v>711849</v>
      </c>
      <c r="K60" s="308">
        <v>711849</v>
      </c>
      <c r="L60" s="307">
        <f>SUMIF(envB2018!$R$2:$R$162,recap_Incmpres!$B60,envB2018!$I$2:$I$162)+SUMIF(Transferts2018_EnvB!$V$2:$V$82,recap_Incmpres!$B60,Transferts2018_EnvB!$W$2:$W$82)+SUMIF(Transferts2018_EnvB!$V$2:$V$82,recap_Incmpres!$B60,Transferts2018_EnvB!$X$2:$X$82)</f>
        <v>-237224.24</v>
      </c>
      <c r="M60" s="307">
        <f t="shared" si="4"/>
        <v>-1267161.3445425001</v>
      </c>
      <c r="N60" s="307">
        <f t="shared" si="5"/>
        <v>-1238174.4350000001</v>
      </c>
      <c r="O60" s="307">
        <f t="shared" si="6"/>
        <v>-1162338.4825000002</v>
      </c>
      <c r="P60" s="307">
        <f t="shared" si="7"/>
        <v>-1109239.2650000001</v>
      </c>
      <c r="Q60" s="307">
        <f t="shared" si="8"/>
        <v>-1109239.2650000001</v>
      </c>
      <c r="R60" s="307">
        <f>SUMIF('Faculty Members_List'!$I$2:$I$256,recap_Incmpres!$A60,'Faculty Members_List'!BY$2:BY$256)</f>
        <v>1336485.645</v>
      </c>
      <c r="S60" s="308">
        <f>SUMIF('Faculty Members_List'!$I$2:$I$256,recap_Incmpres!$A60,'Faculty Members_List'!BZ$2:BZ$256)</f>
        <v>1271966.645</v>
      </c>
      <c r="T60" s="308">
        <f>SUMIF('Faculty Members_List'!$I$2:$I$256,recap_Incmpres!$A60,'Faculty Members_List'!CA$2:CA$256)</f>
        <v>1271966.645</v>
      </c>
      <c r="U60" s="308">
        <f>SUMIF('Faculty Members_List'!$I$2:$I$256,recap_Incmpres!$A60,'Faculty Members_List'!CB$2:CB$256)</f>
        <v>1271966.645</v>
      </c>
      <c r="V60" s="308">
        <f>SUMIF('Faculty Members_List'!$I$2:$I$256,recap_Incmpres!$A60,'Faculty Members_List'!CC$2:CC$256)</f>
        <v>1271966.645</v>
      </c>
      <c r="W60" s="301" t="str">
        <f>IF(SUMIF('Faculty Members_List'!$I$2:$I$256,recap_Incmpres!$A60,'Faculty Members_List'!T$2:T$256)=0,"",SUMIF('Faculty Members_List'!$I$2:$I$256,recap_Incmpres!$A60,'Faculty Members_List'!T$2:T$256)-1)</f>
        <v/>
      </c>
      <c r="X60" s="308">
        <f>SUMIF('Faculty Members_List'!$I$2:$I$256,recap_Incmpres!$A60,'Faculty Members_List'!S$2:S$256)</f>
        <v>0</v>
      </c>
      <c r="Y60" s="302">
        <f t="shared" si="15"/>
        <v>0</v>
      </c>
      <c r="Z60" s="302">
        <f t="shared" si="15"/>
        <v>0</v>
      </c>
      <c r="AA60" s="302">
        <f t="shared" si="15"/>
        <v>0</v>
      </c>
      <c r="AB60" s="302">
        <f t="shared" si="15"/>
        <v>0</v>
      </c>
      <c r="AC60" s="322">
        <v>178074</v>
      </c>
      <c r="AE60" s="300" t="s">
        <v>1537</v>
      </c>
      <c r="AF60" s="300" t="s">
        <v>1538</v>
      </c>
      <c r="AG60" s="300" t="s">
        <v>1539</v>
      </c>
      <c r="AH60" s="302">
        <f t="shared" si="9"/>
        <v>287464.95045749983</v>
      </c>
      <c r="AI60" s="302">
        <f t="shared" si="10"/>
        <v>251932.85999999987</v>
      </c>
      <c r="AJ60" s="302">
        <f t="shared" si="11"/>
        <v>327768.81249999977</v>
      </c>
      <c r="AK60" s="302">
        <f t="shared" si="12"/>
        <v>380868.0299999998</v>
      </c>
      <c r="AL60" s="302">
        <f t="shared" si="13"/>
        <v>380868.0299999998</v>
      </c>
    </row>
    <row r="61" spans="1:38" ht="12" customHeight="1" x14ac:dyDescent="0.2">
      <c r="A61" s="300">
        <f t="shared" si="2"/>
        <v>889</v>
      </c>
      <c r="B61" s="300" t="s">
        <v>1540</v>
      </c>
      <c r="C61" s="300" t="s">
        <v>1541</v>
      </c>
      <c r="D61" s="300" t="s">
        <v>1542</v>
      </c>
      <c r="E61" s="301">
        <v>52231</v>
      </c>
      <c r="F61" s="332">
        <f t="shared" si="3"/>
        <v>2042</v>
      </c>
      <c r="G61" s="307">
        <v>503862.9583</v>
      </c>
      <c r="H61" s="308">
        <v>447538.8664</v>
      </c>
      <c r="I61" s="308">
        <v>382160.19959999999</v>
      </c>
      <c r="J61" s="308">
        <v>319780.8</v>
      </c>
      <c r="K61" s="308">
        <v>292010</v>
      </c>
      <c r="L61" s="307">
        <f>SUMIF(envB2018!$R$2:$R$162,recap_Incmpres!$B61,envB2018!$I$2:$I$162)+SUMIF(Transferts2018_EnvB!$V$2:$V$82,recap_Incmpres!$B61,Transferts2018_EnvB!$W$2:$W$82)+SUMIF(Transferts2018_EnvB!$V$2:$V$82,recap_Incmpres!$B61,Transferts2018_EnvB!$X$2:$X$82)</f>
        <v>-79358.039999999994</v>
      </c>
      <c r="M61" s="307">
        <f t="shared" si="4"/>
        <v>-696590.16391750006</v>
      </c>
      <c r="N61" s="307">
        <f t="shared" si="5"/>
        <v>-627593.1513400001</v>
      </c>
      <c r="O61" s="307">
        <f t="shared" si="6"/>
        <v>-547504.28451000003</v>
      </c>
      <c r="P61" s="307">
        <f t="shared" si="7"/>
        <v>-471089.52</v>
      </c>
      <c r="Q61" s="307">
        <f t="shared" si="8"/>
        <v>-437070.29</v>
      </c>
      <c r="R61" s="307">
        <f>SUMIF('Faculty Members_List'!$I$2:$I$256,recap_Incmpres!$A61,'Faculty Members_List'!BY$2:BY$256)</f>
        <v>719254</v>
      </c>
      <c r="S61" s="308">
        <f>SUMIF('Faculty Members_List'!$I$2:$I$256,recap_Incmpres!$A61,'Faculty Members_List'!BZ$2:BZ$256)</f>
        <v>721188</v>
      </c>
      <c r="T61" s="308">
        <f>SUMIF('Faculty Members_List'!$I$2:$I$256,recap_Incmpres!$A61,'Faculty Members_List'!CA$2:CA$256)</f>
        <v>721188</v>
      </c>
      <c r="U61" s="308">
        <f>SUMIF('Faculty Members_List'!$I$2:$I$256,recap_Incmpres!$A61,'Faculty Members_List'!CB$2:CB$256)</f>
        <v>721188</v>
      </c>
      <c r="V61" s="308">
        <f>SUMIF('Faculty Members_List'!$I$2:$I$256,recap_Incmpres!$A61,'Faculty Members_List'!CC$2:CC$256)</f>
        <v>721188</v>
      </c>
      <c r="W61" s="301" t="str">
        <f>IF(SUMIF('Faculty Members_List'!$I$2:$I$256,recap_Incmpres!$A61,'Faculty Members_List'!T$2:T$256)=0,"",SUMIF('Faculty Members_List'!$I$2:$I$256,recap_Incmpres!$A61,'Faculty Members_List'!T$2:T$256)-1)</f>
        <v/>
      </c>
      <c r="X61" s="308">
        <f>SUMIF('Faculty Members_List'!$I$2:$I$256,recap_Incmpres!$A61,'Faculty Members_List'!S$2:S$256)</f>
        <v>0</v>
      </c>
      <c r="Y61" s="302">
        <f t="shared" si="15"/>
        <v>0</v>
      </c>
      <c r="Z61" s="302">
        <f t="shared" si="15"/>
        <v>0</v>
      </c>
      <c r="AA61" s="302">
        <f t="shared" si="15"/>
        <v>0</v>
      </c>
      <c r="AB61" s="302">
        <f t="shared" si="15"/>
        <v>0</v>
      </c>
      <c r="AE61" s="300" t="s">
        <v>1540</v>
      </c>
      <c r="AF61" s="300" t="s">
        <v>1541</v>
      </c>
      <c r="AG61" s="300" t="s">
        <v>1542</v>
      </c>
      <c r="AH61" s="302">
        <f t="shared" si="9"/>
        <v>22663.83608249994</v>
      </c>
      <c r="AI61" s="302">
        <f t="shared" si="10"/>
        <v>93594.848659999901</v>
      </c>
      <c r="AJ61" s="302">
        <f t="shared" si="11"/>
        <v>173683.71548999997</v>
      </c>
      <c r="AK61" s="302">
        <f t="shared" si="12"/>
        <v>250098.47999999998</v>
      </c>
      <c r="AL61" s="302">
        <f t="shared" si="13"/>
        <v>284117.71000000002</v>
      </c>
    </row>
    <row r="62" spans="1:38" ht="12" customHeight="1" x14ac:dyDescent="0.2">
      <c r="A62" s="300">
        <f t="shared" si="2"/>
        <v>890</v>
      </c>
      <c r="B62" s="300" t="s">
        <v>1543</v>
      </c>
      <c r="C62" s="300" t="s">
        <v>1544</v>
      </c>
      <c r="D62" s="300" t="s">
        <v>1545</v>
      </c>
      <c r="E62" s="301">
        <v>51621</v>
      </c>
      <c r="F62" s="332">
        <f t="shared" si="3"/>
        <v>2041</v>
      </c>
      <c r="G62" s="307">
        <v>467239.35830000002</v>
      </c>
      <c r="H62" s="308">
        <v>424782.20039999997</v>
      </c>
      <c r="I62" s="308">
        <v>397101.50040000002</v>
      </c>
      <c r="J62" s="308">
        <v>379690.90039999998</v>
      </c>
      <c r="K62" s="308">
        <v>297386.36670000001</v>
      </c>
      <c r="L62" s="307">
        <f>SUMIF(envB2018!$R$2:$R$162,recap_Incmpres!$B62,envB2018!$I$2:$I$162)+SUMIF(Transferts2018_EnvB!$V$2:$V$82,recap_Incmpres!$B62,Transferts2018_EnvB!$W$2:$W$82)+SUMIF(Transferts2018_EnvB!$V$2:$V$82,recap_Incmpres!$B62,Transferts2018_EnvB!$X$2:$X$82)</f>
        <v>-144043.92000000001</v>
      </c>
      <c r="M62" s="307">
        <f t="shared" si="4"/>
        <v>-716412.13391750015</v>
      </c>
      <c r="N62" s="307">
        <f t="shared" si="5"/>
        <v>-664402.11549</v>
      </c>
      <c r="O62" s="307">
        <f t="shared" si="6"/>
        <v>-630493.25799000007</v>
      </c>
      <c r="P62" s="307">
        <f t="shared" si="7"/>
        <v>-609165.27299000008</v>
      </c>
      <c r="Q62" s="307">
        <f t="shared" si="8"/>
        <v>-508342.21920750011</v>
      </c>
      <c r="R62" s="307">
        <f>SUMIF('Faculty Members_List'!$I$2:$I$256,recap_Incmpres!$A62,'Faculty Members_List'!BY$2:BY$256)</f>
        <v>339190.25</v>
      </c>
      <c r="S62" s="308">
        <f>SUMIF('Faculty Members_List'!$I$2:$I$256,recap_Incmpres!$A62,'Faculty Members_List'!BZ$2:BZ$256)</f>
        <v>395027.75</v>
      </c>
      <c r="T62" s="308">
        <f>SUMIF('Faculty Members_List'!$I$2:$I$256,recap_Incmpres!$A62,'Faculty Members_List'!CA$2:CA$256)</f>
        <v>450865.25</v>
      </c>
      <c r="U62" s="308">
        <f>SUMIF('Faculty Members_List'!$I$2:$I$256,recap_Incmpres!$A62,'Faculty Members_List'!CB$2:CB$256)</f>
        <v>506702.75</v>
      </c>
      <c r="V62" s="308">
        <f>SUMIF('Faculty Members_List'!$I$2:$I$256,recap_Incmpres!$A62,'Faculty Members_List'!CC$2:CC$256)</f>
        <v>868540.25</v>
      </c>
      <c r="W62" s="301">
        <f>IF(SUMIF('Faculty Members_List'!$I$2:$I$256,recap_Incmpres!$A62,'Faculty Members_List'!T$2:T$256)=0,"",SUMIF('Faculty Members_List'!$I$2:$I$256,recap_Incmpres!$A62,'Faculty Members_List'!T$2:T$256)-1)</f>
        <v>45016</v>
      </c>
      <c r="X62" s="308">
        <f>SUMIF('Faculty Members_List'!$I$2:$I$256,recap_Incmpres!$A62,'Faculty Members_List'!S$2:S$256)</f>
        <v>408000</v>
      </c>
      <c r="Y62" s="316">
        <f t="shared" si="15"/>
        <v>408000</v>
      </c>
      <c r="Z62" s="316">
        <f t="shared" si="15"/>
        <v>408000</v>
      </c>
      <c r="AA62" s="316">
        <f t="shared" si="15"/>
        <v>408000</v>
      </c>
      <c r="AB62" s="316">
        <f t="shared" si="15"/>
        <v>102000</v>
      </c>
      <c r="AE62" s="300" t="s">
        <v>1543</v>
      </c>
      <c r="AF62" s="300" t="s">
        <v>1544</v>
      </c>
      <c r="AG62" s="300" t="s">
        <v>1545</v>
      </c>
      <c r="AH62" s="302">
        <f t="shared" si="9"/>
        <v>30778.116082499851</v>
      </c>
      <c r="AI62" s="302">
        <f t="shared" si="10"/>
        <v>138625.63451</v>
      </c>
      <c r="AJ62" s="302">
        <f t="shared" si="11"/>
        <v>228371.99200999993</v>
      </c>
      <c r="AK62" s="302">
        <f t="shared" si="12"/>
        <v>305537.47700999992</v>
      </c>
      <c r="AL62" s="302">
        <f t="shared" si="13"/>
        <v>462198.03079249989</v>
      </c>
    </row>
    <row r="63" spans="1:38" ht="12" customHeight="1" x14ac:dyDescent="0.2">
      <c r="A63" s="300">
        <f t="shared" si="2"/>
        <v>891</v>
      </c>
      <c r="B63" s="300" t="s">
        <v>1546</v>
      </c>
      <c r="C63" s="300" t="s">
        <v>1547</v>
      </c>
      <c r="D63" s="300" t="s">
        <v>1548</v>
      </c>
      <c r="E63" s="301">
        <v>51925</v>
      </c>
      <c r="F63" s="332">
        <f t="shared" si="3"/>
        <v>2042</v>
      </c>
      <c r="G63" s="307">
        <v>427355.05</v>
      </c>
      <c r="H63" s="308">
        <v>389910.80040000001</v>
      </c>
      <c r="I63" s="308">
        <v>326685.80040000001</v>
      </c>
      <c r="J63" s="308">
        <v>326685.80040000001</v>
      </c>
      <c r="K63" s="308">
        <v>300785.8002</v>
      </c>
      <c r="L63" s="307">
        <f>SUMIF(envB2018!$R$2:$R$162,recap_Incmpres!$B63,envB2018!$I$2:$I$162)+SUMIF(Transferts2018_EnvB!$V$2:$V$82,recap_Incmpres!$B63,Transferts2018_EnvB!$W$2:$W$82)+SUMIF(Transferts2018_EnvB!$V$2:$V$82,recap_Incmpres!$B63,Transferts2018_EnvB!$X$2:$X$82)</f>
        <v>-92480.34</v>
      </c>
      <c r="M63" s="307">
        <f t="shared" si="4"/>
        <v>-615990.27625</v>
      </c>
      <c r="N63" s="307">
        <f t="shared" si="5"/>
        <v>-570121.07049000007</v>
      </c>
      <c r="O63" s="307">
        <f t="shared" si="6"/>
        <v>-492670.44549000007</v>
      </c>
      <c r="P63" s="307">
        <f t="shared" si="7"/>
        <v>-492670.44549000007</v>
      </c>
      <c r="Q63" s="307">
        <f t="shared" si="8"/>
        <v>-460942.94524500007</v>
      </c>
      <c r="R63" s="307">
        <f>SUMIF('Faculty Members_List'!$I$2:$I$256,recap_Incmpres!$A63,'Faculty Members_List'!BY$2:BY$256)</f>
        <v>794922</v>
      </c>
      <c r="S63" s="308">
        <f>SUMIF('Faculty Members_List'!$I$2:$I$256,recap_Incmpres!$A63,'Faculty Members_List'!BZ$2:BZ$256)</f>
        <v>836800.125</v>
      </c>
      <c r="T63" s="308">
        <f>SUMIF('Faculty Members_List'!$I$2:$I$256,recap_Incmpres!$A63,'Faculty Members_List'!CA$2:CA$256)</f>
        <v>892637.625</v>
      </c>
      <c r="U63" s="308">
        <f>SUMIF('Faculty Members_List'!$I$2:$I$256,recap_Incmpres!$A63,'Faculty Members_List'!CB$2:CB$256)</f>
        <v>948475.125</v>
      </c>
      <c r="V63" s="308">
        <f>SUMIF('Faculty Members_List'!$I$2:$I$256,recap_Incmpres!$A63,'Faculty Members_List'!CC$2:CC$256)</f>
        <v>1000375</v>
      </c>
      <c r="W63" s="301" t="str">
        <f>IF(SUMIF('Faculty Members_List'!$I$2:$I$256,recap_Incmpres!$A63,'Faculty Members_List'!T$2:T$256)=0,"",SUMIF('Faculty Members_List'!$I$2:$I$256,recap_Incmpres!$A63,'Faculty Members_List'!T$2:T$256)-1)</f>
        <v/>
      </c>
      <c r="X63" s="308">
        <f>SUMIF('Faculty Members_List'!$I$2:$I$256,recap_Incmpres!$A63,'Faculty Members_List'!S$2:S$256)</f>
        <v>0</v>
      </c>
      <c r="Y63" s="302">
        <f t="shared" ref="Y63:AB82" si="16">IF(X63=0,0,IF(YEAR($W63)&gt;Y$2,X63,IF(YEAR($W63)=Y$2,X63*(MONTH($W63))/12,0)))</f>
        <v>0</v>
      </c>
      <c r="Z63" s="302">
        <f t="shared" si="16"/>
        <v>0</v>
      </c>
      <c r="AA63" s="302">
        <f t="shared" si="16"/>
        <v>0</v>
      </c>
      <c r="AB63" s="302">
        <f t="shared" si="16"/>
        <v>0</v>
      </c>
      <c r="AE63" s="300" t="s">
        <v>1546</v>
      </c>
      <c r="AF63" s="300" t="s">
        <v>1547</v>
      </c>
      <c r="AG63" s="300" t="s">
        <v>1548</v>
      </c>
      <c r="AH63" s="302">
        <f t="shared" si="9"/>
        <v>178931.72375</v>
      </c>
      <c r="AI63" s="302">
        <f t="shared" si="10"/>
        <v>266679.05450999993</v>
      </c>
      <c r="AJ63" s="302">
        <f t="shared" si="11"/>
        <v>399967.17950999993</v>
      </c>
      <c r="AK63" s="302">
        <f t="shared" si="12"/>
        <v>455804.67950999993</v>
      </c>
      <c r="AL63" s="302">
        <f t="shared" si="13"/>
        <v>539432.05475499993</v>
      </c>
    </row>
    <row r="64" spans="1:38" ht="12" customHeight="1" x14ac:dyDescent="0.2">
      <c r="A64" s="300">
        <f t="shared" si="2"/>
        <v>892</v>
      </c>
      <c r="B64" s="300" t="s">
        <v>1549</v>
      </c>
      <c r="C64" s="300" t="s">
        <v>1550</v>
      </c>
      <c r="D64" s="300" t="s">
        <v>1551</v>
      </c>
      <c r="E64" s="301">
        <v>53113</v>
      </c>
      <c r="F64" s="332">
        <f t="shared" si="3"/>
        <v>2045</v>
      </c>
      <c r="G64" s="307">
        <v>358447.73330000002</v>
      </c>
      <c r="H64" s="308">
        <v>348760.13339999999</v>
      </c>
      <c r="I64" s="308">
        <v>271176.80040000001</v>
      </c>
      <c r="J64" s="308">
        <v>271176.80040000001</v>
      </c>
      <c r="K64" s="308">
        <v>232326.80009999999</v>
      </c>
      <c r="L64" s="307">
        <f>SUMIF(envB2018!$R$2:$R$162,recap_Incmpres!$B64,envB2018!$I$2:$I$162)+SUMIF(Transferts2018_EnvB!$V$2:$V$82,recap_Incmpres!$B64,Transferts2018_EnvB!$W$2:$W$82)+SUMIF(Transferts2018_EnvB!$V$2:$V$82,recap_Incmpres!$B64,Transferts2018_EnvB!$X$2:$X$82)</f>
        <v>-125062.95999999999</v>
      </c>
      <c r="M64" s="307">
        <f t="shared" si="4"/>
        <v>-564161.43329250009</v>
      </c>
      <c r="N64" s="307">
        <f t="shared" si="5"/>
        <v>-552294.12341500004</v>
      </c>
      <c r="O64" s="307">
        <f t="shared" si="6"/>
        <v>-457254.54049000004</v>
      </c>
      <c r="P64" s="307">
        <f t="shared" si="7"/>
        <v>-457254.54049000004</v>
      </c>
      <c r="Q64" s="307">
        <f t="shared" si="8"/>
        <v>-409663.29012250004</v>
      </c>
      <c r="R64" s="307">
        <f>SUMIF('Faculty Members_List'!$I$2:$I$256,recap_Incmpres!$A64,'Faculty Members_List'!BY$2:BY$256)</f>
        <v>512952</v>
      </c>
      <c r="S64" s="308">
        <f>SUMIF('Faculty Members_List'!$I$2:$I$256,recap_Incmpres!$A64,'Faculty Members_List'!BZ$2:BZ$256)</f>
        <v>512952</v>
      </c>
      <c r="T64" s="308">
        <f>SUMIF('Faculty Members_List'!$I$2:$I$256,recap_Incmpres!$A64,'Faculty Members_List'!CA$2:CA$256)</f>
        <v>530305</v>
      </c>
      <c r="U64" s="308">
        <f>SUMIF('Faculty Members_List'!$I$2:$I$256,recap_Incmpres!$A64,'Faculty Members_List'!CB$2:CB$256)</f>
        <v>530305</v>
      </c>
      <c r="V64" s="308">
        <f>SUMIF('Faculty Members_List'!$I$2:$I$256,recap_Incmpres!$A64,'Faculty Members_List'!CC$2:CC$256)</f>
        <v>530305</v>
      </c>
      <c r="W64" s="301" t="str">
        <f>IF(SUMIF('Faculty Members_List'!$I$2:$I$256,recap_Incmpres!$A64,'Faculty Members_List'!T$2:T$256)=0,"",SUMIF('Faculty Members_List'!$I$2:$I$256,recap_Incmpres!$A64,'Faculty Members_List'!T$2:T$256)-1)</f>
        <v/>
      </c>
      <c r="X64" s="308">
        <f>SUMIF('Faculty Members_List'!$I$2:$I$256,recap_Incmpres!$A64,'Faculty Members_List'!S$2:S$256)</f>
        <v>0</v>
      </c>
      <c r="Y64" s="302">
        <f t="shared" si="16"/>
        <v>0</v>
      </c>
      <c r="Z64" s="302">
        <f t="shared" si="16"/>
        <v>0</v>
      </c>
      <c r="AA64" s="302">
        <f t="shared" si="16"/>
        <v>0</v>
      </c>
      <c r="AB64" s="302">
        <f t="shared" si="16"/>
        <v>0</v>
      </c>
      <c r="AE64" s="300" t="s">
        <v>1549</v>
      </c>
      <c r="AF64" s="300" t="s">
        <v>1550</v>
      </c>
      <c r="AG64" s="300" t="s">
        <v>1551</v>
      </c>
      <c r="AH64" s="302">
        <f t="shared" si="9"/>
        <v>-51209.433292500093</v>
      </c>
      <c r="AI64" s="302">
        <f t="shared" si="10"/>
        <v>-39342.123415000038</v>
      </c>
      <c r="AJ64" s="302">
        <f t="shared" si="11"/>
        <v>73050.459509999957</v>
      </c>
      <c r="AK64" s="302">
        <f t="shared" si="12"/>
        <v>73050.459509999957</v>
      </c>
      <c r="AL64" s="302">
        <f t="shared" si="13"/>
        <v>120641.70987749996</v>
      </c>
    </row>
    <row r="65" spans="1:38" ht="12" customHeight="1" x14ac:dyDescent="0.2">
      <c r="A65" s="300">
        <f t="shared" si="2"/>
        <v>893</v>
      </c>
      <c r="B65" s="300" t="s">
        <v>1552</v>
      </c>
      <c r="C65" s="300" t="s">
        <v>1553</v>
      </c>
      <c r="D65" s="300" t="s">
        <v>1554</v>
      </c>
      <c r="E65" s="301">
        <v>53296</v>
      </c>
      <c r="F65" s="332">
        <f t="shared" si="3"/>
        <v>2045</v>
      </c>
      <c r="G65" s="307">
        <v>370067.05</v>
      </c>
      <c r="H65" s="308">
        <v>342120.15</v>
      </c>
      <c r="I65" s="308">
        <v>301550.40000000002</v>
      </c>
      <c r="J65" s="308">
        <v>262125</v>
      </c>
      <c r="K65" s="308">
        <v>248983.2</v>
      </c>
      <c r="L65" s="307">
        <f>SUMIF(envB2018!$R$2:$R$162,recap_Incmpres!$B65,envB2018!$I$2:$I$162)+SUMIF(Transferts2018_EnvB!$V$2:$V$82,recap_Incmpres!$B65,Transferts2018_EnvB!$W$2:$W$82)+SUMIF(Transferts2018_EnvB!$V$2:$V$82,recap_Incmpres!$B65,Transferts2018_EnvB!$X$2:$X$82)</f>
        <v>-52933.61</v>
      </c>
      <c r="M65" s="307">
        <f t="shared" si="4"/>
        <v>-506265.74625000003</v>
      </c>
      <c r="N65" s="307">
        <f t="shared" si="5"/>
        <v>-472030.79375000007</v>
      </c>
      <c r="O65" s="307">
        <f t="shared" si="6"/>
        <v>-422332.85000000003</v>
      </c>
      <c r="P65" s="307">
        <f t="shared" si="7"/>
        <v>-374036.73499999999</v>
      </c>
      <c r="Q65" s="307">
        <f t="shared" si="8"/>
        <v>-357938.03</v>
      </c>
      <c r="R65" s="307">
        <f>SUMIF('Faculty Members_List'!$I$2:$I$256,recap_Incmpres!$A65,'Faculty Members_List'!BY$2:BY$256)</f>
        <v>0</v>
      </c>
      <c r="S65" s="308">
        <f>SUMIF('Faculty Members_List'!$I$2:$I$256,recap_Incmpres!$A65,'Faculty Members_List'!BZ$2:BZ$256)</f>
        <v>0</v>
      </c>
      <c r="T65" s="308">
        <f>SUMIF('Faculty Members_List'!$I$2:$I$256,recap_Incmpres!$A65,'Faculty Members_List'!CA$2:CA$256)</f>
        <v>0</v>
      </c>
      <c r="U65" s="308">
        <f>SUMIF('Faculty Members_List'!$I$2:$I$256,recap_Incmpres!$A65,'Faculty Members_List'!CB$2:CB$256)</f>
        <v>721188</v>
      </c>
      <c r="V65" s="308">
        <f>SUMIF('Faculty Members_List'!$I$2:$I$256,recap_Incmpres!$A65,'Faculty Members_List'!CC$2:CC$256)</f>
        <v>721188</v>
      </c>
      <c r="W65" s="301">
        <f>IF(SUMIF('Faculty Members_List'!$I$2:$I$256,recap_Incmpres!$A65,'Faculty Members_List'!T$2:T$256)=0,"",SUMIF('Faculty Members_List'!$I$2:$I$256,recap_Incmpres!$A65,'Faculty Members_List'!T$2:T$256)-1)</f>
        <v>45747</v>
      </c>
      <c r="X65" s="308">
        <f>SUMIF('Faculty Members_List'!$I$2:$I$256,recap_Incmpres!$A65,'Faculty Members_List'!S$2:S$256)</f>
        <v>500000</v>
      </c>
      <c r="Y65" s="316">
        <f t="shared" si="16"/>
        <v>500000</v>
      </c>
      <c r="Z65" s="316">
        <f t="shared" si="16"/>
        <v>500000</v>
      </c>
      <c r="AA65" s="316">
        <f t="shared" si="16"/>
        <v>500000</v>
      </c>
      <c r="AB65" s="316">
        <f t="shared" si="16"/>
        <v>500000</v>
      </c>
      <c r="AE65" s="300" t="s">
        <v>1552</v>
      </c>
      <c r="AF65" s="300" t="s">
        <v>1553</v>
      </c>
      <c r="AG65" s="300" t="s">
        <v>1554</v>
      </c>
      <c r="AH65" s="302">
        <f t="shared" si="9"/>
        <v>-6265.7462500000256</v>
      </c>
      <c r="AI65" s="302">
        <f t="shared" si="10"/>
        <v>27969.20624999993</v>
      </c>
      <c r="AJ65" s="302">
        <f t="shared" si="11"/>
        <v>77667.149999999965</v>
      </c>
      <c r="AK65" s="302">
        <f t="shared" si="12"/>
        <v>847151.26500000001</v>
      </c>
      <c r="AL65" s="302">
        <f t="shared" si="13"/>
        <v>863249.97</v>
      </c>
    </row>
    <row r="66" spans="1:38" ht="12" customHeight="1" x14ac:dyDescent="0.2">
      <c r="A66" s="300">
        <f t="shared" si="2"/>
        <v>1001</v>
      </c>
      <c r="B66" s="300" t="s">
        <v>1555</v>
      </c>
      <c r="C66" s="300" t="s">
        <v>1556</v>
      </c>
      <c r="D66" s="300" t="s">
        <v>1557</v>
      </c>
      <c r="E66" s="301">
        <v>50040</v>
      </c>
      <c r="F66" s="332">
        <f t="shared" si="3"/>
        <v>2036</v>
      </c>
      <c r="G66" s="307">
        <v>557027.15</v>
      </c>
      <c r="H66" s="308">
        <v>507293.8995</v>
      </c>
      <c r="I66" s="308">
        <v>472877.19959999999</v>
      </c>
      <c r="J66" s="308">
        <v>446719.6998</v>
      </c>
      <c r="K66" s="308">
        <v>420562.2</v>
      </c>
      <c r="L66" s="307">
        <f>SUMIF(envB2018!$R$2:$R$162,recap_Incmpres!$B66,envB2018!$I$2:$I$162)+SUMIF(Transferts2018_EnvB!$V$2:$V$82,recap_Incmpres!$B66,Transferts2018_EnvB!$W$2:$W$82)+SUMIF(Transferts2018_EnvB!$V$2:$V$82,recap_Incmpres!$B66,Transferts2018_EnvB!$X$2:$X$82)</f>
        <v>-2040.9</v>
      </c>
      <c r="M66" s="307">
        <f t="shared" si="4"/>
        <v>-684399.15875000006</v>
      </c>
      <c r="N66" s="307">
        <f t="shared" si="5"/>
        <v>-623475.9268875001</v>
      </c>
      <c r="O66" s="307">
        <f t="shared" si="6"/>
        <v>-581315.46951000008</v>
      </c>
      <c r="P66" s="307">
        <f t="shared" si="7"/>
        <v>-549272.53225500009</v>
      </c>
      <c r="Q66" s="307">
        <f t="shared" si="8"/>
        <v>-517229.59500000009</v>
      </c>
      <c r="R66" s="307">
        <f>SUMIF('Faculty Members_List'!$I$2:$I$256,recap_Incmpres!$A66,'Faculty Members_List'!BY$2:BY$256)</f>
        <v>1085492</v>
      </c>
      <c r="S66" s="308">
        <f>SUMIF('Faculty Members_List'!$I$2:$I$256,recap_Incmpres!$A66,'Faculty Members_List'!BZ$2:BZ$256)</f>
        <v>1000375</v>
      </c>
      <c r="T66" s="308">
        <f>SUMIF('Faculty Members_List'!$I$2:$I$256,recap_Incmpres!$A66,'Faculty Members_List'!CA$2:CA$256)</f>
        <v>1000375</v>
      </c>
      <c r="U66" s="308">
        <f>SUMIF('Faculty Members_List'!$I$2:$I$256,recap_Incmpres!$A66,'Faculty Members_List'!CB$2:CB$256)</f>
        <v>1000375</v>
      </c>
      <c r="V66" s="308">
        <f>SUMIF('Faculty Members_List'!$I$2:$I$256,recap_Incmpres!$A66,'Faculty Members_List'!CC$2:CC$256)</f>
        <v>1000375</v>
      </c>
      <c r="W66" s="301" t="str">
        <f>IF(SUMIF('Faculty Members_List'!$I$2:$I$256,recap_Incmpres!$A66,'Faculty Members_List'!T$2:T$256)=0,"",SUMIF('Faculty Members_List'!$I$2:$I$256,recap_Incmpres!$A66,'Faculty Members_List'!T$2:T$256)-1)</f>
        <v/>
      </c>
      <c r="X66" s="308">
        <f>SUMIF('Faculty Members_List'!$I$2:$I$256,recap_Incmpres!$A66,'Faculty Members_List'!S$2:S$256)</f>
        <v>0</v>
      </c>
      <c r="Y66" s="302">
        <f t="shared" si="16"/>
        <v>0</v>
      </c>
      <c r="Z66" s="302">
        <f t="shared" si="16"/>
        <v>0</v>
      </c>
      <c r="AA66" s="302">
        <f t="shared" si="16"/>
        <v>0</v>
      </c>
      <c r="AB66" s="302">
        <f t="shared" si="16"/>
        <v>0</v>
      </c>
      <c r="AC66" s="300">
        <v>-4093</v>
      </c>
      <c r="AE66" s="300" t="s">
        <v>1555</v>
      </c>
      <c r="AF66" s="300" t="s">
        <v>1556</v>
      </c>
      <c r="AG66" s="300" t="s">
        <v>1557</v>
      </c>
      <c r="AH66" s="302">
        <f t="shared" si="9"/>
        <v>396078.91624999989</v>
      </c>
      <c r="AI66" s="302">
        <f t="shared" si="10"/>
        <v>371885.14811249985</v>
      </c>
      <c r="AJ66" s="302">
        <f t="shared" si="11"/>
        <v>414045.60548999987</v>
      </c>
      <c r="AK66" s="302">
        <f t="shared" si="12"/>
        <v>446088.54274499987</v>
      </c>
      <c r="AL66" s="302">
        <f t="shared" si="13"/>
        <v>478131.47999999986</v>
      </c>
    </row>
    <row r="67" spans="1:38" ht="12" customHeight="1" x14ac:dyDescent="0.2">
      <c r="A67" s="300">
        <f t="shared" si="2"/>
        <v>1022</v>
      </c>
      <c r="B67" s="300" t="s">
        <v>1558</v>
      </c>
      <c r="C67" s="300" t="s">
        <v>1559</v>
      </c>
      <c r="D67" s="300" t="s">
        <v>1560</v>
      </c>
      <c r="E67" s="301">
        <v>45046</v>
      </c>
      <c r="F67" s="332">
        <f t="shared" si="3"/>
        <v>2023</v>
      </c>
      <c r="G67" s="307">
        <v>738308.67139999999</v>
      </c>
      <c r="H67" s="308">
        <v>676115.6004</v>
      </c>
      <c r="I67" s="308">
        <v>649237.60019999999</v>
      </c>
      <c r="J67" s="308">
        <v>622359.6</v>
      </c>
      <c r="K67" s="308">
        <v>207453.2</v>
      </c>
      <c r="L67" s="307">
        <f>SUMIF(envB2018!$R$2:$R$162,recap_Incmpres!$B67,envB2018!$I$2:$I$162)+SUMIF(Transferts2018_EnvB!$V$2:$V$82,recap_Incmpres!$B67,Transferts2018_EnvB!$W$2:$W$82)+SUMIF(Transferts2018_EnvB!$V$2:$V$82,recap_Incmpres!$B67,Transferts2018_EnvB!$X$2:$X$82)</f>
        <v>-132624.06</v>
      </c>
      <c r="M67" s="307">
        <f t="shared" si="4"/>
        <v>-1037052.1824650001</v>
      </c>
      <c r="N67" s="307">
        <f t="shared" si="5"/>
        <v>-960865.67049000016</v>
      </c>
      <c r="O67" s="307">
        <f t="shared" si="6"/>
        <v>-927940.12024500011</v>
      </c>
      <c r="P67" s="307">
        <f t="shared" si="7"/>
        <v>-895014.57000000007</v>
      </c>
      <c r="Q67" s="307">
        <f t="shared" si="8"/>
        <v>-298338.19000000006</v>
      </c>
      <c r="R67" s="307">
        <f>SUMIF('Faculty Members_List'!$I$2:$I$256,recap_Incmpres!$A67,'Faculty Members_List'!BY$2:BY$256)</f>
        <v>1072430</v>
      </c>
      <c r="S67" s="308">
        <f>SUMIF('Faculty Members_List'!$I$2:$I$256,recap_Incmpres!$A67,'Faculty Members_List'!BZ$2:BZ$256)</f>
        <v>1000375</v>
      </c>
      <c r="T67" s="308">
        <f>SUMIF('Faculty Members_List'!$I$2:$I$256,recap_Incmpres!$A67,'Faculty Members_List'!CA$2:CA$256)</f>
        <v>1000375</v>
      </c>
      <c r="U67" s="308">
        <f>SUMIF('Faculty Members_List'!$I$2:$I$256,recap_Incmpres!$A67,'Faculty Members_List'!CB$2:CB$256)</f>
        <v>1000375</v>
      </c>
      <c r="V67" s="308">
        <f>SUMIF('Faculty Members_List'!$I$2:$I$256,recap_Incmpres!$A67,'Faculty Members_List'!CC$2:CC$256)</f>
        <v>563614.6</v>
      </c>
      <c r="W67" s="301" t="str">
        <f>IF(SUMIF('Faculty Members_List'!$I$2:$I$256,recap_Incmpres!$A67,'Faculty Members_List'!T$2:T$256)=0,"",SUMIF('Faculty Members_List'!$I$2:$I$256,recap_Incmpres!$A67,'Faculty Members_List'!T$2:T$256)-1)</f>
        <v/>
      </c>
      <c r="X67" s="308">
        <f>SUMIF('Faculty Members_List'!$I$2:$I$256,recap_Incmpres!$A67,'Faculty Members_List'!S$2:S$256)</f>
        <v>0</v>
      </c>
      <c r="Y67" s="302">
        <f t="shared" si="16"/>
        <v>0</v>
      </c>
      <c r="Z67" s="302">
        <f t="shared" si="16"/>
        <v>0</v>
      </c>
      <c r="AA67" s="302">
        <f t="shared" si="16"/>
        <v>0</v>
      </c>
      <c r="AB67" s="302">
        <f t="shared" si="16"/>
        <v>0</v>
      </c>
      <c r="AE67" s="300" t="s">
        <v>1558</v>
      </c>
      <c r="AF67" s="300" t="s">
        <v>1559</v>
      </c>
      <c r="AG67" s="300" t="s">
        <v>1560</v>
      </c>
      <c r="AH67" s="302">
        <f t="shared" si="9"/>
        <v>35377.817534999922</v>
      </c>
      <c r="AI67" s="302">
        <f t="shared" si="10"/>
        <v>39509.329509999836</v>
      </c>
      <c r="AJ67" s="302">
        <f t="shared" si="11"/>
        <v>72434.879754999885</v>
      </c>
      <c r="AK67" s="302">
        <f t="shared" si="12"/>
        <v>105360.42999999993</v>
      </c>
      <c r="AL67" s="302">
        <f t="shared" si="13"/>
        <v>265276.40999999992</v>
      </c>
    </row>
    <row r="68" spans="1:38" s="322" customFormat="1" ht="12" customHeight="1" x14ac:dyDescent="0.2">
      <c r="A68" s="322">
        <f t="shared" ref="A68:A83" si="17">VALUE(RIGHT(B68,4))</f>
        <v>1024</v>
      </c>
      <c r="B68" s="322" t="s">
        <v>1561</v>
      </c>
      <c r="C68" s="322" t="s">
        <v>1562</v>
      </c>
      <c r="D68" s="322" t="s">
        <v>1563</v>
      </c>
      <c r="E68" s="323">
        <v>45077</v>
      </c>
      <c r="F68" s="334">
        <f t="shared" ref="F68:F83" si="18">YEAR(E68)</f>
        <v>2023</v>
      </c>
      <c r="G68" s="324">
        <v>930474.38333333319</v>
      </c>
      <c r="H68" s="325">
        <v>784912.04340000008</v>
      </c>
      <c r="I68" s="325">
        <v>699650.54</v>
      </c>
      <c r="J68" s="325">
        <v>657192.06999999995</v>
      </c>
      <c r="K68" s="325">
        <v>252986.92499999999</v>
      </c>
      <c r="L68" s="324">
        <f>SUMIF(envB2018!$R$2:$R$162,recap_Incmpres!$B68,envB2018!$I$2:$I$162)+SUMIF(Transferts2018_EnvB!$V$2:$V$82,recap_Incmpres!$B68,Transferts2018_EnvB!$W$2:$W$82)+SUMIF(Transferts2018_EnvB!$V$2:$V$82,recap_Incmpres!$B68,Transferts2018_EnvB!$X$2:$X$82)</f>
        <v>-213604.79</v>
      </c>
      <c r="M68" s="324">
        <f t="shared" ref="M68:M83" si="19">-G68*1.225+IF(M$2&lt;$F68,$L68,IF(M$2=$F68,$L68*MONTH($E68)/12,0))</f>
        <v>-1353435.9095833332</v>
      </c>
      <c r="N68" s="324">
        <f t="shared" ref="N68:N83" si="20">-H68*1.225+IF(N$2&lt;$F68,$L68,IF(N$2=$F68,$L68*MONTH($E68)/12,0))</f>
        <v>-1175122.0431650002</v>
      </c>
      <c r="O68" s="324">
        <f t="shared" ref="O68:O83" si="21">-I68*1.225+IF(O$2&lt;$F68,$L68,IF(O$2=$F68,$L68*MONTH($E68)/12,0))</f>
        <v>-1070676.7015000002</v>
      </c>
      <c r="P68" s="324">
        <f t="shared" ref="P68:P83" si="22">-J68*1.225+IF(P$2&lt;$F68,$L68,IF(P$2=$F68,$L68*MONTH($E68)/12,0))</f>
        <v>-1018665.0757500001</v>
      </c>
      <c r="Q68" s="324">
        <f t="shared" ref="Q68:Q83" si="23">-K68*1.225+IF(Q$2&lt;$F68,$L68,IF(Q$2=$F68,$L68*MONTH($E68)/12,0))</f>
        <v>-398910.97895833338</v>
      </c>
      <c r="R68" s="324">
        <f>SUMIF('Faculty Members_List'!$I$2:$I$256,recap_Incmpres!$A68,'Faculty Members_List'!BY$2:BY$256)</f>
        <v>1166261</v>
      </c>
      <c r="S68" s="325">
        <f>SUMIF('Faculty Members_List'!$I$2:$I$256,recap_Incmpres!$A68,'Faculty Members_List'!BZ$2:BZ$256)</f>
        <v>1000375</v>
      </c>
      <c r="T68" s="325">
        <f>SUMIF('Faculty Members_List'!$I$2:$I$256,recap_Incmpres!$A68,'Faculty Members_List'!CA$2:CA$256)</f>
        <v>1000375</v>
      </c>
      <c r="U68" s="325">
        <f>SUMIF('Faculty Members_List'!$I$2:$I$256,recap_Incmpres!$A68,'Faculty Members_List'!CB$2:CB$256)</f>
        <v>1000375</v>
      </c>
      <c r="V68" s="325">
        <f>SUMIF('Faculty Members_List'!$I$2:$I$256,recap_Incmpres!$A68,'Faculty Members_List'!CC$2:CC$256)</f>
        <v>507089.79791666672</v>
      </c>
      <c r="W68" s="323" t="str">
        <f>IF(SUMIF('Faculty Members_List'!$I$2:$I$256,recap_Incmpres!$A68,'Faculty Members_List'!T$2:T$256)=0,"",SUMIF('Faculty Members_List'!$I$2:$I$256,recap_Incmpres!$A68,'Faculty Members_List'!T$2:T$256)-1)</f>
        <v/>
      </c>
      <c r="X68" s="325">
        <f>SUMIF('Faculty Members_List'!$I$2:$I$256,recap_Incmpres!$A68,'Faculty Members_List'!S$2:S$256)</f>
        <v>0</v>
      </c>
      <c r="Y68" s="326">
        <f t="shared" si="16"/>
        <v>0</v>
      </c>
      <c r="Z68" s="326">
        <f t="shared" si="16"/>
        <v>0</v>
      </c>
      <c r="AA68" s="326">
        <f t="shared" si="16"/>
        <v>0</v>
      </c>
      <c r="AB68" s="326">
        <f t="shared" si="16"/>
        <v>0</v>
      </c>
      <c r="AC68" s="322">
        <v>-15138</v>
      </c>
      <c r="AE68" s="322" t="s">
        <v>1561</v>
      </c>
      <c r="AF68" s="322" t="s">
        <v>1562</v>
      </c>
      <c r="AG68" s="322" t="s">
        <v>1563</v>
      </c>
      <c r="AH68" s="326">
        <f t="shared" ref="AH68:AH83" si="24">R68+X68+$AC68*1.225+M68</f>
        <v>-205718.95958333323</v>
      </c>
      <c r="AI68" s="326">
        <f t="shared" ref="AI68:AI83" si="25">S68+Y68+$AC68*1.225+N68</f>
        <v>-193291.0931650002</v>
      </c>
      <c r="AJ68" s="326">
        <f t="shared" ref="AJ68:AJ83" si="26">T68+Z68+$AC68*1.225+O68</f>
        <v>-88845.751500000246</v>
      </c>
      <c r="AK68" s="326">
        <f t="shared" ref="AK68:AK83" si="27">U68+AA68+$AC68*1.225+P68</f>
        <v>-36834.125750000123</v>
      </c>
      <c r="AL68" s="326">
        <f t="shared" ref="AL68:AL83" si="28">V68+AB68+$AC68*1.225+Q68</f>
        <v>89634.768958333356</v>
      </c>
    </row>
    <row r="69" spans="1:38" ht="12" customHeight="1" x14ac:dyDescent="0.2">
      <c r="A69" s="300">
        <f t="shared" si="17"/>
        <v>1026</v>
      </c>
      <c r="B69" s="300" t="s">
        <v>1564</v>
      </c>
      <c r="C69" s="300" t="s">
        <v>1565</v>
      </c>
      <c r="D69" s="300" t="s">
        <v>1566</v>
      </c>
      <c r="E69" s="301">
        <v>49095</v>
      </c>
      <c r="F69" s="332">
        <f t="shared" si="18"/>
        <v>2034</v>
      </c>
      <c r="G69" s="307">
        <v>558679.15</v>
      </c>
      <c r="H69" s="308">
        <v>560272.8504</v>
      </c>
      <c r="I69" s="308">
        <v>492718.40039999998</v>
      </c>
      <c r="J69" s="308">
        <v>433401.55040000001</v>
      </c>
      <c r="K69" s="308">
        <v>379182.66690000001</v>
      </c>
      <c r="L69" s="307">
        <f>SUMIF(envB2018!$R$2:$R$162,recap_Incmpres!$B69,envB2018!$I$2:$I$162)+SUMIF(Transferts2018_EnvB!$V$2:$V$82,recap_Incmpres!$B69,Transferts2018_EnvB!$W$2:$W$82)+SUMIF(Transferts2018_EnvB!$V$2:$V$82,recap_Incmpres!$B69,Transferts2018_EnvB!$X$2:$X$82)</f>
        <v>-120693.82</v>
      </c>
      <c r="M69" s="307">
        <f t="shared" si="19"/>
        <v>-805075.77875000006</v>
      </c>
      <c r="N69" s="307">
        <f t="shared" si="20"/>
        <v>-807028.06174000003</v>
      </c>
      <c r="O69" s="307">
        <f t="shared" si="21"/>
        <v>-724273.86049000011</v>
      </c>
      <c r="P69" s="307">
        <f t="shared" si="22"/>
        <v>-651610.71924000001</v>
      </c>
      <c r="Q69" s="307">
        <f t="shared" si="23"/>
        <v>-585192.58695250005</v>
      </c>
      <c r="R69" s="307">
        <f>SUMIF('Faculty Members_List'!$I$2:$I$256,recap_Incmpres!$A69,'Faculty Members_List'!BY$2:BY$256)</f>
        <v>779734.75</v>
      </c>
      <c r="S69" s="308">
        <f>SUMIF('Faculty Members_List'!$I$2:$I$256,recap_Incmpres!$A69,'Faculty Members_List'!BZ$2:BZ$256)</f>
        <v>793694.125</v>
      </c>
      <c r="T69" s="308">
        <f>SUMIF('Faculty Members_List'!$I$2:$I$256,recap_Incmpres!$A69,'Faculty Members_List'!CA$2:CA$256)</f>
        <v>849531.625</v>
      </c>
      <c r="U69" s="308">
        <f>SUMIF('Faculty Members_List'!$I$2:$I$256,recap_Incmpres!$A69,'Faculty Members_List'!CB$2:CB$256)</f>
        <v>905369.125</v>
      </c>
      <c r="V69" s="308">
        <f>SUMIF('Faculty Members_List'!$I$2:$I$256,recap_Incmpres!$A69,'Faculty Members_List'!CC$2:CC$256)</f>
        <v>961206.625</v>
      </c>
      <c r="W69" s="301" t="str">
        <f>IF(SUMIF('Faculty Members_List'!$I$2:$I$256,recap_Incmpres!$A69,'Faculty Members_List'!T$2:T$256)=0,"",SUMIF('Faculty Members_List'!$I$2:$I$256,recap_Incmpres!$A69,'Faculty Members_List'!T$2:T$256)-1)</f>
        <v/>
      </c>
      <c r="X69" s="308">
        <f>SUMIF('Faculty Members_List'!$I$2:$I$256,recap_Incmpres!$A69,'Faculty Members_List'!S$2:S$256)</f>
        <v>0</v>
      </c>
      <c r="Y69" s="302">
        <f t="shared" si="16"/>
        <v>0</v>
      </c>
      <c r="Z69" s="302">
        <f t="shared" si="16"/>
        <v>0</v>
      </c>
      <c r="AA69" s="302">
        <f t="shared" si="16"/>
        <v>0</v>
      </c>
      <c r="AB69" s="302">
        <f t="shared" si="16"/>
        <v>0</v>
      </c>
      <c r="AC69" s="300">
        <v>15138</v>
      </c>
      <c r="AE69" s="300" t="s">
        <v>1564</v>
      </c>
      <c r="AF69" s="300" t="s">
        <v>1565</v>
      </c>
      <c r="AG69" s="300" t="s">
        <v>1566</v>
      </c>
      <c r="AH69" s="302">
        <f t="shared" si="24"/>
        <v>-6796.9787500000093</v>
      </c>
      <c r="AI69" s="302">
        <f t="shared" si="25"/>
        <v>5210.1132600000128</v>
      </c>
      <c r="AJ69" s="302">
        <f t="shared" si="26"/>
        <v>143801.81450999994</v>
      </c>
      <c r="AK69" s="302">
        <f t="shared" si="27"/>
        <v>272302.45576000004</v>
      </c>
      <c r="AL69" s="302">
        <f t="shared" si="28"/>
        <v>394558.0880475</v>
      </c>
    </row>
    <row r="70" spans="1:38" ht="12" customHeight="1" x14ac:dyDescent="0.2">
      <c r="A70" s="300">
        <f t="shared" si="17"/>
        <v>1032</v>
      </c>
      <c r="B70" s="300" t="s">
        <v>1567</v>
      </c>
      <c r="C70" s="300" t="s">
        <v>1568</v>
      </c>
      <c r="D70" s="300" t="s">
        <v>1569</v>
      </c>
      <c r="E70" s="301">
        <v>44957</v>
      </c>
      <c r="F70" s="332">
        <f t="shared" si="18"/>
        <v>2023</v>
      </c>
      <c r="G70" s="307">
        <v>677186.65</v>
      </c>
      <c r="H70" s="308">
        <v>647398.80000000005</v>
      </c>
      <c r="I70" s="308">
        <v>554139</v>
      </c>
      <c r="J70" s="308">
        <v>531882</v>
      </c>
      <c r="K70" s="308">
        <v>44323.5</v>
      </c>
      <c r="L70" s="307">
        <f>SUMIF(envB2018!$R$2:$R$162,recap_Incmpres!$B70,envB2018!$I$2:$I$162)+SUMIF(Transferts2018_EnvB!$V$2:$V$82,recap_Incmpres!$B70,Transferts2018_EnvB!$W$2:$W$82)+SUMIF(Transferts2018_EnvB!$V$2:$V$82,recap_Incmpres!$B70,Transferts2018_EnvB!$X$2:$X$82)</f>
        <v>-146074.56</v>
      </c>
      <c r="M70" s="307">
        <f t="shared" si="19"/>
        <v>-975628.20625000005</v>
      </c>
      <c r="N70" s="307">
        <f t="shared" si="20"/>
        <v>-939138.09000000008</v>
      </c>
      <c r="O70" s="307">
        <f t="shared" si="21"/>
        <v>-824894.83499999996</v>
      </c>
      <c r="P70" s="307">
        <f t="shared" si="22"/>
        <v>-797630.01</v>
      </c>
      <c r="Q70" s="307">
        <f t="shared" si="23"/>
        <v>-66469.16750000001</v>
      </c>
      <c r="R70" s="307">
        <f>SUMIF('Faculty Members_List'!$I$2:$I$256,recap_Incmpres!$A70,'Faculty Members_List'!BY$2:BY$256)</f>
        <v>1044480</v>
      </c>
      <c r="S70" s="308">
        <f>SUMIF('Faculty Members_List'!$I$2:$I$256,recap_Incmpres!$A70,'Faculty Members_List'!BZ$2:BZ$256)</f>
        <v>1000375</v>
      </c>
      <c r="T70" s="308">
        <f>SUMIF('Faculty Members_List'!$I$2:$I$256,recap_Incmpres!$A70,'Faculty Members_List'!CA$2:CA$256)</f>
        <v>1000375</v>
      </c>
      <c r="U70" s="308">
        <f>SUMIF('Faculty Members_List'!$I$2:$I$256,recap_Incmpres!$A70,'Faculty Members_List'!CB$2:CB$256)</f>
        <v>1000375</v>
      </c>
      <c r="V70" s="308">
        <f>SUMIF('Faculty Members_List'!$I$2:$I$256,recap_Incmpres!$A70,'Faculty Members_List'!CC$2:CC$256)</f>
        <v>238782.98749999999</v>
      </c>
      <c r="W70" s="301" t="str">
        <f>IF(SUMIF('Faculty Members_List'!$I$2:$I$256,recap_Incmpres!$A70,'Faculty Members_List'!T$2:T$256)=0,"",SUMIF('Faculty Members_List'!$I$2:$I$256,recap_Incmpres!$A70,'Faculty Members_List'!T$2:T$256)-1)</f>
        <v/>
      </c>
      <c r="X70" s="308">
        <f>SUMIF('Faculty Members_List'!$I$2:$I$256,recap_Incmpres!$A70,'Faculty Members_List'!S$2:S$256)</f>
        <v>0</v>
      </c>
      <c r="Y70" s="302">
        <f t="shared" si="16"/>
        <v>0</v>
      </c>
      <c r="Z70" s="302">
        <f t="shared" si="16"/>
        <v>0</v>
      </c>
      <c r="AA70" s="302">
        <f t="shared" si="16"/>
        <v>0</v>
      </c>
      <c r="AB70" s="302">
        <f t="shared" si="16"/>
        <v>0</v>
      </c>
      <c r="AE70" s="300" t="s">
        <v>1567</v>
      </c>
      <c r="AF70" s="300" t="s">
        <v>1568</v>
      </c>
      <c r="AG70" s="300" t="s">
        <v>1569</v>
      </c>
      <c r="AH70" s="302">
        <f t="shared" si="24"/>
        <v>68851.793749999953</v>
      </c>
      <c r="AI70" s="302">
        <f t="shared" si="25"/>
        <v>61236.909999999916</v>
      </c>
      <c r="AJ70" s="302">
        <f t="shared" si="26"/>
        <v>175480.16500000004</v>
      </c>
      <c r="AK70" s="302">
        <f t="shared" si="27"/>
        <v>202744.99</v>
      </c>
      <c r="AL70" s="302">
        <f t="shared" si="28"/>
        <v>172313.81999999998</v>
      </c>
    </row>
    <row r="71" spans="1:38" ht="12" customHeight="1" x14ac:dyDescent="0.2">
      <c r="A71" s="300">
        <f t="shared" si="17"/>
        <v>1034</v>
      </c>
      <c r="B71" s="300" t="s">
        <v>1570</v>
      </c>
      <c r="C71" s="300" t="s">
        <v>1571</v>
      </c>
      <c r="D71" s="300" t="s">
        <v>1572</v>
      </c>
      <c r="E71" s="301">
        <v>45412</v>
      </c>
      <c r="F71" s="332">
        <f t="shared" si="18"/>
        <v>2024</v>
      </c>
      <c r="G71" s="307">
        <v>876916</v>
      </c>
      <c r="H71" s="308">
        <v>730720.8</v>
      </c>
      <c r="I71" s="308">
        <v>730720.8</v>
      </c>
      <c r="J71" s="308">
        <v>730720.8</v>
      </c>
      <c r="K71" s="308">
        <v>730720.8</v>
      </c>
      <c r="L71" s="307">
        <f>SUMIF(envB2018!$R$2:$R$162,recap_Incmpres!$B71,envB2018!$I$2:$I$162)+SUMIF(Transferts2018_EnvB!$V$2:$V$82,recap_Incmpres!$B71,Transferts2018_EnvB!$W$2:$W$82)+SUMIF(Transferts2018_EnvB!$V$2:$V$82,recap_Incmpres!$B71,Transferts2018_EnvB!$X$2:$X$82)</f>
        <v>-75388.3</v>
      </c>
      <c r="M71" s="307">
        <f t="shared" si="19"/>
        <v>-1149610.4000000001</v>
      </c>
      <c r="N71" s="307">
        <f t="shared" si="20"/>
        <v>-970521.28000000014</v>
      </c>
      <c r="O71" s="307">
        <f t="shared" si="21"/>
        <v>-970521.28000000014</v>
      </c>
      <c r="P71" s="307">
        <f t="shared" si="22"/>
        <v>-970521.28000000014</v>
      </c>
      <c r="Q71" s="307">
        <f t="shared" si="23"/>
        <v>-970521.28000000014</v>
      </c>
      <c r="R71" s="307">
        <f>SUMIF('Faculty Members_List'!$I$2:$I$256,recap_Incmpres!$A71,'Faculty Members_List'!BY$2:BY$256)</f>
        <v>1067731</v>
      </c>
      <c r="S71" s="308">
        <f>SUMIF('Faculty Members_List'!$I$2:$I$256,recap_Incmpres!$A71,'Faculty Members_List'!BZ$2:BZ$256)</f>
        <v>1000375</v>
      </c>
      <c r="T71" s="308">
        <f>SUMIF('Faculty Members_List'!$I$2:$I$256,recap_Incmpres!$A71,'Faculty Members_List'!CA$2:CA$256)</f>
        <v>1000375</v>
      </c>
      <c r="U71" s="308">
        <f>SUMIF('Faculty Members_List'!$I$2:$I$256,recap_Incmpres!$A71,'Faculty Members_List'!CB$2:CB$256)</f>
        <v>1000375</v>
      </c>
      <c r="V71" s="308">
        <f>SUMIF('Faculty Members_List'!$I$2:$I$256,recap_Incmpres!$A71,'Faculty Members_List'!CC$2:CC$256)</f>
        <v>1000375</v>
      </c>
      <c r="W71" s="301" t="str">
        <f>IF(SUMIF('Faculty Members_List'!$I$2:$I$256,recap_Incmpres!$A71,'Faculty Members_List'!T$2:T$256)=0,"",SUMIF('Faculty Members_List'!$I$2:$I$256,recap_Incmpres!$A71,'Faculty Members_List'!T$2:T$256)-1)</f>
        <v/>
      </c>
      <c r="X71" s="308">
        <f>SUMIF('Faculty Members_List'!$I$2:$I$256,recap_Incmpres!$A71,'Faculty Members_List'!S$2:S$256)</f>
        <v>0</v>
      </c>
      <c r="Y71" s="302">
        <f t="shared" si="16"/>
        <v>0</v>
      </c>
      <c r="Z71" s="302">
        <f t="shared" si="16"/>
        <v>0</v>
      </c>
      <c r="AA71" s="302">
        <f t="shared" si="16"/>
        <v>0</v>
      </c>
      <c r="AB71" s="302">
        <f t="shared" si="16"/>
        <v>0</v>
      </c>
      <c r="AE71" s="300" t="s">
        <v>1570</v>
      </c>
      <c r="AF71" s="300" t="s">
        <v>1571</v>
      </c>
      <c r="AG71" s="300" t="s">
        <v>1572</v>
      </c>
      <c r="AH71" s="302">
        <f t="shared" si="24"/>
        <v>-81879.40000000014</v>
      </c>
      <c r="AI71" s="302">
        <f t="shared" si="25"/>
        <v>29853.719999999856</v>
      </c>
      <c r="AJ71" s="302">
        <f t="shared" si="26"/>
        <v>29853.719999999856</v>
      </c>
      <c r="AK71" s="302">
        <f t="shared" si="27"/>
        <v>29853.719999999856</v>
      </c>
      <c r="AL71" s="302">
        <f t="shared" si="28"/>
        <v>29853.719999999856</v>
      </c>
    </row>
    <row r="72" spans="1:38" ht="12" customHeight="1" x14ac:dyDescent="0.2">
      <c r="A72" s="300">
        <f t="shared" si="17"/>
        <v>1035</v>
      </c>
      <c r="B72" s="300" t="s">
        <v>1573</v>
      </c>
      <c r="C72" s="300" t="s">
        <v>1574</v>
      </c>
      <c r="D72" s="300" t="s">
        <v>1575</v>
      </c>
      <c r="E72" s="301">
        <v>47087</v>
      </c>
      <c r="F72" s="332">
        <f t="shared" si="18"/>
        <v>2028</v>
      </c>
      <c r="G72" s="307">
        <v>808559.21669999999</v>
      </c>
      <c r="H72" s="308">
        <v>674938.73320000002</v>
      </c>
      <c r="I72" s="308">
        <v>645905.4</v>
      </c>
      <c r="J72" s="308">
        <v>597563.69999999995</v>
      </c>
      <c r="K72" s="308">
        <v>558569</v>
      </c>
      <c r="L72" s="307">
        <f>SUMIF(envB2018!$R$2:$R$162,recap_Incmpres!$B72,envB2018!$I$2:$I$162)+SUMIF(Transferts2018_EnvB!$V$2:$V$82,recap_Incmpres!$B72,Transferts2018_EnvB!$W$2:$W$82)+SUMIF(Transferts2018_EnvB!$V$2:$V$82,recap_Incmpres!$B72,Transferts2018_EnvB!$X$2:$X$82)</f>
        <v>-135555.76</v>
      </c>
      <c r="M72" s="307">
        <f t="shared" si="19"/>
        <v>-1126040.8004574999</v>
      </c>
      <c r="N72" s="307">
        <f t="shared" si="20"/>
        <v>-962355.70817000011</v>
      </c>
      <c r="O72" s="307">
        <f t="shared" si="21"/>
        <v>-926789.87500000012</v>
      </c>
      <c r="P72" s="307">
        <f t="shared" si="22"/>
        <v>-867571.29249999998</v>
      </c>
      <c r="Q72" s="307">
        <f t="shared" si="23"/>
        <v>-819802.78500000003</v>
      </c>
      <c r="R72" s="307">
        <f>SUMIF('Faculty Members_List'!$I$2:$I$256,recap_Incmpres!$A72,'Faculty Members_List'!BY$2:BY$256)</f>
        <v>1183110.25</v>
      </c>
      <c r="S72" s="308">
        <f>SUMIF('Faculty Members_List'!$I$2:$I$256,recap_Incmpres!$A72,'Faculty Members_List'!BZ$2:BZ$256)</f>
        <v>1097995.25</v>
      </c>
      <c r="T72" s="308">
        <f>SUMIF('Faculty Members_List'!$I$2:$I$256,recap_Incmpres!$A72,'Faculty Members_List'!CA$2:CA$256)</f>
        <v>1097995.25</v>
      </c>
      <c r="U72" s="308">
        <f>SUMIF('Faculty Members_List'!$I$2:$I$256,recap_Incmpres!$A72,'Faculty Members_List'!CB$2:CB$256)</f>
        <v>1097995.25</v>
      </c>
      <c r="V72" s="308">
        <f>SUMIF('Faculty Members_List'!$I$2:$I$256,recap_Incmpres!$A72,'Faculty Members_List'!CC$2:CC$256)</f>
        <v>1097995.25</v>
      </c>
      <c r="W72" s="301" t="str">
        <f>IF(SUMIF('Faculty Members_List'!$I$2:$I$256,recap_Incmpres!$A72,'Faculty Members_List'!T$2:T$256)=0,"",SUMIF('Faculty Members_List'!$I$2:$I$256,recap_Incmpres!$A72,'Faculty Members_List'!T$2:T$256)-1)</f>
        <v/>
      </c>
      <c r="X72" s="308">
        <f>SUMIF('Faculty Members_List'!$I$2:$I$256,recap_Incmpres!$A72,'Faculty Members_List'!S$2:S$256)</f>
        <v>0</v>
      </c>
      <c r="Y72" s="302">
        <f t="shared" si="16"/>
        <v>0</v>
      </c>
      <c r="Z72" s="302">
        <f t="shared" si="16"/>
        <v>0</v>
      </c>
      <c r="AA72" s="302">
        <f t="shared" si="16"/>
        <v>0</v>
      </c>
      <c r="AB72" s="302">
        <f t="shared" si="16"/>
        <v>0</v>
      </c>
      <c r="AE72" s="300" t="s">
        <v>1573</v>
      </c>
      <c r="AF72" s="300" t="s">
        <v>1574</v>
      </c>
      <c r="AG72" s="300" t="s">
        <v>1575</v>
      </c>
      <c r="AH72" s="302">
        <f t="shared" si="24"/>
        <v>57069.449542500079</v>
      </c>
      <c r="AI72" s="302">
        <f t="shared" si="25"/>
        <v>135639.54182999989</v>
      </c>
      <c r="AJ72" s="302">
        <f t="shared" si="26"/>
        <v>171205.37499999988</v>
      </c>
      <c r="AK72" s="302">
        <f t="shared" si="27"/>
        <v>230423.95750000002</v>
      </c>
      <c r="AL72" s="302">
        <f t="shared" si="28"/>
        <v>278192.46499999997</v>
      </c>
    </row>
    <row r="73" spans="1:38" ht="12" customHeight="1" x14ac:dyDescent="0.2">
      <c r="A73" s="300">
        <f t="shared" si="17"/>
        <v>1038</v>
      </c>
      <c r="B73" s="300" t="s">
        <v>1576</v>
      </c>
      <c r="C73" s="300" t="s">
        <v>1577</v>
      </c>
      <c r="D73" s="300" t="s">
        <v>1578</v>
      </c>
      <c r="E73" s="301">
        <v>51043</v>
      </c>
      <c r="F73" s="332">
        <f t="shared" si="18"/>
        <v>2039</v>
      </c>
      <c r="G73" s="307">
        <v>143.69999999999999</v>
      </c>
      <c r="H73" s="308">
        <v>143.69999999999999</v>
      </c>
      <c r="I73" s="308">
        <v>143.69999999999999</v>
      </c>
      <c r="J73" s="308">
        <v>143.69999999999999</v>
      </c>
      <c r="K73" s="308">
        <v>143.69999999999999</v>
      </c>
      <c r="L73" s="307">
        <f>SUMIF(envB2018!$R$2:$R$162,recap_Incmpres!$B73,envB2018!$I$2:$I$162)+SUMIF(Transferts2018_EnvB!$V$2:$V$82,recap_Incmpres!$B73,Transferts2018_EnvB!$W$2:$W$82)+SUMIF(Transferts2018_EnvB!$V$2:$V$82,recap_Incmpres!$B73,Transferts2018_EnvB!$X$2:$X$82)</f>
        <v>-185318.89</v>
      </c>
      <c r="M73" s="307">
        <f t="shared" si="19"/>
        <v>-185494.92250000002</v>
      </c>
      <c r="N73" s="307">
        <f t="shared" si="20"/>
        <v>-185494.92250000002</v>
      </c>
      <c r="O73" s="307">
        <f t="shared" si="21"/>
        <v>-185494.92250000002</v>
      </c>
      <c r="P73" s="307">
        <f t="shared" si="22"/>
        <v>-185494.92250000002</v>
      </c>
      <c r="Q73" s="307">
        <f t="shared" si="23"/>
        <v>-185494.92250000002</v>
      </c>
      <c r="R73" s="307">
        <f>SUMIF('Faculty Members_List'!$I$2:$I$256,recap_Incmpres!$A73,'Faculty Members_List'!BY$2:BY$256)</f>
        <v>406070.25</v>
      </c>
      <c r="S73" s="308">
        <f>SUMIF('Faculty Members_List'!$I$2:$I$256,recap_Incmpres!$A73,'Faculty Members_List'!BZ$2:BZ$256)</f>
        <v>461907.75</v>
      </c>
      <c r="T73" s="308">
        <f>SUMIF('Faculty Members_List'!$I$2:$I$256,recap_Incmpres!$A73,'Faculty Members_List'!CA$2:CA$256)</f>
        <v>517745.25</v>
      </c>
      <c r="U73" s="308">
        <f>SUMIF('Faculty Members_List'!$I$2:$I$256,recap_Incmpres!$A73,'Faculty Members_List'!CB$2:CB$256)</f>
        <v>1000375</v>
      </c>
      <c r="V73" s="308">
        <f>SUMIF('Faculty Members_List'!$I$2:$I$256,recap_Incmpres!$A73,'Faculty Members_List'!CC$2:CC$256)</f>
        <v>1000375</v>
      </c>
      <c r="W73" s="301">
        <f>IF(SUMIF('Faculty Members_List'!$I$2:$I$256,recap_Incmpres!$A73,'Faculty Members_List'!T$2:T$256)=0,"",SUMIF('Faculty Members_List'!$I$2:$I$256,recap_Incmpres!$A73,'Faculty Members_List'!T$2:T$256)-1)</f>
        <v>44561</v>
      </c>
      <c r="X73" s="308">
        <f>SUMIF('Faculty Members_List'!$I$2:$I$256,recap_Incmpres!$A73,'Faculty Members_List'!S$2:S$256)</f>
        <v>500000</v>
      </c>
      <c r="Y73" s="315">
        <f t="shared" si="16"/>
        <v>500000</v>
      </c>
      <c r="Z73" s="315">
        <f t="shared" si="16"/>
        <v>500000</v>
      </c>
      <c r="AA73" s="315">
        <f t="shared" si="16"/>
        <v>0</v>
      </c>
      <c r="AB73" s="315">
        <f t="shared" si="16"/>
        <v>0</v>
      </c>
      <c r="AE73" s="300" t="s">
        <v>1576</v>
      </c>
      <c r="AF73" s="300" t="s">
        <v>1577</v>
      </c>
      <c r="AG73" s="300" t="s">
        <v>1578</v>
      </c>
      <c r="AH73" s="302">
        <f t="shared" si="24"/>
        <v>720575.32750000001</v>
      </c>
      <c r="AI73" s="302">
        <f t="shared" si="25"/>
        <v>776412.82750000001</v>
      </c>
      <c r="AJ73" s="302">
        <f t="shared" si="26"/>
        <v>832250.32750000001</v>
      </c>
      <c r="AK73" s="302">
        <f t="shared" si="27"/>
        <v>814880.07750000001</v>
      </c>
      <c r="AL73" s="302">
        <f t="shared" si="28"/>
        <v>814880.07750000001</v>
      </c>
    </row>
    <row r="74" spans="1:38" ht="12" customHeight="1" x14ac:dyDescent="0.2">
      <c r="A74" s="300">
        <f t="shared" si="17"/>
        <v>1039</v>
      </c>
      <c r="B74" s="300" t="s">
        <v>1579</v>
      </c>
      <c r="C74" s="300" t="s">
        <v>1580</v>
      </c>
      <c r="D74" s="300" t="s">
        <v>1581</v>
      </c>
      <c r="E74" s="301">
        <v>50525</v>
      </c>
      <c r="F74" s="332">
        <f t="shared" si="18"/>
        <v>2038</v>
      </c>
      <c r="G74" s="307">
        <v>609021</v>
      </c>
      <c r="H74" s="308">
        <v>501074.4</v>
      </c>
      <c r="I74" s="308">
        <v>501074.4</v>
      </c>
      <c r="J74" s="308">
        <v>501074.4</v>
      </c>
      <c r="K74" s="308">
        <v>501074.4</v>
      </c>
      <c r="L74" s="307">
        <f>SUMIF(envB2018!$R$2:$R$162,recap_Incmpres!$B74,envB2018!$I$2:$I$162)+SUMIF(Transferts2018_EnvB!$V$2:$V$82,recap_Incmpres!$B74,Transferts2018_EnvB!$W$2:$W$82)+SUMIF(Transferts2018_EnvB!$V$2:$V$82,recap_Incmpres!$B74,Transferts2018_EnvB!$X$2:$X$82)</f>
        <v>-112779.87</v>
      </c>
      <c r="M74" s="307">
        <f t="shared" si="19"/>
        <v>-858830.59500000009</v>
      </c>
      <c r="N74" s="307">
        <f t="shared" si="20"/>
        <v>-726596.01000000013</v>
      </c>
      <c r="O74" s="307">
        <f t="shared" si="21"/>
        <v>-726596.01000000013</v>
      </c>
      <c r="P74" s="307">
        <f t="shared" si="22"/>
        <v>-726596.01000000013</v>
      </c>
      <c r="Q74" s="307">
        <f t="shared" si="23"/>
        <v>-726596.01000000013</v>
      </c>
      <c r="R74" s="307">
        <f>SUMIF('Faculty Members_List'!$I$2:$I$256,recap_Incmpres!$A74,'Faculty Members_List'!BY$2:BY$256)</f>
        <v>197538.845</v>
      </c>
      <c r="S74" s="308">
        <f>SUMIF('Faculty Members_List'!$I$2:$I$256,recap_Incmpres!$A74,'Faculty Members_List'!BZ$2:BZ$256)</f>
        <v>315664.88666666672</v>
      </c>
      <c r="T74" s="308">
        <f>SUMIF('Faculty Members_List'!$I$2:$I$256,recap_Incmpres!$A74,'Faculty Members_List'!CA$2:CA$256)</f>
        <v>892335.72</v>
      </c>
      <c r="U74" s="308">
        <f>SUMIF('Faculty Members_List'!$I$2:$I$256,recap_Incmpres!$A74,'Faculty Members_List'!CB$2:CB$256)</f>
        <v>948173.22</v>
      </c>
      <c r="V74" s="308">
        <f>SUMIF('Faculty Members_List'!$I$2:$I$256,recap_Incmpres!$A74,'Faculty Members_List'!CC$2:CC$256)</f>
        <v>1004010.72</v>
      </c>
      <c r="W74" s="301">
        <f>IF(SUMIF('Faculty Members_List'!$I$2:$I$256,recap_Incmpres!$A74,'Faculty Members_List'!T$2:T$256)=0,"",SUMIF('Faculty Members_List'!$I$2:$I$256,recap_Incmpres!$A74,'Faculty Members_List'!T$2:T$256)-1)</f>
        <v>44135</v>
      </c>
      <c r="X74" s="308">
        <f>SUMIF('Faculty Members_List'!$I$2:$I$256,recap_Incmpres!$A74,'Faculty Members_List'!S$2:S$256)</f>
        <v>625000</v>
      </c>
      <c r="Y74" s="316">
        <f t="shared" si="16"/>
        <v>520833.33333333331</v>
      </c>
      <c r="Z74" s="316">
        <f t="shared" si="16"/>
        <v>0</v>
      </c>
      <c r="AA74" s="316">
        <f t="shared" si="16"/>
        <v>0</v>
      </c>
      <c r="AB74" s="316">
        <f t="shared" si="16"/>
        <v>0</v>
      </c>
      <c r="AE74" s="300" t="s">
        <v>1579</v>
      </c>
      <c r="AF74" s="300" t="s">
        <v>1580</v>
      </c>
      <c r="AG74" s="300" t="s">
        <v>1581</v>
      </c>
      <c r="AH74" s="302">
        <f t="shared" si="24"/>
        <v>-36291.750000000116</v>
      </c>
      <c r="AI74" s="302">
        <f t="shared" si="25"/>
        <v>109902.20999999985</v>
      </c>
      <c r="AJ74" s="302">
        <f t="shared" si="26"/>
        <v>165739.70999999985</v>
      </c>
      <c r="AK74" s="302">
        <f t="shared" si="27"/>
        <v>221577.20999999985</v>
      </c>
      <c r="AL74" s="302">
        <f t="shared" si="28"/>
        <v>277414.70999999985</v>
      </c>
    </row>
    <row r="75" spans="1:38" s="322" customFormat="1" ht="12" customHeight="1" x14ac:dyDescent="0.2">
      <c r="A75" s="322">
        <f t="shared" si="17"/>
        <v>1047</v>
      </c>
      <c r="B75" s="322" t="s">
        <v>1582</v>
      </c>
      <c r="C75" s="322" t="s">
        <v>1583</v>
      </c>
      <c r="D75" s="322" t="s">
        <v>1584</v>
      </c>
      <c r="E75" s="323">
        <v>49309</v>
      </c>
      <c r="F75" s="332">
        <f t="shared" si="18"/>
        <v>2034</v>
      </c>
      <c r="G75" s="324">
        <v>946242.12139999995</v>
      </c>
      <c r="H75" s="325">
        <v>933410.31480000005</v>
      </c>
      <c r="I75" s="325">
        <v>933410.31480000005</v>
      </c>
      <c r="J75" s="325">
        <v>933410.31480000005</v>
      </c>
      <c r="K75" s="325">
        <v>895042.86479999998</v>
      </c>
      <c r="L75" s="307">
        <f>SUMIF(envB2018!$R$2:$R$162,recap_Incmpres!$B75,envB2018!$I$2:$I$162)+SUMIF(Transferts2018_EnvB!$V$2:$V$82,recap_Incmpres!$B75,Transferts2018_EnvB!$W$2:$W$82)+SUMIF(Transferts2018_EnvB!$V$2:$V$82,recap_Incmpres!$B75,Transferts2018_EnvB!$X$2:$X$82)</f>
        <v>-97585.02</v>
      </c>
      <c r="M75" s="324">
        <f t="shared" si="19"/>
        <v>-1256731.6187150001</v>
      </c>
      <c r="N75" s="324">
        <f t="shared" si="20"/>
        <v>-1241012.6556300002</v>
      </c>
      <c r="O75" s="324">
        <f t="shared" si="21"/>
        <v>-1241012.6556300002</v>
      </c>
      <c r="P75" s="324">
        <f t="shared" si="22"/>
        <v>-1241012.6556300002</v>
      </c>
      <c r="Q75" s="324">
        <f t="shared" si="23"/>
        <v>-1194012.52938</v>
      </c>
      <c r="R75" s="324">
        <f>SUMIF('Faculty Members_List'!$I$2:$I$256,recap_Incmpres!$A75,'Faculty Members_List'!BY$2:BY$256)</f>
        <v>1055290</v>
      </c>
      <c r="S75" s="325">
        <f>SUMIF('Faculty Members_List'!$I$2:$I$256,recap_Incmpres!$A75,'Faculty Members_List'!BZ$2:BZ$256)</f>
        <v>1000375</v>
      </c>
      <c r="T75" s="325">
        <f>SUMIF('Faculty Members_List'!$I$2:$I$256,recap_Incmpres!$A75,'Faculty Members_List'!CA$2:CA$256)</f>
        <v>1000375</v>
      </c>
      <c r="U75" s="325">
        <f>SUMIF('Faculty Members_List'!$I$2:$I$256,recap_Incmpres!$A75,'Faculty Members_List'!CB$2:CB$256)</f>
        <v>1000375</v>
      </c>
      <c r="V75" s="325">
        <f>SUMIF('Faculty Members_List'!$I$2:$I$256,recap_Incmpres!$A75,'Faculty Members_List'!CC$2:CC$256)</f>
        <v>1000375</v>
      </c>
      <c r="W75" s="323" t="str">
        <f>IF(SUMIF('Faculty Members_List'!$I$2:$I$256,recap_Incmpres!$A75,'Faculty Members_List'!T$2:T$256)=0,"",SUMIF('Faculty Members_List'!$I$2:$I$256,recap_Incmpres!$A75,'Faculty Members_List'!T$2:T$256)-1)</f>
        <v/>
      </c>
      <c r="X75" s="325">
        <f>SUMIF('Faculty Members_List'!$I$2:$I$256,recap_Incmpres!$A75,'Faculty Members_List'!S$2:S$256)</f>
        <v>0</v>
      </c>
      <c r="Y75" s="326">
        <f t="shared" si="16"/>
        <v>0</v>
      </c>
      <c r="Z75" s="326">
        <f t="shared" si="16"/>
        <v>0</v>
      </c>
      <c r="AA75" s="326">
        <f t="shared" si="16"/>
        <v>0</v>
      </c>
      <c r="AB75" s="326">
        <f t="shared" si="16"/>
        <v>0</v>
      </c>
      <c r="AC75" s="322">
        <v>161977</v>
      </c>
      <c r="AE75" s="322" t="s">
        <v>1582</v>
      </c>
      <c r="AF75" s="322" t="s">
        <v>1583</v>
      </c>
      <c r="AG75" s="322" t="s">
        <v>1584</v>
      </c>
      <c r="AH75" s="326">
        <f t="shared" si="24"/>
        <v>-3019.7937150001526</v>
      </c>
      <c r="AI75" s="326">
        <f t="shared" si="25"/>
        <v>-42215.830630000215</v>
      </c>
      <c r="AJ75" s="326">
        <f t="shared" si="26"/>
        <v>-42215.830630000215</v>
      </c>
      <c r="AK75" s="326">
        <f t="shared" si="27"/>
        <v>-42215.830630000215</v>
      </c>
      <c r="AL75" s="326">
        <f t="shared" si="28"/>
        <v>4784.2956199999899</v>
      </c>
    </row>
    <row r="76" spans="1:38" ht="12" customHeight="1" x14ac:dyDescent="0.2">
      <c r="A76" s="300">
        <f t="shared" si="17"/>
        <v>1052</v>
      </c>
      <c r="B76" s="300" t="s">
        <v>1585</v>
      </c>
      <c r="C76" s="300" t="s">
        <v>1586</v>
      </c>
      <c r="D76" s="300" t="s">
        <v>1587</v>
      </c>
      <c r="E76" s="301">
        <v>44926</v>
      </c>
      <c r="F76" s="332">
        <f t="shared" si="18"/>
        <v>2022</v>
      </c>
      <c r="G76" s="307">
        <v>853775.91669999994</v>
      </c>
      <c r="H76" s="308">
        <v>577233.26659999997</v>
      </c>
      <c r="I76" s="308">
        <v>517653</v>
      </c>
      <c r="J76" s="308">
        <v>517653</v>
      </c>
      <c r="K76" s="308">
        <v>0</v>
      </c>
      <c r="L76" s="307">
        <f>SUMIF(envB2018!$R$2:$R$162,recap_Incmpres!$B76,envB2018!$I$2:$I$162)+SUMIF(Transferts2018_EnvB!$V$2:$V$82,recap_Incmpres!$B76,Transferts2018_EnvB!$W$2:$W$82)+SUMIF(Transferts2018_EnvB!$V$2:$V$82,recap_Incmpres!$B76,Transferts2018_EnvB!$X$2:$X$82)</f>
        <v>-182011.04</v>
      </c>
      <c r="M76" s="307">
        <f t="shared" si="19"/>
        <v>-1227886.5379575</v>
      </c>
      <c r="N76" s="307">
        <f t="shared" si="20"/>
        <v>-889121.791585</v>
      </c>
      <c r="O76" s="307">
        <f t="shared" si="21"/>
        <v>-816135.96500000008</v>
      </c>
      <c r="P76" s="307">
        <f t="shared" si="22"/>
        <v>-816135.96500000008</v>
      </c>
      <c r="Q76" s="307">
        <f t="shared" si="23"/>
        <v>0</v>
      </c>
      <c r="R76" s="307">
        <f>SUMIF('Faculty Members_List'!$I$2:$I$256,recap_Incmpres!$A76,'Faculty Members_List'!BY$2:BY$256)</f>
        <v>1054083</v>
      </c>
      <c r="S76" s="308">
        <f>SUMIF('Faculty Members_List'!$I$2:$I$256,recap_Incmpres!$A76,'Faculty Members_List'!BZ$2:BZ$256)</f>
        <v>1000375</v>
      </c>
      <c r="T76" s="308">
        <f>SUMIF('Faculty Members_List'!$I$2:$I$256,recap_Incmpres!$A76,'Faculty Members_List'!CA$2:CA$256)</f>
        <v>1000375</v>
      </c>
      <c r="U76" s="308">
        <f>SUMIF('Faculty Members_List'!$I$2:$I$256,recap_Incmpres!$A76,'Faculty Members_List'!CB$2:CB$256)</f>
        <v>1000375</v>
      </c>
      <c r="V76" s="308">
        <f>SUMIF('Faculty Members_List'!$I$2:$I$256,recap_Incmpres!$A76,'Faculty Members_List'!CC$2:CC$256)</f>
        <v>0</v>
      </c>
      <c r="W76" s="301" t="str">
        <f>IF(SUMIF('Faculty Members_List'!$I$2:$I$256,recap_Incmpres!$A76,'Faculty Members_List'!T$2:T$256)=0,"",SUMIF('Faculty Members_List'!$I$2:$I$256,recap_Incmpres!$A76,'Faculty Members_List'!T$2:T$256)-1)</f>
        <v/>
      </c>
      <c r="X76" s="308">
        <f>SUMIF('Faculty Members_List'!$I$2:$I$256,recap_Incmpres!$A76,'Faculty Members_List'!S$2:S$256)</f>
        <v>0</v>
      </c>
      <c r="Y76" s="302">
        <f t="shared" si="16"/>
        <v>0</v>
      </c>
      <c r="Z76" s="302">
        <f t="shared" si="16"/>
        <v>0</v>
      </c>
      <c r="AA76" s="302">
        <f t="shared" si="16"/>
        <v>0</v>
      </c>
      <c r="AB76" s="302">
        <f t="shared" si="16"/>
        <v>0</v>
      </c>
      <c r="AC76" s="300">
        <v>123525</v>
      </c>
      <c r="AE76" s="300" t="s">
        <v>1585</v>
      </c>
      <c r="AF76" s="300" t="s">
        <v>1586</v>
      </c>
      <c r="AG76" s="300" t="s">
        <v>1587</v>
      </c>
      <c r="AH76" s="302">
        <f t="shared" si="24"/>
        <v>-22485.412957499968</v>
      </c>
      <c r="AI76" s="302">
        <f t="shared" si="25"/>
        <v>262571.333415</v>
      </c>
      <c r="AJ76" s="302">
        <f t="shared" si="26"/>
        <v>335557.15999999992</v>
      </c>
      <c r="AK76" s="302">
        <f t="shared" si="27"/>
        <v>335557.15999999992</v>
      </c>
      <c r="AL76" s="302">
        <f t="shared" si="28"/>
        <v>151318.125</v>
      </c>
    </row>
    <row r="77" spans="1:38" ht="12" customHeight="1" x14ac:dyDescent="0.2">
      <c r="A77" s="300">
        <f t="shared" si="17"/>
        <v>1053</v>
      </c>
      <c r="B77" s="300" t="s">
        <v>1588</v>
      </c>
      <c r="C77" s="300" t="s">
        <v>1589</v>
      </c>
      <c r="D77" s="300" t="s">
        <v>1590</v>
      </c>
      <c r="E77" s="301">
        <v>52748</v>
      </c>
      <c r="F77" s="332">
        <f t="shared" si="18"/>
        <v>2044</v>
      </c>
      <c r="G77" s="307">
        <v>127159.75</v>
      </c>
      <c r="H77" s="308">
        <v>127074</v>
      </c>
      <c r="I77" s="308">
        <v>59906.9</v>
      </c>
      <c r="J77" s="308">
        <v>19646.400000000001</v>
      </c>
      <c r="K77" s="308">
        <v>19646.400000000001</v>
      </c>
      <c r="L77" s="307">
        <f>SUMIF(envB2018!$R$2:$R$162,recap_Incmpres!$B77,envB2018!$I$2:$I$162)+SUMIF(Transferts2018_EnvB!$V$2:$V$82,recap_Incmpres!$B77,Transferts2018_EnvB!$W$2:$W$82)+SUMIF(Transferts2018_EnvB!$V$2:$V$82,recap_Incmpres!$B77,Transferts2018_EnvB!$X$2:$X$82)</f>
        <v>0</v>
      </c>
      <c r="M77" s="307">
        <f t="shared" si="19"/>
        <v>-155770.69375000001</v>
      </c>
      <c r="N77" s="307">
        <f t="shared" si="20"/>
        <v>-155665.65000000002</v>
      </c>
      <c r="O77" s="307">
        <f t="shared" si="21"/>
        <v>-73385.952500000014</v>
      </c>
      <c r="P77" s="307">
        <f t="shared" si="22"/>
        <v>-24066.840000000004</v>
      </c>
      <c r="Q77" s="307">
        <f t="shared" si="23"/>
        <v>-24066.840000000004</v>
      </c>
      <c r="R77" s="307">
        <f>SUMIF('Faculty Members_List'!$I$2:$I$256,recap_Incmpres!$A77,'Faculty Members_List'!BY$2:BY$256)</f>
        <v>297623.75</v>
      </c>
      <c r="S77" s="308">
        <f>SUMIF('Faculty Members_List'!$I$2:$I$256,recap_Incmpres!$A77,'Faculty Members_List'!BZ$2:BZ$256)</f>
        <v>511537.125</v>
      </c>
      <c r="T77" s="308">
        <f>SUMIF('Faculty Members_List'!$I$2:$I$256,recap_Incmpres!$A77,'Faculty Members_List'!CA$2:CA$256)</f>
        <v>511537.125</v>
      </c>
      <c r="U77" s="308">
        <f>SUMIF('Faculty Members_List'!$I$2:$I$256,recap_Incmpres!$A77,'Faculty Members_List'!CB$2:CB$256)</f>
        <v>511537.125</v>
      </c>
      <c r="V77" s="308">
        <f>SUMIF('Faculty Members_List'!$I$2:$I$256,recap_Incmpres!$A77,'Faculty Members_List'!CC$2:CC$256)</f>
        <v>563949.84375</v>
      </c>
      <c r="W77" s="301" t="str">
        <f>IF(SUMIF('Faculty Members_List'!$I$2:$I$256,recap_Incmpres!$A77,'Faculty Members_List'!T$2:T$256)=0,"",SUMIF('Faculty Members_List'!$I$2:$I$256,recap_Incmpres!$A77,'Faculty Members_List'!T$2:T$256)-1)</f>
        <v/>
      </c>
      <c r="X77" s="308">
        <f>SUMIF('Faculty Members_List'!$I$2:$I$256,recap_Incmpres!$A77,'Faculty Members_List'!S$2:S$256)</f>
        <v>0</v>
      </c>
      <c r="Y77" s="302">
        <f t="shared" si="16"/>
        <v>0</v>
      </c>
      <c r="Z77" s="302">
        <f t="shared" si="16"/>
        <v>0</v>
      </c>
      <c r="AA77" s="302">
        <f t="shared" si="16"/>
        <v>0</v>
      </c>
      <c r="AB77" s="302">
        <f t="shared" si="16"/>
        <v>0</v>
      </c>
      <c r="AE77" s="300" t="s">
        <v>1588</v>
      </c>
      <c r="AF77" s="300" t="s">
        <v>1589</v>
      </c>
      <c r="AG77" s="300" t="s">
        <v>1590</v>
      </c>
      <c r="AH77" s="302">
        <f t="shared" si="24"/>
        <v>141853.05624999999</v>
      </c>
      <c r="AI77" s="302">
        <f t="shared" si="25"/>
        <v>355871.47499999998</v>
      </c>
      <c r="AJ77" s="302">
        <f t="shared" si="26"/>
        <v>438151.17249999999</v>
      </c>
      <c r="AK77" s="302">
        <f t="shared" si="27"/>
        <v>487470.28499999997</v>
      </c>
      <c r="AL77" s="302">
        <f t="shared" si="28"/>
        <v>539883.00375000003</v>
      </c>
    </row>
    <row r="78" spans="1:38" ht="12" customHeight="1" x14ac:dyDescent="0.2">
      <c r="A78" s="300">
        <f t="shared" si="17"/>
        <v>1054</v>
      </c>
      <c r="B78" s="300" t="s">
        <v>1591</v>
      </c>
      <c r="C78" s="300" t="s">
        <v>1592</v>
      </c>
      <c r="D78" s="300" t="s">
        <v>1593</v>
      </c>
      <c r="E78" s="301">
        <v>50040</v>
      </c>
      <c r="F78" s="332">
        <f t="shared" si="18"/>
        <v>2036</v>
      </c>
      <c r="G78" s="307">
        <v>544170.6</v>
      </c>
      <c r="H78" s="308">
        <v>500142.6</v>
      </c>
      <c r="I78" s="308">
        <v>495733.45</v>
      </c>
      <c r="J78" s="308">
        <v>429892.2</v>
      </c>
      <c r="K78" s="308">
        <v>317239.2</v>
      </c>
      <c r="L78" s="307">
        <f>SUMIF(envB2018!$R$2:$R$162,recap_Incmpres!$B78,envB2018!$I$2:$I$162)+SUMIF(Transferts2018_EnvB!$V$2:$V$82,recap_Incmpres!$B78,Transferts2018_EnvB!$W$2:$W$82)+SUMIF(Transferts2018_EnvB!$V$2:$V$82,recap_Incmpres!$B78,Transferts2018_EnvB!$X$2:$X$82)</f>
        <v>-87584</v>
      </c>
      <c r="M78" s="307">
        <f t="shared" si="19"/>
        <v>-754192.98499999999</v>
      </c>
      <c r="N78" s="307">
        <f t="shared" si="20"/>
        <v>-700258.68500000006</v>
      </c>
      <c r="O78" s="307">
        <f t="shared" si="21"/>
        <v>-694857.47625000007</v>
      </c>
      <c r="P78" s="307">
        <f t="shared" si="22"/>
        <v>-614201.94500000007</v>
      </c>
      <c r="Q78" s="307">
        <f t="shared" si="23"/>
        <v>-476202.02</v>
      </c>
      <c r="R78" s="307">
        <f>SUMIF('Faculty Members_List'!$I$2:$I$256,recap_Incmpres!$A78,'Faculty Members_List'!BY$2:BY$256)</f>
        <v>246274</v>
      </c>
      <c r="S78" s="308">
        <f>SUMIF('Faculty Members_List'!$I$2:$I$256,recap_Incmpres!$A78,'Faculty Members_List'!BZ$2:BZ$256)</f>
        <v>721188</v>
      </c>
      <c r="T78" s="308">
        <f>SUMIF('Faculty Members_List'!$I$2:$I$256,recap_Incmpres!$A78,'Faculty Members_List'!CA$2:CA$256)</f>
        <v>735147.375</v>
      </c>
      <c r="U78" s="308">
        <f>SUMIF('Faculty Members_List'!$I$2:$I$256,recap_Incmpres!$A78,'Faculty Members_List'!CB$2:CB$256)</f>
        <v>790984.875</v>
      </c>
      <c r="V78" s="308">
        <f>SUMIF('Faculty Members_List'!$I$2:$I$256,recap_Incmpres!$A78,'Faculty Members_List'!CC$2:CC$256)</f>
        <v>846822.375</v>
      </c>
      <c r="W78" s="301">
        <f>IF(SUMIF('Faculty Members_List'!$I$2:$I$256,recap_Incmpres!$A78,'Faculty Members_List'!T$2:T$256)=0,"",SUMIF('Faculty Members_List'!$I$2:$I$256,recap_Incmpres!$A78,'Faculty Members_List'!T$2:T$256)-1)</f>
        <v>45657</v>
      </c>
      <c r="X78" s="308">
        <f>SUMIF('Faculty Members_List'!$I$2:$I$256,recap_Incmpres!$A78,'Faculty Members_List'!S$2:S$256)</f>
        <v>500000</v>
      </c>
      <c r="Y78" s="316">
        <f t="shared" si="16"/>
        <v>500000</v>
      </c>
      <c r="Z78" s="316">
        <f t="shared" si="16"/>
        <v>500000</v>
      </c>
      <c r="AA78" s="316">
        <f t="shared" si="16"/>
        <v>500000</v>
      </c>
      <c r="AB78" s="316">
        <f t="shared" si="16"/>
        <v>500000</v>
      </c>
      <c r="AC78" s="300">
        <v>-4093</v>
      </c>
      <c r="AE78" s="300" t="s">
        <v>1591</v>
      </c>
      <c r="AF78" s="300" t="s">
        <v>1592</v>
      </c>
      <c r="AG78" s="300" t="s">
        <v>1593</v>
      </c>
      <c r="AH78" s="302">
        <f t="shared" si="24"/>
        <v>-12932.910000000033</v>
      </c>
      <c r="AI78" s="302">
        <f t="shared" si="25"/>
        <v>515915.3899999999</v>
      </c>
      <c r="AJ78" s="302">
        <f t="shared" si="26"/>
        <v>535275.97374999989</v>
      </c>
      <c r="AK78" s="302">
        <f t="shared" si="27"/>
        <v>671769.00499999989</v>
      </c>
      <c r="AL78" s="302">
        <f t="shared" si="28"/>
        <v>865606.42999999993</v>
      </c>
    </row>
    <row r="79" spans="1:38" ht="12" customHeight="1" x14ac:dyDescent="0.2">
      <c r="A79" s="300">
        <f t="shared" si="17"/>
        <v>1055</v>
      </c>
      <c r="B79" s="300" t="s">
        <v>1594</v>
      </c>
      <c r="C79" s="300" t="s">
        <v>1595</v>
      </c>
      <c r="D79" s="300" t="s">
        <v>1596</v>
      </c>
      <c r="E79" s="301">
        <v>53965</v>
      </c>
      <c r="F79" s="332">
        <f t="shared" si="18"/>
        <v>2047</v>
      </c>
      <c r="G79" s="307">
        <v>419656.2</v>
      </c>
      <c r="H79" s="308">
        <v>413352.3996</v>
      </c>
      <c r="I79" s="308">
        <v>373099.14990000002</v>
      </c>
      <c r="J79" s="308">
        <v>311263.8</v>
      </c>
      <c r="K79" s="308">
        <v>306862.2</v>
      </c>
      <c r="L79" s="307">
        <f>SUMIF(envB2018!$R$2:$R$162,recap_Incmpres!$B79,envB2018!$I$2:$I$162)+SUMIF(Transferts2018_EnvB!$V$2:$V$82,recap_Incmpres!$B79,Transferts2018_EnvB!$W$2:$W$82)+SUMIF(Transferts2018_EnvB!$V$2:$V$82,recap_Incmpres!$B79,Transferts2018_EnvB!$X$2:$X$82)</f>
        <v>-95608.5</v>
      </c>
      <c r="M79" s="307">
        <f t="shared" si="19"/>
        <v>-609687.34499999997</v>
      </c>
      <c r="N79" s="307">
        <f t="shared" si="20"/>
        <v>-601965.18951000005</v>
      </c>
      <c r="O79" s="307">
        <f t="shared" si="21"/>
        <v>-552654.95862750011</v>
      </c>
      <c r="P79" s="307">
        <f t="shared" si="22"/>
        <v>-476906.65500000003</v>
      </c>
      <c r="Q79" s="307">
        <f t="shared" si="23"/>
        <v>-471514.69500000007</v>
      </c>
      <c r="R79" s="307">
        <f>SUMIF('Faculty Members_List'!$I$2:$I$256,recap_Incmpres!$A79,'Faculty Members_List'!BY$2:BY$256)</f>
        <v>512511.00000000006</v>
      </c>
      <c r="S79" s="308">
        <f>SUMIF('Faculty Members_List'!$I$2:$I$256,recap_Incmpres!$A79,'Faculty Members_List'!BZ$2:BZ$256)</f>
        <v>512511.00000000006</v>
      </c>
      <c r="T79" s="308">
        <f>SUMIF('Faculty Members_List'!$I$2:$I$256,recap_Incmpres!$A79,'Faculty Members_List'!CA$2:CA$256)</f>
        <v>512511.00000000006</v>
      </c>
      <c r="U79" s="308">
        <f>SUMIF('Faculty Members_List'!$I$2:$I$256,recap_Incmpres!$A79,'Faculty Members_List'!CB$2:CB$256)</f>
        <v>564680.25</v>
      </c>
      <c r="V79" s="308">
        <f>SUMIF('Faculty Members_List'!$I$2:$I$256,recap_Incmpres!$A79,'Faculty Members_List'!CC$2:CC$256)</f>
        <v>564680.25</v>
      </c>
      <c r="W79" s="301" t="str">
        <f>IF(SUMIF('Faculty Members_List'!$I$2:$I$256,recap_Incmpres!$A79,'Faculty Members_List'!T$2:T$256)=0,"",SUMIF('Faculty Members_List'!$I$2:$I$256,recap_Incmpres!$A79,'Faculty Members_List'!T$2:T$256)-1)</f>
        <v/>
      </c>
      <c r="X79" s="308">
        <f>SUMIF('Faculty Members_List'!$I$2:$I$256,recap_Incmpres!$A79,'Faculty Members_List'!S$2:S$256)</f>
        <v>0</v>
      </c>
      <c r="Y79" s="302">
        <f t="shared" si="16"/>
        <v>0</v>
      </c>
      <c r="Z79" s="302">
        <f t="shared" si="16"/>
        <v>0</v>
      </c>
      <c r="AA79" s="302">
        <f t="shared" si="16"/>
        <v>0</v>
      </c>
      <c r="AB79" s="302">
        <f t="shared" si="16"/>
        <v>0</v>
      </c>
      <c r="AE79" s="300" t="s">
        <v>1594</v>
      </c>
      <c r="AF79" s="300" t="s">
        <v>1595</v>
      </c>
      <c r="AG79" s="300" t="s">
        <v>1596</v>
      </c>
      <c r="AH79" s="302">
        <f t="shared" si="24"/>
        <v>-97176.344999999914</v>
      </c>
      <c r="AI79" s="302">
        <f t="shared" si="25"/>
        <v>-89454.189509999997</v>
      </c>
      <c r="AJ79" s="302">
        <f t="shared" si="26"/>
        <v>-40143.958627500047</v>
      </c>
      <c r="AK79" s="302">
        <f t="shared" si="27"/>
        <v>87773.594999999972</v>
      </c>
      <c r="AL79" s="302">
        <f t="shared" si="28"/>
        <v>93165.554999999935</v>
      </c>
    </row>
    <row r="80" spans="1:38" ht="12" customHeight="1" x14ac:dyDescent="0.2">
      <c r="A80" s="300">
        <f t="shared" si="17"/>
        <v>1056</v>
      </c>
      <c r="B80" s="300" t="s">
        <v>1597</v>
      </c>
      <c r="C80" s="300" t="s">
        <v>1598</v>
      </c>
      <c r="D80" s="300" t="s">
        <v>1599</v>
      </c>
      <c r="E80" s="301">
        <v>52809</v>
      </c>
      <c r="F80" s="332">
        <f t="shared" si="18"/>
        <v>2044</v>
      </c>
      <c r="G80" s="307">
        <v>342368.1</v>
      </c>
      <c r="H80" s="308">
        <v>277489.2</v>
      </c>
      <c r="I80" s="308">
        <v>277489.2</v>
      </c>
      <c r="J80" s="308">
        <v>238063.8</v>
      </c>
      <c r="K80" s="308">
        <v>224922</v>
      </c>
      <c r="L80" s="307">
        <f>SUMIF(envB2018!$R$2:$R$162,recap_Incmpres!$B80,envB2018!$I$2:$I$162)+SUMIF(Transferts2018_EnvB!$V$2:$V$82,recap_Incmpres!$B80,Transferts2018_EnvB!$W$2:$W$82)+SUMIF(Transferts2018_EnvB!$V$2:$V$82,recap_Incmpres!$B80,Transferts2018_EnvB!$X$2:$X$82)</f>
        <v>-107121.92000000001</v>
      </c>
      <c r="M80" s="307">
        <f t="shared" si="19"/>
        <v>-526522.84250000003</v>
      </c>
      <c r="N80" s="307">
        <f t="shared" si="20"/>
        <v>-447046.19000000006</v>
      </c>
      <c r="O80" s="307">
        <f t="shared" si="21"/>
        <v>-447046.19000000006</v>
      </c>
      <c r="P80" s="307">
        <f t="shared" si="22"/>
        <v>-398750.07500000007</v>
      </c>
      <c r="Q80" s="307">
        <f t="shared" si="23"/>
        <v>-382651.37</v>
      </c>
      <c r="R80" s="307">
        <f>SUMIF('Faculty Members_List'!$I$2:$I$256,recap_Incmpres!$A80,'Faculty Members_List'!BY$2:BY$256)</f>
        <v>513050</v>
      </c>
      <c r="S80" s="308">
        <f>SUMIF('Faculty Members_List'!$I$2:$I$256,recap_Incmpres!$A80,'Faculty Members_List'!BZ$2:BZ$256)</f>
        <v>513050</v>
      </c>
      <c r="T80" s="308">
        <f>SUMIF('Faculty Members_List'!$I$2:$I$256,recap_Incmpres!$A80,'Faculty Members_List'!CA$2:CA$256)</f>
        <v>565084.5</v>
      </c>
      <c r="U80" s="308">
        <f>SUMIF('Faculty Members_List'!$I$2:$I$256,recap_Incmpres!$A80,'Faculty Members_List'!CB$2:CB$256)</f>
        <v>565084.5</v>
      </c>
      <c r="V80" s="308">
        <f>SUMIF('Faculty Members_List'!$I$2:$I$256,recap_Incmpres!$A80,'Faculty Members_List'!CC$2:CC$256)</f>
        <v>565084.5</v>
      </c>
      <c r="W80" s="301" t="str">
        <f>IF(SUMIF('Faculty Members_List'!$I$2:$I$256,recap_Incmpres!$A80,'Faculty Members_List'!T$2:T$256)=0,"",SUMIF('Faculty Members_List'!$I$2:$I$256,recap_Incmpres!$A80,'Faculty Members_List'!T$2:T$256)-1)</f>
        <v/>
      </c>
      <c r="X80" s="308">
        <f>SUMIF('Faculty Members_List'!$I$2:$I$256,recap_Incmpres!$A80,'Faculty Members_List'!S$2:S$256)</f>
        <v>0</v>
      </c>
      <c r="Y80" s="302">
        <f t="shared" si="16"/>
        <v>0</v>
      </c>
      <c r="Z80" s="302">
        <f t="shared" si="16"/>
        <v>0</v>
      </c>
      <c r="AA80" s="302">
        <f t="shared" si="16"/>
        <v>0</v>
      </c>
      <c r="AB80" s="302">
        <f t="shared" si="16"/>
        <v>0</v>
      </c>
      <c r="AE80" s="300" t="s">
        <v>1597</v>
      </c>
      <c r="AF80" s="300" t="s">
        <v>1598</v>
      </c>
      <c r="AG80" s="300" t="s">
        <v>1599</v>
      </c>
      <c r="AH80" s="302">
        <f t="shared" si="24"/>
        <v>-13472.842500000028</v>
      </c>
      <c r="AI80" s="302">
        <f t="shared" si="25"/>
        <v>66003.809999999939</v>
      </c>
      <c r="AJ80" s="302">
        <f t="shared" si="26"/>
        <v>118038.30999999994</v>
      </c>
      <c r="AK80" s="302">
        <f t="shared" si="27"/>
        <v>166334.42499999993</v>
      </c>
      <c r="AL80" s="302">
        <f t="shared" si="28"/>
        <v>182433.13</v>
      </c>
    </row>
    <row r="81" spans="1:38" ht="12" customHeight="1" x14ac:dyDescent="0.2">
      <c r="A81" s="300">
        <f t="shared" si="17"/>
        <v>1057</v>
      </c>
      <c r="B81" s="300" t="s">
        <v>1600</v>
      </c>
      <c r="C81" s="300" t="s">
        <v>1601</v>
      </c>
      <c r="D81" s="300" t="s">
        <v>1602</v>
      </c>
      <c r="E81" s="301">
        <v>47907</v>
      </c>
      <c r="F81" s="332">
        <f t="shared" si="18"/>
        <v>2031</v>
      </c>
      <c r="G81" s="307">
        <v>440652.55</v>
      </c>
      <c r="H81" s="308">
        <v>396226.9</v>
      </c>
      <c r="I81" s="308">
        <v>351149.4</v>
      </c>
      <c r="J81" s="308">
        <v>346824.8</v>
      </c>
      <c r="K81" s="308">
        <v>299254.2</v>
      </c>
      <c r="L81" s="307">
        <f>SUMIF(envB2018!$R$2:$R$162,recap_Incmpres!$B81,envB2018!$I$2:$I$162)+SUMIF(Transferts2018_EnvB!$V$2:$V$82,recap_Incmpres!$B81,Transferts2018_EnvB!$W$2:$W$82)+SUMIF(Transferts2018_EnvB!$V$2:$V$82,recap_Incmpres!$B81,Transferts2018_EnvB!$X$2:$X$82)</f>
        <v>-233480.95</v>
      </c>
      <c r="M81" s="307">
        <f t="shared" si="19"/>
        <v>-773280.32374999998</v>
      </c>
      <c r="N81" s="307">
        <f t="shared" si="20"/>
        <v>-718858.90250000008</v>
      </c>
      <c r="O81" s="307">
        <f t="shared" si="21"/>
        <v>-663638.96500000008</v>
      </c>
      <c r="P81" s="307">
        <f t="shared" si="22"/>
        <v>-658341.33000000007</v>
      </c>
      <c r="Q81" s="307">
        <f t="shared" si="23"/>
        <v>-600067.34499999997</v>
      </c>
      <c r="R81" s="307">
        <f>SUMIF('Faculty Members_List'!$I$2:$I$256,recap_Incmpres!$A81,'Faculty Members_List'!BY$2:BY$256)</f>
        <v>747142</v>
      </c>
      <c r="S81" s="308">
        <f>SUMIF('Faculty Members_List'!$I$2:$I$256,recap_Incmpres!$A81,'Faculty Members_List'!BZ$2:BZ$256)</f>
        <v>721188</v>
      </c>
      <c r="T81" s="308">
        <f>SUMIF('Faculty Members_List'!$I$2:$I$256,recap_Incmpres!$A81,'Faculty Members_List'!CA$2:CA$256)</f>
        <v>721188</v>
      </c>
      <c r="U81" s="308">
        <f>SUMIF('Faculty Members_List'!$I$2:$I$256,recap_Incmpres!$A81,'Faculty Members_List'!CB$2:CB$256)</f>
        <v>777025.5</v>
      </c>
      <c r="V81" s="308">
        <f>SUMIF('Faculty Members_List'!$I$2:$I$256,recap_Incmpres!$A81,'Faculty Members_List'!CC$2:CC$256)</f>
        <v>832863</v>
      </c>
      <c r="W81" s="301" t="str">
        <f>IF(SUMIF('Faculty Members_List'!$I$2:$I$256,recap_Incmpres!$A81,'Faculty Members_List'!T$2:T$256)=0,"",SUMIF('Faculty Members_List'!$I$2:$I$256,recap_Incmpres!$A81,'Faculty Members_List'!T$2:T$256)-1)</f>
        <v/>
      </c>
      <c r="X81" s="308">
        <f>SUMIF('Faculty Members_List'!$I$2:$I$256,recap_Incmpres!$A81,'Faculty Members_List'!S$2:S$256)</f>
        <v>0</v>
      </c>
      <c r="Y81" s="302">
        <f t="shared" si="16"/>
        <v>0</v>
      </c>
      <c r="Z81" s="302">
        <f t="shared" si="16"/>
        <v>0</v>
      </c>
      <c r="AA81" s="302">
        <f t="shared" si="16"/>
        <v>0</v>
      </c>
      <c r="AB81" s="302">
        <f t="shared" si="16"/>
        <v>0</v>
      </c>
      <c r="AE81" s="300" t="s">
        <v>1600</v>
      </c>
      <c r="AF81" s="300" t="s">
        <v>1601</v>
      </c>
      <c r="AG81" s="300" t="s">
        <v>1602</v>
      </c>
      <c r="AH81" s="302">
        <f t="shared" si="24"/>
        <v>-26138.323749999981</v>
      </c>
      <c r="AI81" s="302">
        <f t="shared" si="25"/>
        <v>2329.0974999999162</v>
      </c>
      <c r="AJ81" s="302">
        <f t="shared" si="26"/>
        <v>57549.034999999916</v>
      </c>
      <c r="AK81" s="302">
        <f t="shared" si="27"/>
        <v>118684.16999999993</v>
      </c>
      <c r="AL81" s="302">
        <f t="shared" si="28"/>
        <v>232795.65500000003</v>
      </c>
    </row>
    <row r="82" spans="1:38" ht="12" customHeight="1" x14ac:dyDescent="0.2">
      <c r="A82" s="300">
        <f t="shared" si="17"/>
        <v>1062</v>
      </c>
      <c r="B82" s="300" t="s">
        <v>1603</v>
      </c>
      <c r="C82" s="300" t="s">
        <v>1604</v>
      </c>
      <c r="D82" s="300" t="s">
        <v>1605</v>
      </c>
      <c r="E82" s="301">
        <v>46630</v>
      </c>
      <c r="F82" s="332">
        <f t="shared" si="18"/>
        <v>2027</v>
      </c>
      <c r="G82" s="307">
        <v>733992.71669999999</v>
      </c>
      <c r="H82" s="308">
        <v>589426.65040000004</v>
      </c>
      <c r="I82" s="308">
        <v>489534.3504</v>
      </c>
      <c r="J82" s="308">
        <v>449661.20039999997</v>
      </c>
      <c r="K82" s="308">
        <v>410811.20010000002</v>
      </c>
      <c r="L82" s="307">
        <f>SUMIF(envB2018!$R$2:$R$162,recap_Incmpres!$B82,envB2018!$I$2:$I$162)+SUMIF(Transferts2018_EnvB!$V$2:$V$82,recap_Incmpres!$B82,Transferts2018_EnvB!$W$2:$W$82)+SUMIF(Transferts2018_EnvB!$V$2:$V$82,recap_Incmpres!$B82,Transferts2018_EnvB!$X$2:$X$82)</f>
        <v>-210985.26</v>
      </c>
      <c r="M82" s="307">
        <f t="shared" si="19"/>
        <v>-1110126.3379575</v>
      </c>
      <c r="N82" s="307">
        <f t="shared" si="20"/>
        <v>-933032.90674000012</v>
      </c>
      <c r="O82" s="307">
        <f t="shared" si="21"/>
        <v>-810664.83924</v>
      </c>
      <c r="P82" s="307">
        <f t="shared" si="22"/>
        <v>-761820.23048999999</v>
      </c>
      <c r="Q82" s="307">
        <f t="shared" si="23"/>
        <v>-714228.9801225001</v>
      </c>
      <c r="R82" s="307">
        <f>SUMIF('Faculty Members_List'!$I$2:$I$256,recap_Incmpres!$A82,'Faculty Members_List'!BY$2:BY$256)</f>
        <v>1017569</v>
      </c>
      <c r="S82" s="308">
        <f>SUMIF('Faculty Members_List'!$I$2:$I$256,recap_Incmpres!$A82,'Faculty Members_List'!BZ$2:BZ$256)</f>
        <v>1000375</v>
      </c>
      <c r="T82" s="308">
        <f>SUMIF('Faculty Members_List'!$I$2:$I$256,recap_Incmpres!$A82,'Faculty Members_List'!CA$2:CA$256)</f>
        <v>1000375</v>
      </c>
      <c r="U82" s="308">
        <f>SUMIF('Faculty Members_List'!$I$2:$I$256,recap_Incmpres!$A82,'Faculty Members_List'!CB$2:CB$256)</f>
        <v>1000375</v>
      </c>
      <c r="V82" s="308">
        <f>SUMIF('Faculty Members_List'!$I$2:$I$256,recap_Incmpres!$A82,'Faculty Members_List'!CC$2:CC$256)</f>
        <v>1000375</v>
      </c>
      <c r="W82" s="301" t="str">
        <f>IF(SUMIF('Faculty Members_List'!$I$2:$I$256,recap_Incmpres!$A82,'Faculty Members_List'!T$2:T$256)=0,"",SUMIF('Faculty Members_List'!$I$2:$I$256,recap_Incmpres!$A82,'Faculty Members_List'!T$2:T$256)-1)</f>
        <v/>
      </c>
      <c r="X82" s="308">
        <f>SUMIF('Faculty Members_List'!$I$2:$I$256,recap_Incmpres!$A82,'Faculty Members_List'!S$2:S$256)</f>
        <v>0</v>
      </c>
      <c r="Y82" s="302">
        <f t="shared" si="16"/>
        <v>0</v>
      </c>
      <c r="Z82" s="302">
        <f t="shared" si="16"/>
        <v>0</v>
      </c>
      <c r="AA82" s="302">
        <f t="shared" si="16"/>
        <v>0</v>
      </c>
      <c r="AB82" s="302">
        <f t="shared" si="16"/>
        <v>0</v>
      </c>
      <c r="AE82" s="300" t="s">
        <v>1603</v>
      </c>
      <c r="AF82" s="300" t="s">
        <v>1604</v>
      </c>
      <c r="AG82" s="300" t="s">
        <v>1605</v>
      </c>
      <c r="AH82" s="302">
        <f t="shared" si="24"/>
        <v>-92557.337957500014</v>
      </c>
      <c r="AI82" s="302">
        <f t="shared" si="25"/>
        <v>67342.093259999878</v>
      </c>
      <c r="AJ82" s="302">
        <f t="shared" si="26"/>
        <v>189710.16076</v>
      </c>
      <c r="AK82" s="302">
        <f t="shared" si="27"/>
        <v>238554.76951000001</v>
      </c>
      <c r="AL82" s="302">
        <f t="shared" si="28"/>
        <v>286146.0198774999</v>
      </c>
    </row>
    <row r="83" spans="1:38" ht="12" customHeight="1" x14ac:dyDescent="0.2">
      <c r="A83" s="300">
        <f t="shared" si="17"/>
        <v>1063</v>
      </c>
      <c r="B83" s="300" t="s">
        <v>1606</v>
      </c>
      <c r="C83" s="300" t="s">
        <v>1607</v>
      </c>
      <c r="D83" s="300" t="s">
        <v>1608</v>
      </c>
      <c r="E83" s="301">
        <v>48457</v>
      </c>
      <c r="F83" s="332">
        <f t="shared" si="18"/>
        <v>2032</v>
      </c>
      <c r="G83" s="307">
        <v>509299.35</v>
      </c>
      <c r="H83" s="308">
        <v>508261.8</v>
      </c>
      <c r="I83" s="308">
        <v>508261.8</v>
      </c>
      <c r="J83" s="308">
        <v>508261.8</v>
      </c>
      <c r="K83" s="308">
        <v>508261.8</v>
      </c>
      <c r="L83" s="307">
        <f>SUMIF(envB2018!$R$2:$R$162,recap_Incmpres!$B83,envB2018!$I$2:$I$162)+SUMIF(Transferts2018_EnvB!$V$2:$V$82,recap_Incmpres!$B83,Transferts2018_EnvB!$W$2:$W$82)+SUMIF(Transferts2018_EnvB!$V$2:$V$82,recap_Incmpres!$B83,Transferts2018_EnvB!$X$2:$X$82)</f>
        <v>-109953.47</v>
      </c>
      <c r="M83" s="307">
        <f t="shared" si="19"/>
        <v>-733845.17374999996</v>
      </c>
      <c r="N83" s="307">
        <f t="shared" si="20"/>
        <v>-732574.17500000005</v>
      </c>
      <c r="O83" s="307">
        <f t="shared" si="21"/>
        <v>-732574.17500000005</v>
      </c>
      <c r="P83" s="307">
        <f t="shared" si="22"/>
        <v>-732574.17500000005</v>
      </c>
      <c r="Q83" s="307">
        <f t="shared" si="23"/>
        <v>-732574.17500000005</v>
      </c>
      <c r="R83" s="307">
        <f>SUMIF('Faculty Members_List'!$I$2:$I$256,recap_Incmpres!$A83,'Faculty Members_List'!BY$2:BY$256)</f>
        <v>747142</v>
      </c>
      <c r="S83" s="308">
        <f>SUMIF('Faculty Members_List'!$I$2:$I$256,recap_Incmpres!$A83,'Faculty Members_List'!BZ$2:BZ$256)</f>
        <v>761101.375</v>
      </c>
      <c r="T83" s="308">
        <f>SUMIF('Faculty Members_List'!$I$2:$I$256,recap_Incmpres!$A83,'Faculty Members_List'!CA$2:CA$256)</f>
        <v>816938.875</v>
      </c>
      <c r="U83" s="308">
        <f>SUMIF('Faculty Members_List'!$I$2:$I$256,recap_Incmpres!$A83,'Faculty Members_List'!CB$2:CB$256)</f>
        <v>872776.375</v>
      </c>
      <c r="V83" s="308">
        <f>SUMIF('Faculty Members_List'!$I$2:$I$256,recap_Incmpres!$A83,'Faculty Members_List'!CC$2:CC$256)</f>
        <v>928613.875</v>
      </c>
      <c r="W83" s="301" t="str">
        <f>IF(SUMIF('Faculty Members_List'!$I$2:$I$256,recap_Incmpres!$A83,'Faculty Members_List'!T$2:T$256)=0,"",SUMIF('Faculty Members_List'!$I$2:$I$256,recap_Incmpres!$A83,'Faculty Members_List'!T$2:T$256)-1)</f>
        <v/>
      </c>
      <c r="X83" s="308">
        <f>SUMIF('Faculty Members_List'!$I$2:$I$256,recap_Incmpres!$A83,'Faculty Members_List'!S$2:S$256)</f>
        <v>0</v>
      </c>
      <c r="Y83" s="302">
        <f t="shared" ref="Y83:AB83" si="29">IF(X83=0,0,IF(YEAR($W83)&gt;Y$2,X83,IF(YEAR($W83)=Y$2,X83*(MONTH($W83))/12,0)))</f>
        <v>0</v>
      </c>
      <c r="Z83" s="302">
        <f t="shared" si="29"/>
        <v>0</v>
      </c>
      <c r="AA83" s="302">
        <f t="shared" si="29"/>
        <v>0</v>
      </c>
      <c r="AB83" s="302">
        <f t="shared" si="29"/>
        <v>0</v>
      </c>
      <c r="AE83" s="300" t="s">
        <v>1606</v>
      </c>
      <c r="AF83" s="300" t="s">
        <v>1607</v>
      </c>
      <c r="AG83" s="300" t="s">
        <v>1608</v>
      </c>
      <c r="AH83" s="302">
        <f t="shared" si="24"/>
        <v>13296.826250000042</v>
      </c>
      <c r="AI83" s="302">
        <f t="shared" si="25"/>
        <v>28527.199999999953</v>
      </c>
      <c r="AJ83" s="302">
        <f t="shared" si="26"/>
        <v>84364.699999999953</v>
      </c>
      <c r="AK83" s="302">
        <f t="shared" si="27"/>
        <v>140202.19999999995</v>
      </c>
      <c r="AL83" s="302">
        <f t="shared" si="28"/>
        <v>196039.69999999995</v>
      </c>
    </row>
    <row r="86" spans="1:38" ht="12" customHeight="1" x14ac:dyDescent="0.2">
      <c r="R86" s="300">
        <f>R53+AC53*1.225</f>
        <v>1414573.575</v>
      </c>
    </row>
  </sheetData>
  <mergeCells count="5">
    <mergeCell ref="G1:K1"/>
    <mergeCell ref="R1:V1"/>
    <mergeCell ref="W1:AB1"/>
    <mergeCell ref="M1:Q1"/>
    <mergeCell ref="AH1:AL1"/>
  </mergeCells>
  <conditionalFormatting sqref="AH3:AL83">
    <cfRule type="cellIs" dxfId="1" priority="1" operator="lessThan">
      <formula>0</formula>
    </cfRule>
    <cfRule type="cellIs" dxfId="0" priority="2" operator="greater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R162"/>
  <sheetViews>
    <sheetView workbookViewId="0">
      <pane ySplit="1" topLeftCell="A125" activePane="bottomLeft" state="frozen"/>
      <selection pane="bottomLeft" activeCell="I157" sqref="I157"/>
    </sheetView>
  </sheetViews>
  <sheetFormatPr baseColWidth="10" defaultColWidth="8.7265625" defaultRowHeight="12.5" x14ac:dyDescent="0.25"/>
  <cols>
    <col min="1" max="1" width="13" style="303" bestFit="1" customWidth="1"/>
    <col min="2" max="2" width="9" style="303" bestFit="1" customWidth="1"/>
    <col min="3" max="5" width="5.90625" style="303" customWidth="1"/>
    <col min="6" max="6" width="42" style="303" bestFit="1" customWidth="1"/>
    <col min="7" max="7" width="6" style="303" customWidth="1"/>
    <col min="8" max="9" width="13" style="303" bestFit="1" customWidth="1"/>
    <col min="10" max="10" width="12" style="303" bestFit="1" customWidth="1"/>
    <col min="11" max="11" width="13" style="303" bestFit="1" customWidth="1"/>
    <col min="12" max="12" width="11" style="303" bestFit="1" customWidth="1"/>
    <col min="13" max="13" width="13" style="303" bestFit="1" customWidth="1"/>
    <col min="14" max="14" width="12" style="303" bestFit="1" customWidth="1"/>
    <col min="15" max="17" width="6" style="303" bestFit="1" customWidth="1"/>
    <col min="18" max="16384" width="8.7265625" style="303"/>
  </cols>
  <sheetData>
    <row r="1" spans="1:18" ht="50" x14ac:dyDescent="0.25">
      <c r="A1" s="305" t="s">
        <v>1943</v>
      </c>
      <c r="B1" s="306" t="s">
        <v>1942</v>
      </c>
      <c r="C1" s="306" t="s">
        <v>1941</v>
      </c>
      <c r="D1" s="306" t="s">
        <v>1941</v>
      </c>
      <c r="E1" s="306" t="s">
        <v>1941</v>
      </c>
      <c r="F1" s="306" t="s">
        <v>1940</v>
      </c>
      <c r="G1" s="306" t="s">
        <v>1939</v>
      </c>
      <c r="H1" s="306" t="s">
        <v>1938</v>
      </c>
      <c r="I1" s="327" t="s">
        <v>1937</v>
      </c>
      <c r="J1" s="306" t="s">
        <v>1936</v>
      </c>
      <c r="K1" s="306" t="s">
        <v>1935</v>
      </c>
      <c r="L1" s="306" t="s">
        <v>1934</v>
      </c>
      <c r="M1" s="306" t="s">
        <v>1933</v>
      </c>
      <c r="N1" s="306" t="s">
        <v>1932</v>
      </c>
      <c r="O1" s="305" t="s">
        <v>1931</v>
      </c>
      <c r="P1" s="305" t="s">
        <v>1931</v>
      </c>
      <c r="Q1" s="305" t="s">
        <v>1931</v>
      </c>
      <c r="R1" s="303" t="s">
        <v>1944</v>
      </c>
    </row>
    <row r="2" spans="1:18" x14ac:dyDescent="0.25">
      <c r="A2" s="303" t="s">
        <v>466</v>
      </c>
      <c r="B2" s="303" t="s">
        <v>1930</v>
      </c>
      <c r="C2" s="303" t="s">
        <v>1609</v>
      </c>
      <c r="D2" s="303" t="s">
        <v>1609</v>
      </c>
      <c r="E2" s="303" t="s">
        <v>1609</v>
      </c>
      <c r="F2" s="303" t="s">
        <v>1929</v>
      </c>
      <c r="G2" s="303" t="s">
        <v>1609</v>
      </c>
      <c r="H2" s="304">
        <v>0</v>
      </c>
      <c r="I2" s="331">
        <v>0</v>
      </c>
      <c r="J2" s="304">
        <v>0</v>
      </c>
      <c r="K2" s="304">
        <v>0</v>
      </c>
      <c r="L2" s="304">
        <v>0</v>
      </c>
      <c r="M2" s="304">
        <v>0</v>
      </c>
      <c r="N2" s="304">
        <v>0</v>
      </c>
      <c r="O2" s="304">
        <v>0</v>
      </c>
      <c r="P2" s="304">
        <v>0</v>
      </c>
      <c r="Q2" s="304">
        <v>0</v>
      </c>
      <c r="R2" s="303" t="str">
        <f>"F" &amp; LEFT(B2,4)</f>
        <v>F0301</v>
      </c>
    </row>
    <row r="3" spans="1:18" x14ac:dyDescent="0.25">
      <c r="A3" s="303" t="s">
        <v>466</v>
      </c>
      <c r="B3" s="303" t="s">
        <v>1928</v>
      </c>
      <c r="C3" s="303" t="s">
        <v>1609</v>
      </c>
      <c r="D3" s="303" t="s">
        <v>1609</v>
      </c>
      <c r="E3" s="303" t="s">
        <v>1609</v>
      </c>
      <c r="F3" s="303" t="s">
        <v>1927</v>
      </c>
      <c r="G3" s="303" t="s">
        <v>1609</v>
      </c>
      <c r="H3" s="304">
        <v>140105</v>
      </c>
      <c r="I3" s="331">
        <v>-51991.360000000001</v>
      </c>
      <c r="J3" s="304">
        <v>0</v>
      </c>
      <c r="K3" s="304">
        <v>-51991.360000000001</v>
      </c>
      <c r="L3" s="304">
        <v>88113.64</v>
      </c>
      <c r="M3" s="304">
        <v>0</v>
      </c>
      <c r="N3" s="304">
        <v>88113.64</v>
      </c>
      <c r="O3" s="304">
        <v>0</v>
      </c>
      <c r="P3" s="304">
        <v>0</v>
      </c>
      <c r="Q3" s="304">
        <v>0</v>
      </c>
      <c r="R3" s="303" t="str">
        <f t="shared" ref="R3:R66" si="0">"F" &amp; LEFT(B3,4)</f>
        <v>F0304</v>
      </c>
    </row>
    <row r="4" spans="1:18" x14ac:dyDescent="0.25">
      <c r="A4" s="303" t="s">
        <v>466</v>
      </c>
      <c r="B4" s="303" t="s">
        <v>1926</v>
      </c>
      <c r="C4" s="303" t="s">
        <v>1609</v>
      </c>
      <c r="D4" s="303" t="s">
        <v>1609</v>
      </c>
      <c r="E4" s="303" t="s">
        <v>1609</v>
      </c>
      <c r="F4" s="303" t="s">
        <v>1925</v>
      </c>
      <c r="G4" s="303" t="s">
        <v>1609</v>
      </c>
      <c r="H4" s="304">
        <v>546534</v>
      </c>
      <c r="I4" s="331">
        <v>-542446.9</v>
      </c>
      <c r="J4" s="304">
        <v>602.35</v>
      </c>
      <c r="K4" s="304">
        <v>-541844.55000000005</v>
      </c>
      <c r="L4" s="304">
        <v>4689.45</v>
      </c>
      <c r="M4" s="304">
        <v>0</v>
      </c>
      <c r="N4" s="304">
        <v>4689.45</v>
      </c>
      <c r="O4" s="304">
        <v>0</v>
      </c>
      <c r="P4" s="304">
        <v>0</v>
      </c>
      <c r="Q4" s="304">
        <v>0</v>
      </c>
      <c r="R4" s="303" t="str">
        <f t="shared" si="0"/>
        <v>F0305</v>
      </c>
    </row>
    <row r="5" spans="1:18" x14ac:dyDescent="0.25">
      <c r="A5" s="303" t="s">
        <v>466</v>
      </c>
      <c r="B5" s="303" t="s">
        <v>1924</v>
      </c>
      <c r="C5" s="303" t="s">
        <v>1609</v>
      </c>
      <c r="D5" s="303" t="s">
        <v>1609</v>
      </c>
      <c r="E5" s="303" t="s">
        <v>1609</v>
      </c>
      <c r="F5" s="303" t="s">
        <v>1923</v>
      </c>
      <c r="G5" s="303" t="s">
        <v>1609</v>
      </c>
      <c r="H5" s="304">
        <v>25114</v>
      </c>
      <c r="I5" s="331">
        <v>-24507.61</v>
      </c>
      <c r="J5" s="304">
        <v>61.9</v>
      </c>
      <c r="K5" s="304">
        <v>-24445.71</v>
      </c>
      <c r="L5" s="304">
        <v>668.29</v>
      </c>
      <c r="M5" s="304">
        <v>0</v>
      </c>
      <c r="N5" s="304">
        <v>668.29</v>
      </c>
      <c r="O5" s="304">
        <v>0</v>
      </c>
      <c r="P5" s="304">
        <v>0</v>
      </c>
      <c r="Q5" s="304">
        <v>0</v>
      </c>
      <c r="R5" s="303" t="str">
        <f t="shared" si="0"/>
        <v>F0305</v>
      </c>
    </row>
    <row r="6" spans="1:18" x14ac:dyDescent="0.25">
      <c r="A6" s="303" t="s">
        <v>466</v>
      </c>
      <c r="B6" s="303" t="s">
        <v>1922</v>
      </c>
      <c r="C6" s="303" t="s">
        <v>1609</v>
      </c>
      <c r="D6" s="303" t="s">
        <v>1609</v>
      </c>
      <c r="E6" s="303" t="s">
        <v>1609</v>
      </c>
      <c r="F6" s="303" t="s">
        <v>1921</v>
      </c>
      <c r="G6" s="303" t="s">
        <v>1609</v>
      </c>
      <c r="H6" s="304">
        <v>68098</v>
      </c>
      <c r="I6" s="331">
        <v>-63177.5</v>
      </c>
      <c r="J6" s="304">
        <v>1760</v>
      </c>
      <c r="K6" s="304">
        <v>-61417.5</v>
      </c>
      <c r="L6" s="304">
        <v>6680.5</v>
      </c>
      <c r="M6" s="304">
        <v>0</v>
      </c>
      <c r="N6" s="304">
        <v>6680.5</v>
      </c>
      <c r="O6" s="304">
        <v>0</v>
      </c>
      <c r="P6" s="304">
        <v>0</v>
      </c>
      <c r="Q6" s="304">
        <v>0</v>
      </c>
      <c r="R6" s="303" t="str">
        <f t="shared" si="0"/>
        <v>F0306</v>
      </c>
    </row>
    <row r="7" spans="1:18" x14ac:dyDescent="0.25">
      <c r="A7" s="303" t="s">
        <v>466</v>
      </c>
      <c r="B7" s="303" t="s">
        <v>1920</v>
      </c>
      <c r="C7" s="303" t="s">
        <v>1609</v>
      </c>
      <c r="D7" s="303" t="s">
        <v>1609</v>
      </c>
      <c r="E7" s="303" t="s">
        <v>1609</v>
      </c>
      <c r="F7" s="303" t="s">
        <v>1919</v>
      </c>
      <c r="G7" s="303" t="s">
        <v>1609</v>
      </c>
      <c r="H7" s="304">
        <v>69418</v>
      </c>
      <c r="I7" s="331">
        <v>-52021.04</v>
      </c>
      <c r="J7" s="304">
        <v>0</v>
      </c>
      <c r="K7" s="304">
        <v>-52021.04</v>
      </c>
      <c r="L7" s="304">
        <v>17396.96</v>
      </c>
      <c r="M7" s="304">
        <v>0</v>
      </c>
      <c r="N7" s="304">
        <v>17396.96</v>
      </c>
      <c r="O7" s="304">
        <v>0</v>
      </c>
      <c r="P7" s="304">
        <v>0</v>
      </c>
      <c r="Q7" s="304">
        <v>0</v>
      </c>
      <c r="R7" s="303" t="str">
        <f t="shared" si="0"/>
        <v>F0307</v>
      </c>
    </row>
    <row r="8" spans="1:18" x14ac:dyDescent="0.25">
      <c r="A8" s="303" t="s">
        <v>466</v>
      </c>
      <c r="B8" s="303" t="s">
        <v>1918</v>
      </c>
      <c r="C8" s="303" t="s">
        <v>1609</v>
      </c>
      <c r="D8" s="303" t="s">
        <v>1609</v>
      </c>
      <c r="E8" s="303" t="s">
        <v>1609</v>
      </c>
      <c r="F8" s="303" t="s">
        <v>1917</v>
      </c>
      <c r="G8" s="303" t="s">
        <v>1609</v>
      </c>
      <c r="H8" s="304">
        <v>121966</v>
      </c>
      <c r="I8" s="331">
        <v>-117489.27</v>
      </c>
      <c r="J8" s="304">
        <v>12786.65</v>
      </c>
      <c r="K8" s="304">
        <v>-104702.62</v>
      </c>
      <c r="L8" s="304">
        <v>17263.38</v>
      </c>
      <c r="M8" s="304">
        <v>0</v>
      </c>
      <c r="N8" s="304">
        <v>17263.38</v>
      </c>
      <c r="O8" s="304">
        <v>0</v>
      </c>
      <c r="P8" s="304">
        <v>0</v>
      </c>
      <c r="Q8" s="304">
        <v>0</v>
      </c>
      <c r="R8" s="303" t="str">
        <f t="shared" si="0"/>
        <v>F0311</v>
      </c>
    </row>
    <row r="9" spans="1:18" x14ac:dyDescent="0.25">
      <c r="A9" s="303" t="s">
        <v>466</v>
      </c>
      <c r="B9" s="303" t="s">
        <v>1916</v>
      </c>
      <c r="C9" s="303" t="s">
        <v>1609</v>
      </c>
      <c r="D9" s="303" t="s">
        <v>1609</v>
      </c>
      <c r="E9" s="303" t="s">
        <v>1609</v>
      </c>
      <c r="F9" s="303" t="s">
        <v>1915</v>
      </c>
      <c r="G9" s="303" t="s">
        <v>1609</v>
      </c>
      <c r="H9" s="304">
        <v>48960</v>
      </c>
      <c r="I9" s="331">
        <v>-49629.94</v>
      </c>
      <c r="J9" s="304">
        <v>0</v>
      </c>
      <c r="K9" s="304">
        <v>-49629.94</v>
      </c>
      <c r="L9" s="304">
        <v>-669.94</v>
      </c>
      <c r="M9" s="304">
        <v>0</v>
      </c>
      <c r="N9" s="304">
        <v>-669.94</v>
      </c>
      <c r="O9" s="304">
        <v>0</v>
      </c>
      <c r="P9" s="304">
        <v>0</v>
      </c>
      <c r="Q9" s="304">
        <v>0</v>
      </c>
      <c r="R9" s="303" t="str">
        <f t="shared" si="0"/>
        <v>F0313</v>
      </c>
    </row>
    <row r="10" spans="1:18" x14ac:dyDescent="0.25">
      <c r="A10" s="303" t="s">
        <v>466</v>
      </c>
      <c r="B10" s="303" t="s">
        <v>1914</v>
      </c>
      <c r="C10" s="303" t="s">
        <v>1609</v>
      </c>
      <c r="D10" s="303" t="s">
        <v>1609</v>
      </c>
      <c r="E10" s="303" t="s">
        <v>1609</v>
      </c>
      <c r="F10" s="303" t="s">
        <v>1913</v>
      </c>
      <c r="G10" s="303" t="s">
        <v>1609</v>
      </c>
      <c r="H10" s="304">
        <v>78914</v>
      </c>
      <c r="I10" s="331">
        <v>-79192.58</v>
      </c>
      <c r="J10" s="304">
        <v>2227.75</v>
      </c>
      <c r="K10" s="304">
        <v>-76964.83</v>
      </c>
      <c r="L10" s="304">
        <v>1949.17</v>
      </c>
      <c r="M10" s="304">
        <v>0</v>
      </c>
      <c r="N10" s="304">
        <v>1949.17</v>
      </c>
      <c r="O10" s="304">
        <v>0</v>
      </c>
      <c r="P10" s="304">
        <v>0</v>
      </c>
      <c r="Q10" s="304">
        <v>0</v>
      </c>
      <c r="R10" s="303" t="str">
        <f t="shared" si="0"/>
        <v>F0315</v>
      </c>
    </row>
    <row r="11" spans="1:18" x14ac:dyDescent="0.25">
      <c r="A11" s="303" t="s">
        <v>466</v>
      </c>
      <c r="B11" s="303" t="s">
        <v>1912</v>
      </c>
      <c r="C11" s="303" t="s">
        <v>1609</v>
      </c>
      <c r="D11" s="303" t="s">
        <v>1609</v>
      </c>
      <c r="E11" s="303" t="s">
        <v>1609</v>
      </c>
      <c r="F11" s="303" t="s">
        <v>1911</v>
      </c>
      <c r="G11" s="303" t="s">
        <v>1609</v>
      </c>
      <c r="H11" s="304">
        <v>168765</v>
      </c>
      <c r="I11" s="331">
        <v>-182898.45</v>
      </c>
      <c r="J11" s="304">
        <v>374.66</v>
      </c>
      <c r="K11" s="304">
        <v>-182523.79</v>
      </c>
      <c r="L11" s="304">
        <v>-13758.79</v>
      </c>
      <c r="M11" s="304">
        <v>0</v>
      </c>
      <c r="N11" s="304">
        <v>-13758.79</v>
      </c>
      <c r="O11" s="304">
        <v>0</v>
      </c>
      <c r="P11" s="304">
        <v>0</v>
      </c>
      <c r="Q11" s="304">
        <v>0</v>
      </c>
      <c r="R11" s="303" t="str">
        <f t="shared" si="0"/>
        <v>F0318</v>
      </c>
    </row>
    <row r="12" spans="1:18" x14ac:dyDescent="0.25">
      <c r="A12" s="303" t="s">
        <v>466</v>
      </c>
      <c r="B12" s="303" t="s">
        <v>1910</v>
      </c>
      <c r="C12" s="303" t="s">
        <v>1609</v>
      </c>
      <c r="D12" s="303" t="s">
        <v>1609</v>
      </c>
      <c r="E12" s="303" t="s">
        <v>1609</v>
      </c>
      <c r="F12" s="303" t="s">
        <v>1909</v>
      </c>
      <c r="G12" s="303" t="s">
        <v>1609</v>
      </c>
      <c r="H12" s="304">
        <v>96880</v>
      </c>
      <c r="I12" s="331">
        <v>-111363.39</v>
      </c>
      <c r="J12" s="304">
        <v>3319.14</v>
      </c>
      <c r="K12" s="304">
        <v>-108044.25</v>
      </c>
      <c r="L12" s="304">
        <v>-11164.25</v>
      </c>
      <c r="M12" s="304">
        <v>0</v>
      </c>
      <c r="N12" s="304">
        <v>-11164.25</v>
      </c>
      <c r="O12" s="304">
        <v>0</v>
      </c>
      <c r="P12" s="304">
        <v>0</v>
      </c>
      <c r="Q12" s="304">
        <v>0</v>
      </c>
      <c r="R12" s="303" t="str">
        <f t="shared" si="0"/>
        <v>F0319</v>
      </c>
    </row>
    <row r="13" spans="1:18" x14ac:dyDescent="0.25">
      <c r="A13" s="303" t="s">
        <v>466</v>
      </c>
      <c r="B13" s="303" t="s">
        <v>1908</v>
      </c>
      <c r="C13" s="303" t="s">
        <v>1609</v>
      </c>
      <c r="D13" s="303" t="s">
        <v>1609</v>
      </c>
      <c r="E13" s="303" t="s">
        <v>1609</v>
      </c>
      <c r="F13" s="303" t="s">
        <v>1907</v>
      </c>
      <c r="G13" s="303" t="s">
        <v>1609</v>
      </c>
      <c r="H13" s="304">
        <v>60140</v>
      </c>
      <c r="I13" s="331">
        <v>-72920.960000000006</v>
      </c>
      <c r="J13" s="304">
        <v>11980.2</v>
      </c>
      <c r="K13" s="304">
        <v>-60940.76</v>
      </c>
      <c r="L13" s="304">
        <v>-800.76</v>
      </c>
      <c r="M13" s="304">
        <v>0</v>
      </c>
      <c r="N13" s="304">
        <v>-800.76</v>
      </c>
      <c r="O13" s="304">
        <v>0</v>
      </c>
      <c r="P13" s="304">
        <v>0</v>
      </c>
      <c r="Q13" s="304">
        <v>0</v>
      </c>
      <c r="R13" s="303" t="str">
        <f t="shared" si="0"/>
        <v>F0320</v>
      </c>
    </row>
    <row r="14" spans="1:18" x14ac:dyDescent="0.25">
      <c r="A14" s="303" t="s">
        <v>466</v>
      </c>
      <c r="B14" s="303" t="s">
        <v>1906</v>
      </c>
      <c r="C14" s="303" t="s">
        <v>1609</v>
      </c>
      <c r="D14" s="303" t="s">
        <v>1609</v>
      </c>
      <c r="E14" s="303" t="s">
        <v>1609</v>
      </c>
      <c r="F14" s="303" t="s">
        <v>1905</v>
      </c>
      <c r="G14" s="303" t="s">
        <v>1609</v>
      </c>
      <c r="H14" s="304">
        <v>76951</v>
      </c>
      <c r="I14" s="331">
        <v>-78624.86</v>
      </c>
      <c r="J14" s="304">
        <v>2877.9</v>
      </c>
      <c r="K14" s="304">
        <v>-75746.960000000006</v>
      </c>
      <c r="L14" s="304">
        <v>1204.04</v>
      </c>
      <c r="M14" s="304">
        <v>0</v>
      </c>
      <c r="N14" s="304">
        <v>1204.04</v>
      </c>
      <c r="O14" s="304">
        <v>0</v>
      </c>
      <c r="P14" s="304">
        <v>0</v>
      </c>
      <c r="Q14" s="304">
        <v>0</v>
      </c>
      <c r="R14" s="303" t="str">
        <f t="shared" si="0"/>
        <v>F0321</v>
      </c>
    </row>
    <row r="15" spans="1:18" x14ac:dyDescent="0.25">
      <c r="A15" s="303" t="s">
        <v>466</v>
      </c>
      <c r="B15" s="303" t="s">
        <v>1904</v>
      </c>
      <c r="C15" s="303" t="s">
        <v>1609</v>
      </c>
      <c r="D15" s="303" t="s">
        <v>1609</v>
      </c>
      <c r="E15" s="303" t="s">
        <v>1609</v>
      </c>
      <c r="F15" s="303" t="s">
        <v>1903</v>
      </c>
      <c r="G15" s="303" t="s">
        <v>1609</v>
      </c>
      <c r="H15" s="304">
        <v>160904</v>
      </c>
      <c r="I15" s="331">
        <v>-188904.19</v>
      </c>
      <c r="J15" s="304">
        <v>28956.61</v>
      </c>
      <c r="K15" s="304">
        <v>-159947.57999999999</v>
      </c>
      <c r="L15" s="304">
        <v>956.42</v>
      </c>
      <c r="M15" s="304">
        <v>-180.05</v>
      </c>
      <c r="N15" s="304">
        <v>776.37</v>
      </c>
      <c r="O15" s="304">
        <v>0</v>
      </c>
      <c r="P15" s="304">
        <v>0</v>
      </c>
      <c r="Q15" s="304">
        <v>0</v>
      </c>
      <c r="R15" s="303" t="str">
        <f t="shared" si="0"/>
        <v>F0322</v>
      </c>
    </row>
    <row r="16" spans="1:18" x14ac:dyDescent="0.25">
      <c r="A16" s="303" t="s">
        <v>466</v>
      </c>
      <c r="B16" s="303" t="s">
        <v>1902</v>
      </c>
      <c r="C16" s="303" t="s">
        <v>1609</v>
      </c>
      <c r="D16" s="303" t="s">
        <v>1609</v>
      </c>
      <c r="E16" s="303" t="s">
        <v>1609</v>
      </c>
      <c r="F16" s="303" t="s">
        <v>1901</v>
      </c>
      <c r="G16" s="303" t="s">
        <v>1609</v>
      </c>
      <c r="H16" s="304">
        <v>50000</v>
      </c>
      <c r="I16" s="331">
        <v>-48387.27</v>
      </c>
      <c r="J16" s="304">
        <v>0</v>
      </c>
      <c r="K16" s="304">
        <v>-48387.27</v>
      </c>
      <c r="L16" s="304">
        <v>1612.73</v>
      </c>
      <c r="M16" s="304">
        <v>-1878.29</v>
      </c>
      <c r="N16" s="304">
        <v>-265.56</v>
      </c>
      <c r="O16" s="304">
        <v>0</v>
      </c>
      <c r="P16" s="304">
        <v>0</v>
      </c>
      <c r="Q16" s="304">
        <v>0</v>
      </c>
      <c r="R16" s="303" t="str">
        <f t="shared" si="0"/>
        <v>F0323</v>
      </c>
    </row>
    <row r="17" spans="1:18" x14ac:dyDescent="0.25">
      <c r="A17" s="303" t="s">
        <v>466</v>
      </c>
      <c r="B17" s="303" t="s">
        <v>1900</v>
      </c>
      <c r="C17" s="303" t="s">
        <v>1609</v>
      </c>
      <c r="D17" s="303" t="s">
        <v>1609</v>
      </c>
      <c r="E17" s="303" t="s">
        <v>1609</v>
      </c>
      <c r="F17" s="303" t="s">
        <v>1899</v>
      </c>
      <c r="G17" s="303" t="s">
        <v>1609</v>
      </c>
      <c r="H17" s="304">
        <v>23932</v>
      </c>
      <c r="I17" s="331">
        <v>-24729.919999999998</v>
      </c>
      <c r="J17" s="304">
        <v>6110</v>
      </c>
      <c r="K17" s="304">
        <v>-18619.919999999998</v>
      </c>
      <c r="L17" s="304">
        <v>5312.08</v>
      </c>
      <c r="M17" s="304">
        <v>0</v>
      </c>
      <c r="N17" s="304">
        <v>5312.08</v>
      </c>
      <c r="O17" s="304">
        <v>0</v>
      </c>
      <c r="P17" s="304">
        <v>0</v>
      </c>
      <c r="Q17" s="304">
        <v>0</v>
      </c>
      <c r="R17" s="303" t="str">
        <f t="shared" si="0"/>
        <v>F0324</v>
      </c>
    </row>
    <row r="18" spans="1:18" x14ac:dyDescent="0.25">
      <c r="A18" s="303" t="s">
        <v>466</v>
      </c>
      <c r="B18" s="303" t="s">
        <v>1898</v>
      </c>
      <c r="C18" s="303" t="s">
        <v>1609</v>
      </c>
      <c r="D18" s="303" t="s">
        <v>1609</v>
      </c>
      <c r="E18" s="303" t="s">
        <v>1609</v>
      </c>
      <c r="F18" s="303" t="s">
        <v>1897</v>
      </c>
      <c r="G18" s="303" t="s">
        <v>1609</v>
      </c>
      <c r="H18" s="304">
        <v>24520</v>
      </c>
      <c r="I18" s="331">
        <v>-26428.6</v>
      </c>
      <c r="J18" s="304">
        <v>0</v>
      </c>
      <c r="K18" s="304">
        <v>-26428.6</v>
      </c>
      <c r="L18" s="304">
        <v>-1908.6</v>
      </c>
      <c r="M18" s="304">
        <v>0</v>
      </c>
      <c r="N18" s="304">
        <v>-1908.6</v>
      </c>
      <c r="O18" s="304">
        <v>0</v>
      </c>
      <c r="P18" s="304">
        <v>0</v>
      </c>
      <c r="Q18" s="304">
        <v>0</v>
      </c>
      <c r="R18" s="303" t="str">
        <f t="shared" si="0"/>
        <v>F0329</v>
      </c>
    </row>
    <row r="19" spans="1:18" x14ac:dyDescent="0.25">
      <c r="A19" s="303" t="s">
        <v>466</v>
      </c>
      <c r="B19" s="303" t="s">
        <v>1896</v>
      </c>
      <c r="C19" s="303" t="s">
        <v>1609</v>
      </c>
      <c r="D19" s="303" t="s">
        <v>1609</v>
      </c>
      <c r="E19" s="303" t="s">
        <v>1609</v>
      </c>
      <c r="F19" s="303" t="s">
        <v>1895</v>
      </c>
      <c r="G19" s="303" t="s">
        <v>1609</v>
      </c>
      <c r="H19" s="304">
        <v>86230</v>
      </c>
      <c r="I19" s="331">
        <v>-87951.51</v>
      </c>
      <c r="J19" s="304">
        <v>0</v>
      </c>
      <c r="K19" s="304">
        <v>-87951.51</v>
      </c>
      <c r="L19" s="304">
        <v>-1721.51</v>
      </c>
      <c r="M19" s="304">
        <v>0</v>
      </c>
      <c r="N19" s="304">
        <v>-1721.51</v>
      </c>
      <c r="O19" s="304">
        <v>0</v>
      </c>
      <c r="P19" s="304">
        <v>0</v>
      </c>
      <c r="Q19" s="304">
        <v>0</v>
      </c>
      <c r="R19" s="303" t="str">
        <f t="shared" si="0"/>
        <v>F0332</v>
      </c>
    </row>
    <row r="20" spans="1:18" x14ac:dyDescent="0.25">
      <c r="A20" s="303" t="s">
        <v>466</v>
      </c>
      <c r="B20" s="303" t="s">
        <v>1894</v>
      </c>
      <c r="C20" s="303" t="s">
        <v>1609</v>
      </c>
      <c r="D20" s="303" t="s">
        <v>1609</v>
      </c>
      <c r="E20" s="303" t="s">
        <v>1609</v>
      </c>
      <c r="F20" s="303" t="s">
        <v>1893</v>
      </c>
      <c r="G20" s="303" t="s">
        <v>1609</v>
      </c>
      <c r="H20" s="304">
        <v>113469</v>
      </c>
      <c r="I20" s="331">
        <v>-129453.02</v>
      </c>
      <c r="J20" s="304">
        <v>16465.3</v>
      </c>
      <c r="K20" s="304">
        <v>-112987.72</v>
      </c>
      <c r="L20" s="304">
        <v>481.28</v>
      </c>
      <c r="M20" s="304">
        <v>-593.52</v>
      </c>
      <c r="N20" s="304">
        <v>-112.24</v>
      </c>
      <c r="O20" s="304">
        <v>0</v>
      </c>
      <c r="P20" s="304">
        <v>0</v>
      </c>
      <c r="Q20" s="304">
        <v>0</v>
      </c>
      <c r="R20" s="303" t="str">
        <f t="shared" si="0"/>
        <v>F0338</v>
      </c>
    </row>
    <row r="21" spans="1:18" x14ac:dyDescent="0.25">
      <c r="A21" s="303" t="s">
        <v>466</v>
      </c>
      <c r="B21" s="303" t="s">
        <v>1892</v>
      </c>
      <c r="C21" s="303" t="s">
        <v>1609</v>
      </c>
      <c r="D21" s="303" t="s">
        <v>1609</v>
      </c>
      <c r="E21" s="303" t="s">
        <v>1609</v>
      </c>
      <c r="F21" s="303" t="s">
        <v>1891</v>
      </c>
      <c r="G21" s="303" t="s">
        <v>1609</v>
      </c>
      <c r="H21" s="304">
        <v>226100</v>
      </c>
      <c r="I21" s="331">
        <v>-268287.75</v>
      </c>
      <c r="J21" s="304">
        <v>28400</v>
      </c>
      <c r="K21" s="304">
        <v>-239887.75</v>
      </c>
      <c r="L21" s="304">
        <v>-13787.75</v>
      </c>
      <c r="M21" s="304">
        <v>-23935.05</v>
      </c>
      <c r="N21" s="304">
        <v>-37722.800000000003</v>
      </c>
      <c r="O21" s="304">
        <v>0</v>
      </c>
      <c r="P21" s="304">
        <v>0</v>
      </c>
      <c r="Q21" s="304">
        <v>0</v>
      </c>
      <c r="R21" s="303" t="str">
        <f t="shared" si="0"/>
        <v>F0339</v>
      </c>
    </row>
    <row r="22" spans="1:18" x14ac:dyDescent="0.25">
      <c r="A22" s="303" t="s">
        <v>466</v>
      </c>
      <c r="B22" s="303" t="s">
        <v>1890</v>
      </c>
      <c r="C22" s="303" t="s">
        <v>1609</v>
      </c>
      <c r="D22" s="303" t="s">
        <v>1609</v>
      </c>
      <c r="E22" s="303" t="s">
        <v>1609</v>
      </c>
      <c r="F22" s="303" t="s">
        <v>1889</v>
      </c>
      <c r="G22" s="303" t="s">
        <v>1609</v>
      </c>
      <c r="H22" s="304">
        <v>68190</v>
      </c>
      <c r="I22" s="331">
        <v>-54425.51</v>
      </c>
      <c r="J22" s="304">
        <v>0</v>
      </c>
      <c r="K22" s="304">
        <v>-54425.51</v>
      </c>
      <c r="L22" s="304">
        <v>13764.49</v>
      </c>
      <c r="M22" s="304">
        <v>0</v>
      </c>
      <c r="N22" s="304">
        <v>13764.49</v>
      </c>
      <c r="O22" s="304">
        <v>0</v>
      </c>
      <c r="P22" s="304">
        <v>0</v>
      </c>
      <c r="Q22" s="304">
        <v>0</v>
      </c>
      <c r="R22" s="303" t="str">
        <f t="shared" si="0"/>
        <v>F0343</v>
      </c>
    </row>
    <row r="23" spans="1:18" x14ac:dyDescent="0.25">
      <c r="A23" s="303" t="s">
        <v>466</v>
      </c>
      <c r="B23" s="303" t="s">
        <v>1888</v>
      </c>
      <c r="C23" s="303" t="s">
        <v>1609</v>
      </c>
      <c r="D23" s="303" t="s">
        <v>1609</v>
      </c>
      <c r="E23" s="303" t="s">
        <v>1609</v>
      </c>
      <c r="F23" s="303" t="s">
        <v>1887</v>
      </c>
      <c r="G23" s="303" t="s">
        <v>1609</v>
      </c>
      <c r="H23" s="304">
        <v>20410</v>
      </c>
      <c r="I23" s="331">
        <v>-35028.43</v>
      </c>
      <c r="J23" s="304">
        <v>14511.25</v>
      </c>
      <c r="K23" s="304">
        <v>-20517.18</v>
      </c>
      <c r="L23" s="304">
        <v>-107.18</v>
      </c>
      <c r="M23" s="304">
        <v>0</v>
      </c>
      <c r="N23" s="304">
        <v>-107.18</v>
      </c>
      <c r="O23" s="304">
        <v>0</v>
      </c>
      <c r="P23" s="304">
        <v>0</v>
      </c>
      <c r="Q23" s="304">
        <v>0</v>
      </c>
      <c r="R23" s="303" t="str">
        <f t="shared" si="0"/>
        <v>F0345</v>
      </c>
    </row>
    <row r="24" spans="1:18" x14ac:dyDescent="0.25">
      <c r="A24" s="303" t="s">
        <v>466</v>
      </c>
      <c r="B24" s="303" t="s">
        <v>1886</v>
      </c>
      <c r="C24" s="303" t="s">
        <v>1609</v>
      </c>
      <c r="D24" s="303" t="s">
        <v>1609</v>
      </c>
      <c r="E24" s="303" t="s">
        <v>1609</v>
      </c>
      <c r="F24" s="303" t="s">
        <v>1885</v>
      </c>
      <c r="G24" s="303" t="s">
        <v>1609</v>
      </c>
      <c r="H24" s="304">
        <v>16022</v>
      </c>
      <c r="I24" s="331">
        <v>-17221.349999999999</v>
      </c>
      <c r="J24" s="304">
        <v>1297.19</v>
      </c>
      <c r="K24" s="304">
        <v>-15924.16</v>
      </c>
      <c r="L24" s="304">
        <v>97.84</v>
      </c>
      <c r="M24" s="304">
        <v>-20.36</v>
      </c>
      <c r="N24" s="304">
        <v>77.48</v>
      </c>
      <c r="O24" s="304">
        <v>0</v>
      </c>
      <c r="P24" s="304">
        <v>0</v>
      </c>
      <c r="Q24" s="304">
        <v>0</v>
      </c>
      <c r="R24" s="303" t="str">
        <f t="shared" si="0"/>
        <v>F0347</v>
      </c>
    </row>
    <row r="25" spans="1:18" x14ac:dyDescent="0.25">
      <c r="A25" s="303" t="s">
        <v>466</v>
      </c>
      <c r="B25" s="303" t="s">
        <v>1884</v>
      </c>
      <c r="C25" s="303" t="s">
        <v>1609</v>
      </c>
      <c r="D25" s="303" t="s">
        <v>1609</v>
      </c>
      <c r="E25" s="303" t="s">
        <v>1609</v>
      </c>
      <c r="F25" s="303" t="s">
        <v>1883</v>
      </c>
      <c r="G25" s="303" t="s">
        <v>1609</v>
      </c>
      <c r="H25" s="304">
        <v>35960</v>
      </c>
      <c r="I25" s="331">
        <v>-49460</v>
      </c>
      <c r="J25" s="304">
        <v>1200.5</v>
      </c>
      <c r="K25" s="304">
        <v>-48259.5</v>
      </c>
      <c r="L25" s="304">
        <v>-12299.5</v>
      </c>
      <c r="M25" s="304">
        <v>-191.39</v>
      </c>
      <c r="N25" s="304">
        <v>-12490.89</v>
      </c>
      <c r="O25" s="304">
        <v>0</v>
      </c>
      <c r="P25" s="304">
        <v>0</v>
      </c>
      <c r="Q25" s="304">
        <v>0</v>
      </c>
      <c r="R25" s="303" t="str">
        <f t="shared" si="0"/>
        <v>F0350</v>
      </c>
    </row>
    <row r="26" spans="1:18" x14ac:dyDescent="0.25">
      <c r="A26" s="303" t="s">
        <v>466</v>
      </c>
      <c r="B26" s="303" t="s">
        <v>1882</v>
      </c>
      <c r="C26" s="303" t="s">
        <v>1609</v>
      </c>
      <c r="D26" s="303" t="s">
        <v>1609</v>
      </c>
      <c r="E26" s="303" t="s">
        <v>1609</v>
      </c>
      <c r="F26" s="303" t="s">
        <v>1881</v>
      </c>
      <c r="G26" s="303" t="s">
        <v>1609</v>
      </c>
      <c r="H26" s="304">
        <v>47500</v>
      </c>
      <c r="I26" s="331">
        <v>-54668.71</v>
      </c>
      <c r="J26" s="304">
        <v>6019.78</v>
      </c>
      <c r="K26" s="304">
        <v>-48648.93</v>
      </c>
      <c r="L26" s="304">
        <v>-1148.93</v>
      </c>
      <c r="M26" s="304">
        <v>0</v>
      </c>
      <c r="N26" s="304">
        <v>-1148.93</v>
      </c>
      <c r="O26" s="304">
        <v>0</v>
      </c>
      <c r="P26" s="304">
        <v>0</v>
      </c>
      <c r="Q26" s="304">
        <v>0</v>
      </c>
      <c r="R26" s="303" t="str">
        <f t="shared" si="0"/>
        <v>F0364</v>
      </c>
    </row>
    <row r="27" spans="1:18" x14ac:dyDescent="0.25">
      <c r="A27" s="303" t="s">
        <v>466</v>
      </c>
      <c r="B27" s="303" t="s">
        <v>1880</v>
      </c>
      <c r="C27" s="303" t="s">
        <v>1609</v>
      </c>
      <c r="D27" s="303" t="s">
        <v>1609</v>
      </c>
      <c r="E27" s="303" t="s">
        <v>1609</v>
      </c>
      <c r="F27" s="303" t="s">
        <v>1879</v>
      </c>
      <c r="G27" s="303" t="s">
        <v>1609</v>
      </c>
      <c r="H27" s="304">
        <v>262657</v>
      </c>
      <c r="I27" s="331">
        <v>-252598.73</v>
      </c>
      <c r="J27" s="304">
        <v>0</v>
      </c>
      <c r="K27" s="304">
        <v>-252598.73</v>
      </c>
      <c r="L27" s="304">
        <v>10058.27</v>
      </c>
      <c r="M27" s="304">
        <v>0</v>
      </c>
      <c r="N27" s="304">
        <v>10058.27</v>
      </c>
      <c r="O27" s="304">
        <v>0</v>
      </c>
      <c r="P27" s="304">
        <v>0</v>
      </c>
      <c r="Q27" s="304">
        <v>0</v>
      </c>
      <c r="R27" s="303" t="str">
        <f t="shared" si="0"/>
        <v>F0365</v>
      </c>
    </row>
    <row r="28" spans="1:18" x14ac:dyDescent="0.25">
      <c r="A28" s="303" t="s">
        <v>466</v>
      </c>
      <c r="B28" s="303" t="s">
        <v>1878</v>
      </c>
      <c r="C28" s="303" t="s">
        <v>1609</v>
      </c>
      <c r="D28" s="303" t="s">
        <v>1609</v>
      </c>
      <c r="E28" s="303" t="s">
        <v>1609</v>
      </c>
      <c r="F28" s="303" t="s">
        <v>1877</v>
      </c>
      <c r="G28" s="303" t="s">
        <v>1609</v>
      </c>
      <c r="H28" s="304">
        <v>29075</v>
      </c>
      <c r="I28" s="331">
        <v>-42308.79</v>
      </c>
      <c r="J28" s="304">
        <v>8369.4</v>
      </c>
      <c r="K28" s="304">
        <v>-33939.39</v>
      </c>
      <c r="L28" s="304">
        <v>-4864.3900000000003</v>
      </c>
      <c r="M28" s="304">
        <v>0</v>
      </c>
      <c r="N28" s="304">
        <v>-4864.3900000000003</v>
      </c>
      <c r="O28" s="304">
        <v>0</v>
      </c>
      <c r="P28" s="304">
        <v>0</v>
      </c>
      <c r="Q28" s="304">
        <v>0</v>
      </c>
      <c r="R28" s="303" t="str">
        <f t="shared" si="0"/>
        <v>F0366</v>
      </c>
    </row>
    <row r="29" spans="1:18" x14ac:dyDescent="0.25">
      <c r="A29" s="303" t="s">
        <v>466</v>
      </c>
      <c r="B29" s="303" t="s">
        <v>1876</v>
      </c>
      <c r="C29" s="303" t="s">
        <v>1609</v>
      </c>
      <c r="D29" s="303" t="s">
        <v>1609</v>
      </c>
      <c r="E29" s="303" t="s">
        <v>1609</v>
      </c>
      <c r="F29" s="303" t="s">
        <v>1875</v>
      </c>
      <c r="G29" s="303" t="s">
        <v>1609</v>
      </c>
      <c r="H29" s="304">
        <v>29985</v>
      </c>
      <c r="I29" s="331">
        <v>-30188.43</v>
      </c>
      <c r="J29" s="304">
        <v>0</v>
      </c>
      <c r="K29" s="304">
        <v>-30188.43</v>
      </c>
      <c r="L29" s="304">
        <v>-203.43</v>
      </c>
      <c r="M29" s="304">
        <v>0</v>
      </c>
      <c r="N29" s="304">
        <v>-203.43</v>
      </c>
      <c r="O29" s="304">
        <v>0</v>
      </c>
      <c r="P29" s="304">
        <v>0</v>
      </c>
      <c r="Q29" s="304">
        <v>0</v>
      </c>
      <c r="R29" s="303" t="str">
        <f t="shared" si="0"/>
        <v>F0367</v>
      </c>
    </row>
    <row r="30" spans="1:18" x14ac:dyDescent="0.25">
      <c r="A30" s="303" t="s">
        <v>466</v>
      </c>
      <c r="B30" s="303" t="s">
        <v>1874</v>
      </c>
      <c r="C30" s="303" t="s">
        <v>1609</v>
      </c>
      <c r="D30" s="303" t="s">
        <v>1609</v>
      </c>
      <c r="E30" s="303" t="s">
        <v>1609</v>
      </c>
      <c r="F30" s="303" t="s">
        <v>1873</v>
      </c>
      <c r="G30" s="303" t="s">
        <v>1609</v>
      </c>
      <c r="H30" s="304">
        <v>11259</v>
      </c>
      <c r="I30" s="331">
        <v>-10399.11</v>
      </c>
      <c r="J30" s="304">
        <v>0</v>
      </c>
      <c r="K30" s="304">
        <v>-10399.11</v>
      </c>
      <c r="L30" s="304">
        <v>859.89</v>
      </c>
      <c r="M30" s="304">
        <v>0</v>
      </c>
      <c r="N30" s="304">
        <v>859.89</v>
      </c>
      <c r="O30" s="304">
        <v>0</v>
      </c>
      <c r="P30" s="304">
        <v>0</v>
      </c>
      <c r="Q30" s="304">
        <v>0</v>
      </c>
      <c r="R30" s="303" t="str">
        <f t="shared" si="0"/>
        <v>F0368</v>
      </c>
    </row>
    <row r="31" spans="1:18" x14ac:dyDescent="0.25">
      <c r="A31" s="303" t="s">
        <v>466</v>
      </c>
      <c r="B31" s="303" t="s">
        <v>1872</v>
      </c>
      <c r="C31" s="303" t="s">
        <v>1609</v>
      </c>
      <c r="D31" s="303" t="s">
        <v>1609</v>
      </c>
      <c r="E31" s="303" t="s">
        <v>1609</v>
      </c>
      <c r="F31" s="303" t="s">
        <v>1871</v>
      </c>
      <c r="G31" s="303" t="s">
        <v>1609</v>
      </c>
      <c r="H31" s="304">
        <v>20000</v>
      </c>
      <c r="I31" s="331">
        <v>-15874.71</v>
      </c>
      <c r="J31" s="304">
        <v>2410</v>
      </c>
      <c r="K31" s="304">
        <v>-13464.71</v>
      </c>
      <c r="L31" s="304">
        <v>6535.29</v>
      </c>
      <c r="M31" s="304">
        <v>0</v>
      </c>
      <c r="N31" s="304">
        <v>6535.29</v>
      </c>
      <c r="O31" s="304">
        <v>0</v>
      </c>
      <c r="P31" s="304">
        <v>0</v>
      </c>
      <c r="Q31" s="304">
        <v>0</v>
      </c>
      <c r="R31" s="303" t="str">
        <f t="shared" si="0"/>
        <v>F0369</v>
      </c>
    </row>
    <row r="32" spans="1:18" x14ac:dyDescent="0.25">
      <c r="A32" s="303" t="s">
        <v>466</v>
      </c>
      <c r="B32" s="303" t="s">
        <v>1870</v>
      </c>
      <c r="C32" s="303" t="s">
        <v>1609</v>
      </c>
      <c r="D32" s="303" t="s">
        <v>1609</v>
      </c>
      <c r="E32" s="303" t="s">
        <v>1609</v>
      </c>
      <c r="F32" s="303" t="s">
        <v>1869</v>
      </c>
      <c r="G32" s="303" t="s">
        <v>1609</v>
      </c>
      <c r="H32" s="304">
        <v>209073</v>
      </c>
      <c r="I32" s="331">
        <v>-177331.89</v>
      </c>
      <c r="J32" s="304">
        <v>0</v>
      </c>
      <c r="K32" s="304">
        <v>-177331.89</v>
      </c>
      <c r="L32" s="304">
        <v>31741.11</v>
      </c>
      <c r="M32" s="304">
        <v>-2670.17</v>
      </c>
      <c r="N32" s="304">
        <v>29070.94</v>
      </c>
      <c r="O32" s="304">
        <v>0</v>
      </c>
      <c r="P32" s="304">
        <v>0</v>
      </c>
      <c r="Q32" s="304">
        <v>0</v>
      </c>
      <c r="R32" s="303" t="str">
        <f t="shared" si="0"/>
        <v>F0370</v>
      </c>
    </row>
    <row r="33" spans="1:18" x14ac:dyDescent="0.25">
      <c r="A33" s="303" t="s">
        <v>466</v>
      </c>
      <c r="B33" s="303" t="s">
        <v>1868</v>
      </c>
      <c r="C33" s="303" t="s">
        <v>1609</v>
      </c>
      <c r="D33" s="303" t="s">
        <v>1609</v>
      </c>
      <c r="E33" s="303" t="s">
        <v>1609</v>
      </c>
      <c r="F33" s="303" t="s">
        <v>1867</v>
      </c>
      <c r="G33" s="303" t="s">
        <v>1609</v>
      </c>
      <c r="H33" s="304">
        <v>42000</v>
      </c>
      <c r="I33" s="331">
        <v>-46155.6</v>
      </c>
      <c r="J33" s="304">
        <v>1449.26</v>
      </c>
      <c r="K33" s="304">
        <v>-44706.34</v>
      </c>
      <c r="L33" s="304">
        <v>-2706.34</v>
      </c>
      <c r="M33" s="304">
        <v>0</v>
      </c>
      <c r="N33" s="304">
        <v>-2706.34</v>
      </c>
      <c r="O33" s="304">
        <v>0</v>
      </c>
      <c r="P33" s="304">
        <v>0</v>
      </c>
      <c r="Q33" s="304">
        <v>0</v>
      </c>
      <c r="R33" s="303" t="str">
        <f t="shared" si="0"/>
        <v>F0371</v>
      </c>
    </row>
    <row r="34" spans="1:18" x14ac:dyDescent="0.25">
      <c r="A34" s="303" t="s">
        <v>466</v>
      </c>
      <c r="B34" s="303" t="s">
        <v>1866</v>
      </c>
      <c r="C34" s="303" t="s">
        <v>1609</v>
      </c>
      <c r="D34" s="303" t="s">
        <v>1609</v>
      </c>
      <c r="E34" s="303" t="s">
        <v>1609</v>
      </c>
      <c r="F34" s="303" t="s">
        <v>1865</v>
      </c>
      <c r="G34" s="303" t="s">
        <v>1609</v>
      </c>
      <c r="H34" s="304">
        <v>28000</v>
      </c>
      <c r="I34" s="331">
        <v>-30809.21</v>
      </c>
      <c r="J34" s="304">
        <v>1952</v>
      </c>
      <c r="K34" s="304">
        <v>-28857.21</v>
      </c>
      <c r="L34" s="304">
        <v>-857.21</v>
      </c>
      <c r="M34" s="304">
        <v>0</v>
      </c>
      <c r="N34" s="304">
        <v>-857.21</v>
      </c>
      <c r="O34" s="304">
        <v>0</v>
      </c>
      <c r="P34" s="304">
        <v>0</v>
      </c>
      <c r="Q34" s="304">
        <v>0</v>
      </c>
      <c r="R34" s="303" t="str">
        <f t="shared" si="0"/>
        <v>F0372</v>
      </c>
    </row>
    <row r="35" spans="1:18" x14ac:dyDescent="0.25">
      <c r="A35" s="303" t="s">
        <v>466</v>
      </c>
      <c r="B35" s="303" t="s">
        <v>1864</v>
      </c>
      <c r="C35" s="303" t="s">
        <v>1609</v>
      </c>
      <c r="D35" s="303" t="s">
        <v>1609</v>
      </c>
      <c r="E35" s="303" t="s">
        <v>1609</v>
      </c>
      <c r="F35" s="303" t="s">
        <v>1863</v>
      </c>
      <c r="G35" s="303" t="s">
        <v>1609</v>
      </c>
      <c r="H35" s="304">
        <v>30059</v>
      </c>
      <c r="I35" s="331">
        <v>-38716.58</v>
      </c>
      <c r="J35" s="304">
        <v>4431.6000000000004</v>
      </c>
      <c r="K35" s="304">
        <v>-34284.980000000003</v>
      </c>
      <c r="L35" s="304">
        <v>-4225.9799999999996</v>
      </c>
      <c r="M35" s="304">
        <v>0</v>
      </c>
      <c r="N35" s="304">
        <v>-4225.9799999999996</v>
      </c>
      <c r="O35" s="304">
        <v>0</v>
      </c>
      <c r="P35" s="304">
        <v>0</v>
      </c>
      <c r="Q35" s="304">
        <v>0</v>
      </c>
      <c r="R35" s="303" t="str">
        <f t="shared" si="0"/>
        <v>F0373</v>
      </c>
    </row>
    <row r="36" spans="1:18" x14ac:dyDescent="0.25">
      <c r="A36" s="303" t="s">
        <v>466</v>
      </c>
      <c r="B36" s="303" t="s">
        <v>1862</v>
      </c>
      <c r="C36" s="303" t="s">
        <v>1609</v>
      </c>
      <c r="D36" s="303" t="s">
        <v>1609</v>
      </c>
      <c r="E36" s="303" t="s">
        <v>1609</v>
      </c>
      <c r="F36" s="303" t="s">
        <v>1861</v>
      </c>
      <c r="G36" s="303" t="s">
        <v>1609</v>
      </c>
      <c r="H36" s="304">
        <v>27920</v>
      </c>
      <c r="I36" s="331">
        <v>-31353.01</v>
      </c>
      <c r="J36" s="304">
        <v>1403.95</v>
      </c>
      <c r="K36" s="304">
        <v>-29949.06</v>
      </c>
      <c r="L36" s="304">
        <v>-2029.06</v>
      </c>
      <c r="M36" s="304">
        <v>0</v>
      </c>
      <c r="N36" s="304">
        <v>-2029.06</v>
      </c>
      <c r="O36" s="304">
        <v>0</v>
      </c>
      <c r="P36" s="304">
        <v>0</v>
      </c>
      <c r="Q36" s="304">
        <v>0</v>
      </c>
      <c r="R36" s="303" t="str">
        <f t="shared" si="0"/>
        <v>F0374</v>
      </c>
    </row>
    <row r="37" spans="1:18" x14ac:dyDescent="0.25">
      <c r="A37" s="303" t="s">
        <v>466</v>
      </c>
      <c r="B37" s="303" t="s">
        <v>1860</v>
      </c>
      <c r="C37" s="303" t="s">
        <v>1609</v>
      </c>
      <c r="D37" s="303" t="s">
        <v>1609</v>
      </c>
      <c r="E37" s="303" t="s">
        <v>1609</v>
      </c>
      <c r="F37" s="303" t="s">
        <v>1859</v>
      </c>
      <c r="G37" s="303" t="s">
        <v>1609</v>
      </c>
      <c r="H37" s="304">
        <v>20000</v>
      </c>
      <c r="I37" s="331">
        <v>-13515.63</v>
      </c>
      <c r="J37" s="304">
        <v>730</v>
      </c>
      <c r="K37" s="304">
        <v>-12785.63</v>
      </c>
      <c r="L37" s="304">
        <v>7214.37</v>
      </c>
      <c r="M37" s="304">
        <v>0</v>
      </c>
      <c r="N37" s="304">
        <v>7214.37</v>
      </c>
      <c r="O37" s="304">
        <v>0</v>
      </c>
      <c r="P37" s="304">
        <v>0</v>
      </c>
      <c r="Q37" s="304">
        <v>0</v>
      </c>
      <c r="R37" s="303" t="str">
        <f t="shared" si="0"/>
        <v>F0375</v>
      </c>
    </row>
    <row r="38" spans="1:18" x14ac:dyDescent="0.25">
      <c r="A38" s="303" t="s">
        <v>466</v>
      </c>
      <c r="B38" s="303" t="s">
        <v>1858</v>
      </c>
      <c r="C38" s="303" t="s">
        <v>1609</v>
      </c>
      <c r="D38" s="303" t="s">
        <v>1609</v>
      </c>
      <c r="E38" s="303" t="s">
        <v>1609</v>
      </c>
      <c r="F38" s="303" t="s">
        <v>1857</v>
      </c>
      <c r="G38" s="303" t="s">
        <v>1609</v>
      </c>
      <c r="H38" s="304">
        <v>25830</v>
      </c>
      <c r="I38" s="331">
        <v>-23990.2</v>
      </c>
      <c r="J38" s="304">
        <v>0</v>
      </c>
      <c r="K38" s="304">
        <v>-23990.2</v>
      </c>
      <c r="L38" s="304">
        <v>1839.8</v>
      </c>
      <c r="M38" s="304">
        <v>0</v>
      </c>
      <c r="N38" s="304">
        <v>1839.8</v>
      </c>
      <c r="O38" s="304">
        <v>0</v>
      </c>
      <c r="P38" s="304">
        <v>0</v>
      </c>
      <c r="Q38" s="304">
        <v>0</v>
      </c>
      <c r="R38" s="303" t="str">
        <f t="shared" si="0"/>
        <v>F0376</v>
      </c>
    </row>
    <row r="39" spans="1:18" x14ac:dyDescent="0.25">
      <c r="A39" s="303" t="s">
        <v>466</v>
      </c>
      <c r="B39" s="303" t="s">
        <v>1856</v>
      </c>
      <c r="C39" s="303" t="s">
        <v>1609</v>
      </c>
      <c r="D39" s="303" t="s">
        <v>1609</v>
      </c>
      <c r="E39" s="303" t="s">
        <v>1609</v>
      </c>
      <c r="F39" s="303" t="s">
        <v>1855</v>
      </c>
      <c r="G39" s="303" t="s">
        <v>1609</v>
      </c>
      <c r="H39" s="304">
        <v>85222</v>
      </c>
      <c r="I39" s="331">
        <v>-166039.64000000001</v>
      </c>
      <c r="J39" s="304">
        <v>67439.600000000006</v>
      </c>
      <c r="K39" s="304">
        <v>-98600.04</v>
      </c>
      <c r="L39" s="304">
        <v>-13378.04</v>
      </c>
      <c r="M39" s="304">
        <v>0</v>
      </c>
      <c r="N39" s="304">
        <v>-13378.04</v>
      </c>
      <c r="O39" s="304">
        <v>0</v>
      </c>
      <c r="P39" s="304">
        <v>0</v>
      </c>
      <c r="Q39" s="304">
        <v>0</v>
      </c>
      <c r="R39" s="303" t="str">
        <f t="shared" si="0"/>
        <v>F0377</v>
      </c>
    </row>
    <row r="40" spans="1:18" x14ac:dyDescent="0.25">
      <c r="A40" s="303" t="s">
        <v>466</v>
      </c>
      <c r="B40" s="303" t="s">
        <v>1854</v>
      </c>
      <c r="C40" s="303" t="s">
        <v>1609</v>
      </c>
      <c r="D40" s="303" t="s">
        <v>1609</v>
      </c>
      <c r="E40" s="303" t="s">
        <v>1609</v>
      </c>
      <c r="F40" s="303" t="s">
        <v>1853</v>
      </c>
      <c r="G40" s="303" t="s">
        <v>1609</v>
      </c>
      <c r="H40" s="304">
        <v>27633</v>
      </c>
      <c r="I40" s="331">
        <v>-27965.94</v>
      </c>
      <c r="J40" s="304">
        <v>0</v>
      </c>
      <c r="K40" s="304">
        <v>-27965.94</v>
      </c>
      <c r="L40" s="304">
        <v>-332.94</v>
      </c>
      <c r="M40" s="304">
        <v>0</v>
      </c>
      <c r="N40" s="304">
        <v>-332.94</v>
      </c>
      <c r="O40" s="304">
        <v>0</v>
      </c>
      <c r="P40" s="304">
        <v>0</v>
      </c>
      <c r="Q40" s="304">
        <v>0</v>
      </c>
      <c r="R40" s="303" t="str">
        <f t="shared" si="0"/>
        <v>F0379</v>
      </c>
    </row>
    <row r="41" spans="1:18" x14ac:dyDescent="0.25">
      <c r="A41" s="303" t="s">
        <v>466</v>
      </c>
      <c r="B41" s="303" t="s">
        <v>1852</v>
      </c>
      <c r="C41" s="303" t="s">
        <v>1609</v>
      </c>
      <c r="D41" s="303" t="s">
        <v>1609</v>
      </c>
      <c r="E41" s="303" t="s">
        <v>1609</v>
      </c>
      <c r="F41" s="303" t="s">
        <v>1851</v>
      </c>
      <c r="G41" s="303" t="s">
        <v>1609</v>
      </c>
      <c r="H41" s="304">
        <v>116315</v>
      </c>
      <c r="I41" s="331">
        <v>-176091.25</v>
      </c>
      <c r="J41" s="304">
        <v>11869.9</v>
      </c>
      <c r="K41" s="304">
        <v>-164221.35</v>
      </c>
      <c r="L41" s="304">
        <v>-47906.35</v>
      </c>
      <c r="M41" s="304">
        <v>-1453.1</v>
      </c>
      <c r="N41" s="304">
        <v>-49359.45</v>
      </c>
      <c r="O41" s="304">
        <v>0</v>
      </c>
      <c r="P41" s="304">
        <v>0</v>
      </c>
      <c r="Q41" s="304">
        <v>0</v>
      </c>
      <c r="R41" s="303" t="str">
        <f t="shared" si="0"/>
        <v>F0380</v>
      </c>
    </row>
    <row r="42" spans="1:18" x14ac:dyDescent="0.25">
      <c r="A42" s="303" t="s">
        <v>466</v>
      </c>
      <c r="B42" s="303" t="s">
        <v>1850</v>
      </c>
      <c r="C42" s="303" t="s">
        <v>1609</v>
      </c>
      <c r="D42" s="303" t="s">
        <v>1609</v>
      </c>
      <c r="E42" s="303" t="s">
        <v>1609</v>
      </c>
      <c r="F42" s="303" t="s">
        <v>1849</v>
      </c>
      <c r="G42" s="303" t="s">
        <v>1609</v>
      </c>
      <c r="H42" s="304">
        <v>0</v>
      </c>
      <c r="I42" s="331">
        <v>-24825.89</v>
      </c>
      <c r="J42" s="304">
        <v>0</v>
      </c>
      <c r="K42" s="304">
        <v>-24825.89</v>
      </c>
      <c r="L42" s="304">
        <v>-24825.89</v>
      </c>
      <c r="M42" s="304">
        <v>0</v>
      </c>
      <c r="N42" s="304">
        <v>-24825.89</v>
      </c>
      <c r="O42" s="304">
        <v>0</v>
      </c>
      <c r="P42" s="304">
        <v>0</v>
      </c>
      <c r="Q42" s="304">
        <v>0</v>
      </c>
      <c r="R42" s="303" t="str">
        <f t="shared" si="0"/>
        <v>F0380</v>
      </c>
    </row>
    <row r="43" spans="1:18" x14ac:dyDescent="0.25">
      <c r="A43" s="303" t="s">
        <v>466</v>
      </c>
      <c r="B43" s="303" t="s">
        <v>1848</v>
      </c>
      <c r="C43" s="303" t="s">
        <v>1609</v>
      </c>
      <c r="D43" s="303" t="s">
        <v>1609</v>
      </c>
      <c r="E43" s="303" t="s">
        <v>1609</v>
      </c>
      <c r="F43" s="303" t="s">
        <v>1847</v>
      </c>
      <c r="G43" s="303" t="s">
        <v>1609</v>
      </c>
      <c r="H43" s="304">
        <v>0</v>
      </c>
      <c r="I43" s="331">
        <v>0</v>
      </c>
      <c r="J43" s="304">
        <v>0</v>
      </c>
      <c r="K43" s="304">
        <v>0</v>
      </c>
      <c r="L43" s="304">
        <v>0</v>
      </c>
      <c r="M43" s="304">
        <v>0</v>
      </c>
      <c r="N43" s="304">
        <v>0</v>
      </c>
      <c r="O43" s="304">
        <v>0</v>
      </c>
      <c r="P43" s="304">
        <v>0</v>
      </c>
      <c r="Q43" s="304">
        <v>0</v>
      </c>
      <c r="R43" s="303" t="str">
        <f t="shared" si="0"/>
        <v>F0382</v>
      </c>
    </row>
    <row r="44" spans="1:18" x14ac:dyDescent="0.25">
      <c r="A44" s="303" t="s">
        <v>466</v>
      </c>
      <c r="B44" s="303" t="s">
        <v>1846</v>
      </c>
      <c r="C44" s="303" t="s">
        <v>1609</v>
      </c>
      <c r="D44" s="303" t="s">
        <v>1609</v>
      </c>
      <c r="E44" s="303" t="s">
        <v>1609</v>
      </c>
      <c r="F44" s="303" t="s">
        <v>1845</v>
      </c>
      <c r="G44" s="303" t="s">
        <v>1609</v>
      </c>
      <c r="H44" s="304">
        <v>1190727</v>
      </c>
      <c r="I44" s="331">
        <v>-528557.6</v>
      </c>
      <c r="J44" s="304">
        <v>-753887.9</v>
      </c>
      <c r="K44" s="304">
        <v>-1282445.5</v>
      </c>
      <c r="L44" s="304">
        <v>-91718.5</v>
      </c>
      <c r="M44" s="304">
        <v>0</v>
      </c>
      <c r="N44" s="304">
        <v>-91718.5</v>
      </c>
      <c r="O44" s="304">
        <v>0</v>
      </c>
      <c r="P44" s="304">
        <v>0</v>
      </c>
      <c r="Q44" s="304">
        <v>0</v>
      </c>
      <c r="R44" s="303" t="str">
        <f t="shared" si="0"/>
        <v>F0383</v>
      </c>
    </row>
    <row r="45" spans="1:18" x14ac:dyDescent="0.25">
      <c r="A45" s="303" t="s">
        <v>466</v>
      </c>
      <c r="B45" s="303" t="s">
        <v>1844</v>
      </c>
      <c r="C45" s="303" t="s">
        <v>1609</v>
      </c>
      <c r="D45" s="303" t="s">
        <v>1609</v>
      </c>
      <c r="E45" s="303" t="s">
        <v>1609</v>
      </c>
      <c r="F45" s="303" t="s">
        <v>1843</v>
      </c>
      <c r="G45" s="303" t="s">
        <v>1609</v>
      </c>
      <c r="H45" s="304">
        <v>0</v>
      </c>
      <c r="I45" s="331">
        <v>0</v>
      </c>
      <c r="J45" s="304">
        <v>0</v>
      </c>
      <c r="K45" s="304">
        <v>0</v>
      </c>
      <c r="L45" s="304">
        <v>0</v>
      </c>
      <c r="M45" s="304">
        <v>0</v>
      </c>
      <c r="N45" s="304">
        <v>0</v>
      </c>
      <c r="O45" s="304">
        <v>0</v>
      </c>
      <c r="P45" s="304">
        <v>0</v>
      </c>
      <c r="Q45" s="304">
        <v>0</v>
      </c>
      <c r="R45" s="303" t="str">
        <f t="shared" si="0"/>
        <v>F0385</v>
      </c>
    </row>
    <row r="46" spans="1:18" x14ac:dyDescent="0.25">
      <c r="A46" s="303" t="s">
        <v>466</v>
      </c>
      <c r="B46" s="303" t="s">
        <v>1842</v>
      </c>
      <c r="C46" s="303" t="s">
        <v>1609</v>
      </c>
      <c r="D46" s="303" t="s">
        <v>1609</v>
      </c>
      <c r="E46" s="303" t="s">
        <v>1609</v>
      </c>
      <c r="F46" s="303" t="s">
        <v>1841</v>
      </c>
      <c r="G46" s="303" t="s">
        <v>1609</v>
      </c>
      <c r="H46" s="304">
        <v>40000</v>
      </c>
      <c r="I46" s="331">
        <v>-42997.68</v>
      </c>
      <c r="J46" s="304">
        <v>2000</v>
      </c>
      <c r="K46" s="304">
        <v>-40997.68</v>
      </c>
      <c r="L46" s="304">
        <v>-997.68</v>
      </c>
      <c r="M46" s="304">
        <v>0</v>
      </c>
      <c r="N46" s="304">
        <v>-997.68</v>
      </c>
      <c r="O46" s="304">
        <v>0</v>
      </c>
      <c r="P46" s="304">
        <v>0</v>
      </c>
      <c r="Q46" s="304">
        <v>0</v>
      </c>
      <c r="R46" s="303" t="str">
        <f t="shared" si="0"/>
        <v>F0387</v>
      </c>
    </row>
    <row r="47" spans="1:18" x14ac:dyDescent="0.25">
      <c r="A47" s="303" t="s">
        <v>466</v>
      </c>
      <c r="B47" s="303" t="s">
        <v>1840</v>
      </c>
      <c r="C47" s="303" t="s">
        <v>1609</v>
      </c>
      <c r="D47" s="303" t="s">
        <v>1609</v>
      </c>
      <c r="E47" s="303" t="s">
        <v>1609</v>
      </c>
      <c r="F47" s="303" t="s">
        <v>1839</v>
      </c>
      <c r="G47" s="303" t="s">
        <v>1609</v>
      </c>
      <c r="H47" s="304">
        <v>15000</v>
      </c>
      <c r="I47" s="331">
        <v>-17498.900000000001</v>
      </c>
      <c r="J47" s="304">
        <v>2000</v>
      </c>
      <c r="K47" s="304">
        <v>-15498.9</v>
      </c>
      <c r="L47" s="304">
        <v>-498.9</v>
      </c>
      <c r="M47" s="304">
        <v>-408.63</v>
      </c>
      <c r="N47" s="304">
        <v>-907.53</v>
      </c>
      <c r="O47" s="304">
        <v>0</v>
      </c>
      <c r="P47" s="304">
        <v>0</v>
      </c>
      <c r="Q47" s="304">
        <v>0</v>
      </c>
      <c r="R47" s="303" t="str">
        <f t="shared" si="0"/>
        <v>F0392</v>
      </c>
    </row>
    <row r="48" spans="1:18" x14ac:dyDescent="0.25">
      <c r="A48" s="303" t="s">
        <v>466</v>
      </c>
      <c r="B48" s="303" t="s">
        <v>1838</v>
      </c>
      <c r="C48" s="303" t="s">
        <v>1609</v>
      </c>
      <c r="D48" s="303" t="s">
        <v>1609</v>
      </c>
      <c r="E48" s="303" t="s">
        <v>1609</v>
      </c>
      <c r="F48" s="303" t="s">
        <v>1837</v>
      </c>
      <c r="G48" s="303" t="s">
        <v>1609</v>
      </c>
      <c r="H48" s="304">
        <v>0</v>
      </c>
      <c r="I48" s="331">
        <v>0</v>
      </c>
      <c r="J48" s="304">
        <v>0</v>
      </c>
      <c r="K48" s="304">
        <v>0</v>
      </c>
      <c r="L48" s="304">
        <v>0</v>
      </c>
      <c r="M48" s="304">
        <v>0</v>
      </c>
      <c r="N48" s="304">
        <v>0</v>
      </c>
      <c r="O48" s="304">
        <v>0</v>
      </c>
      <c r="P48" s="304">
        <v>0</v>
      </c>
      <c r="Q48" s="304">
        <v>0</v>
      </c>
      <c r="R48" s="303" t="str">
        <f t="shared" si="0"/>
        <v>F0396</v>
      </c>
    </row>
    <row r="49" spans="1:18" x14ac:dyDescent="0.25">
      <c r="A49" s="303" t="s">
        <v>466</v>
      </c>
      <c r="B49" s="303" t="s">
        <v>1836</v>
      </c>
      <c r="C49" s="303" t="s">
        <v>1609</v>
      </c>
      <c r="D49" s="303" t="s">
        <v>1609</v>
      </c>
      <c r="E49" s="303" t="s">
        <v>1609</v>
      </c>
      <c r="F49" s="303" t="s">
        <v>1835</v>
      </c>
      <c r="G49" s="303" t="s">
        <v>1609</v>
      </c>
      <c r="H49" s="304">
        <v>149678</v>
      </c>
      <c r="I49" s="331">
        <v>-126775.71</v>
      </c>
      <c r="J49" s="304">
        <v>-25949.08</v>
      </c>
      <c r="K49" s="304">
        <v>-152724.79</v>
      </c>
      <c r="L49" s="304">
        <v>-3046.79</v>
      </c>
      <c r="M49" s="304">
        <v>0</v>
      </c>
      <c r="N49" s="304">
        <v>-3046.79</v>
      </c>
      <c r="O49" s="304">
        <v>0</v>
      </c>
      <c r="P49" s="304">
        <v>0</v>
      </c>
      <c r="Q49" s="304">
        <v>0</v>
      </c>
      <c r="R49" s="303" t="str">
        <f t="shared" si="0"/>
        <v>F0405</v>
      </c>
    </row>
    <row r="50" spans="1:18" x14ac:dyDescent="0.25">
      <c r="A50" s="303" t="s">
        <v>466</v>
      </c>
      <c r="B50" s="303" t="s">
        <v>1834</v>
      </c>
      <c r="C50" s="303" t="s">
        <v>1609</v>
      </c>
      <c r="D50" s="303" t="s">
        <v>1609</v>
      </c>
      <c r="E50" s="303" t="s">
        <v>1609</v>
      </c>
      <c r="F50" s="303" t="s">
        <v>1833</v>
      </c>
      <c r="G50" s="303" t="s">
        <v>1609</v>
      </c>
      <c r="H50" s="304">
        <v>52551</v>
      </c>
      <c r="I50" s="331">
        <v>-54050.49</v>
      </c>
      <c r="J50" s="304">
        <v>1500</v>
      </c>
      <c r="K50" s="304">
        <v>-52550.49</v>
      </c>
      <c r="L50" s="304">
        <v>0.51</v>
      </c>
      <c r="M50" s="304">
        <v>0</v>
      </c>
      <c r="N50" s="304">
        <v>0.51</v>
      </c>
      <c r="O50" s="304">
        <v>0</v>
      </c>
      <c r="P50" s="304">
        <v>0</v>
      </c>
      <c r="Q50" s="304">
        <v>0</v>
      </c>
      <c r="R50" s="303" t="str">
        <f t="shared" si="0"/>
        <v>F0406</v>
      </c>
    </row>
    <row r="51" spans="1:18" x14ac:dyDescent="0.25">
      <c r="A51" s="303" t="s">
        <v>466</v>
      </c>
      <c r="B51" s="303" t="s">
        <v>1832</v>
      </c>
      <c r="C51" s="303" t="s">
        <v>1609</v>
      </c>
      <c r="D51" s="303" t="s">
        <v>1609</v>
      </c>
      <c r="E51" s="303" t="s">
        <v>1609</v>
      </c>
      <c r="F51" s="303" t="s">
        <v>1831</v>
      </c>
      <c r="G51" s="303" t="s">
        <v>1609</v>
      </c>
      <c r="H51" s="304">
        <v>52297</v>
      </c>
      <c r="I51" s="331">
        <v>-53482.92</v>
      </c>
      <c r="J51" s="304">
        <v>500</v>
      </c>
      <c r="K51" s="304">
        <v>-52982.92</v>
      </c>
      <c r="L51" s="304">
        <v>-685.92</v>
      </c>
      <c r="M51" s="304">
        <v>0</v>
      </c>
      <c r="N51" s="304">
        <v>-685.92</v>
      </c>
      <c r="O51" s="304">
        <v>0</v>
      </c>
      <c r="P51" s="304">
        <v>0</v>
      </c>
      <c r="Q51" s="304">
        <v>0</v>
      </c>
      <c r="R51" s="303" t="str">
        <f t="shared" si="0"/>
        <v>F0407</v>
      </c>
    </row>
    <row r="52" spans="1:18" x14ac:dyDescent="0.25">
      <c r="A52" s="303" t="s">
        <v>466</v>
      </c>
      <c r="B52" s="303" t="s">
        <v>1830</v>
      </c>
      <c r="C52" s="303" t="s">
        <v>1609</v>
      </c>
      <c r="D52" s="303" t="s">
        <v>1609</v>
      </c>
      <c r="E52" s="303" t="s">
        <v>1609</v>
      </c>
      <c r="F52" s="303" t="s">
        <v>1829</v>
      </c>
      <c r="G52" s="303" t="s">
        <v>1609</v>
      </c>
      <c r="H52" s="304">
        <v>0</v>
      </c>
      <c r="I52" s="331">
        <v>0</v>
      </c>
      <c r="J52" s="304">
        <v>0</v>
      </c>
      <c r="K52" s="304">
        <v>0</v>
      </c>
      <c r="L52" s="304">
        <v>0</v>
      </c>
      <c r="M52" s="304">
        <v>0</v>
      </c>
      <c r="N52" s="304">
        <v>0</v>
      </c>
      <c r="O52" s="304">
        <v>0</v>
      </c>
      <c r="P52" s="304">
        <v>0</v>
      </c>
      <c r="Q52" s="304">
        <v>0</v>
      </c>
      <c r="R52" s="303" t="str">
        <f t="shared" si="0"/>
        <v>F0408</v>
      </c>
    </row>
    <row r="53" spans="1:18" x14ac:dyDescent="0.25">
      <c r="A53" s="303" t="s">
        <v>466</v>
      </c>
      <c r="B53" s="303" t="s">
        <v>1828</v>
      </c>
      <c r="C53" s="303" t="s">
        <v>1609</v>
      </c>
      <c r="D53" s="303" t="s">
        <v>1609</v>
      </c>
      <c r="E53" s="303" t="s">
        <v>1609</v>
      </c>
      <c r="F53" s="303" t="s">
        <v>1827</v>
      </c>
      <c r="G53" s="303" t="s">
        <v>1609</v>
      </c>
      <c r="H53" s="304">
        <v>54007</v>
      </c>
      <c r="I53" s="331">
        <v>-53955.27</v>
      </c>
      <c r="J53" s="304">
        <v>543.65</v>
      </c>
      <c r="K53" s="304">
        <v>-53411.62</v>
      </c>
      <c r="L53" s="304">
        <v>595.38</v>
      </c>
      <c r="M53" s="304">
        <v>0</v>
      </c>
      <c r="N53" s="304">
        <v>595.38</v>
      </c>
      <c r="O53" s="304">
        <v>0</v>
      </c>
      <c r="P53" s="304">
        <v>0</v>
      </c>
      <c r="Q53" s="304">
        <v>0</v>
      </c>
      <c r="R53" s="303" t="str">
        <f t="shared" si="0"/>
        <v>F0413</v>
      </c>
    </row>
    <row r="54" spans="1:18" x14ac:dyDescent="0.25">
      <c r="A54" s="303" t="s">
        <v>466</v>
      </c>
      <c r="B54" s="303" t="s">
        <v>1826</v>
      </c>
      <c r="C54" s="303" t="s">
        <v>1609</v>
      </c>
      <c r="D54" s="303" t="s">
        <v>1609</v>
      </c>
      <c r="E54" s="303" t="s">
        <v>1609</v>
      </c>
      <c r="F54" s="303" t="s">
        <v>1825</v>
      </c>
      <c r="G54" s="303" t="s">
        <v>1609</v>
      </c>
      <c r="H54" s="304">
        <v>97165</v>
      </c>
      <c r="I54" s="331">
        <v>-100987.24</v>
      </c>
      <c r="J54" s="304">
        <v>3476.04</v>
      </c>
      <c r="K54" s="304">
        <v>-97511.2</v>
      </c>
      <c r="L54" s="304">
        <v>-346.2</v>
      </c>
      <c r="M54" s="304">
        <v>0</v>
      </c>
      <c r="N54" s="304">
        <v>-346.2</v>
      </c>
      <c r="O54" s="304">
        <v>0</v>
      </c>
      <c r="P54" s="304">
        <v>0</v>
      </c>
      <c r="Q54" s="304">
        <v>0</v>
      </c>
      <c r="R54" s="303" t="str">
        <f t="shared" si="0"/>
        <v>F0414</v>
      </c>
    </row>
    <row r="55" spans="1:18" x14ac:dyDescent="0.25">
      <c r="A55" s="303" t="s">
        <v>466</v>
      </c>
      <c r="B55" s="303" t="s">
        <v>1824</v>
      </c>
      <c r="C55" s="303" t="s">
        <v>1609</v>
      </c>
      <c r="D55" s="303" t="s">
        <v>1609</v>
      </c>
      <c r="E55" s="303" t="s">
        <v>1609</v>
      </c>
      <c r="F55" s="303" t="s">
        <v>1823</v>
      </c>
      <c r="G55" s="303" t="s">
        <v>1609</v>
      </c>
      <c r="H55" s="304">
        <v>125358</v>
      </c>
      <c r="I55" s="331">
        <v>-131562.54</v>
      </c>
      <c r="J55" s="304">
        <v>507.66</v>
      </c>
      <c r="K55" s="304">
        <v>-131054.88</v>
      </c>
      <c r="L55" s="304">
        <v>-5696.88</v>
      </c>
      <c r="M55" s="304">
        <v>0</v>
      </c>
      <c r="N55" s="304">
        <v>-5696.88</v>
      </c>
      <c r="O55" s="304">
        <v>0</v>
      </c>
      <c r="P55" s="304">
        <v>0</v>
      </c>
      <c r="Q55" s="304">
        <v>0</v>
      </c>
      <c r="R55" s="303" t="str">
        <f t="shared" si="0"/>
        <v>F0418</v>
      </c>
    </row>
    <row r="56" spans="1:18" x14ac:dyDescent="0.25">
      <c r="A56" s="303" t="s">
        <v>466</v>
      </c>
      <c r="B56" s="303" t="s">
        <v>1822</v>
      </c>
      <c r="C56" s="303" t="s">
        <v>1609</v>
      </c>
      <c r="D56" s="303" t="s">
        <v>1609</v>
      </c>
      <c r="E56" s="303" t="s">
        <v>1609</v>
      </c>
      <c r="F56" s="303" t="s">
        <v>1816</v>
      </c>
      <c r="G56" s="303" t="s">
        <v>1609</v>
      </c>
      <c r="H56" s="304">
        <v>1800</v>
      </c>
      <c r="I56" s="331">
        <v>-13550.17</v>
      </c>
      <c r="J56" s="304">
        <v>20607.34</v>
      </c>
      <c r="K56" s="304">
        <v>7057.17</v>
      </c>
      <c r="L56" s="304">
        <v>8857.17</v>
      </c>
      <c r="M56" s="304">
        <v>0</v>
      </c>
      <c r="N56" s="304">
        <v>8857.17</v>
      </c>
      <c r="O56" s="304">
        <v>0</v>
      </c>
      <c r="P56" s="304">
        <v>0</v>
      </c>
      <c r="Q56" s="304">
        <v>0</v>
      </c>
      <c r="R56" s="303" t="str">
        <f t="shared" si="0"/>
        <v>F0418</v>
      </c>
    </row>
    <row r="57" spans="1:18" x14ac:dyDescent="0.25">
      <c r="A57" s="303" t="s">
        <v>466</v>
      </c>
      <c r="B57" s="303" t="s">
        <v>1821</v>
      </c>
      <c r="C57" s="303" t="s">
        <v>1609</v>
      </c>
      <c r="D57" s="303" t="s">
        <v>1609</v>
      </c>
      <c r="E57" s="303" t="s">
        <v>1609</v>
      </c>
      <c r="F57" s="303" t="s">
        <v>1820</v>
      </c>
      <c r="G57" s="303" t="s">
        <v>1609</v>
      </c>
      <c r="H57" s="304">
        <v>14250</v>
      </c>
      <c r="I57" s="331">
        <v>-13249.56</v>
      </c>
      <c r="J57" s="304">
        <v>0</v>
      </c>
      <c r="K57" s="304">
        <v>-13249.56</v>
      </c>
      <c r="L57" s="304">
        <v>1000.44</v>
      </c>
      <c r="M57" s="304">
        <v>0</v>
      </c>
      <c r="N57" s="304">
        <v>1000.44</v>
      </c>
      <c r="O57" s="304">
        <v>0</v>
      </c>
      <c r="P57" s="304">
        <v>0</v>
      </c>
      <c r="Q57" s="304">
        <v>0</v>
      </c>
      <c r="R57" s="303" t="str">
        <f t="shared" si="0"/>
        <v>F0421</v>
      </c>
    </row>
    <row r="58" spans="1:18" x14ac:dyDescent="0.25">
      <c r="A58" s="303" t="s">
        <v>466</v>
      </c>
      <c r="B58" s="303" t="s">
        <v>1819</v>
      </c>
      <c r="C58" s="303" t="s">
        <v>1609</v>
      </c>
      <c r="D58" s="303" t="s">
        <v>1609</v>
      </c>
      <c r="E58" s="303" t="s">
        <v>1609</v>
      </c>
      <c r="F58" s="303" t="s">
        <v>1818</v>
      </c>
      <c r="G58" s="303" t="s">
        <v>1609</v>
      </c>
      <c r="H58" s="304">
        <v>117802</v>
      </c>
      <c r="I58" s="331">
        <v>-38335.03</v>
      </c>
      <c r="J58" s="304">
        <v>-52893.25</v>
      </c>
      <c r="K58" s="304">
        <v>-91228.28</v>
      </c>
      <c r="L58" s="304">
        <v>26573.72</v>
      </c>
      <c r="M58" s="304">
        <v>0</v>
      </c>
      <c r="N58" s="304">
        <v>26573.72</v>
      </c>
      <c r="O58" s="304">
        <v>0</v>
      </c>
      <c r="P58" s="304">
        <v>0</v>
      </c>
      <c r="Q58" s="304">
        <v>0</v>
      </c>
      <c r="R58" s="303" t="str">
        <f t="shared" si="0"/>
        <v>F0423</v>
      </c>
    </row>
    <row r="59" spans="1:18" x14ac:dyDescent="0.25">
      <c r="A59" s="303" t="s">
        <v>466</v>
      </c>
      <c r="B59" s="303" t="s">
        <v>1817</v>
      </c>
      <c r="C59" s="303" t="s">
        <v>1609</v>
      </c>
      <c r="D59" s="303" t="s">
        <v>1609</v>
      </c>
      <c r="E59" s="303" t="s">
        <v>1609</v>
      </c>
      <c r="F59" s="303" t="s">
        <v>1816</v>
      </c>
      <c r="G59" s="303" t="s">
        <v>1609</v>
      </c>
      <c r="H59" s="304">
        <v>0</v>
      </c>
      <c r="I59" s="331">
        <v>-5228.57</v>
      </c>
      <c r="J59" s="304">
        <v>1590.9</v>
      </c>
      <c r="K59" s="304">
        <v>-3637.67</v>
      </c>
      <c r="L59" s="304">
        <v>-3637.67</v>
      </c>
      <c r="M59" s="304">
        <v>0</v>
      </c>
      <c r="N59" s="304">
        <v>-3637.67</v>
      </c>
      <c r="O59" s="304">
        <v>0</v>
      </c>
      <c r="P59" s="304">
        <v>0</v>
      </c>
      <c r="Q59" s="304">
        <v>0</v>
      </c>
      <c r="R59" s="303" t="str">
        <f t="shared" si="0"/>
        <v>F0423</v>
      </c>
    </row>
    <row r="60" spans="1:18" x14ac:dyDescent="0.25">
      <c r="A60" s="303" t="s">
        <v>466</v>
      </c>
      <c r="B60" s="303" t="s">
        <v>1815</v>
      </c>
      <c r="C60" s="303" t="s">
        <v>1609</v>
      </c>
      <c r="D60" s="303" t="s">
        <v>1609</v>
      </c>
      <c r="E60" s="303" t="s">
        <v>1609</v>
      </c>
      <c r="F60" s="303" t="s">
        <v>1814</v>
      </c>
      <c r="G60" s="303" t="s">
        <v>1609</v>
      </c>
      <c r="H60" s="304">
        <v>19500</v>
      </c>
      <c r="I60" s="331">
        <v>-19753.66</v>
      </c>
      <c r="J60" s="304">
        <v>443.8</v>
      </c>
      <c r="K60" s="304">
        <v>-19309.86</v>
      </c>
      <c r="L60" s="304">
        <v>190.14</v>
      </c>
      <c r="M60" s="304">
        <v>0</v>
      </c>
      <c r="N60" s="304">
        <v>190.14</v>
      </c>
      <c r="O60" s="304">
        <v>0</v>
      </c>
      <c r="P60" s="304">
        <v>0</v>
      </c>
      <c r="Q60" s="304">
        <v>0</v>
      </c>
      <c r="R60" s="303" t="str">
        <f t="shared" si="0"/>
        <v>F0423</v>
      </c>
    </row>
    <row r="61" spans="1:18" x14ac:dyDescent="0.25">
      <c r="A61" s="303" t="s">
        <v>466</v>
      </c>
      <c r="B61" s="303" t="s">
        <v>1813</v>
      </c>
      <c r="C61" s="303" t="s">
        <v>1609</v>
      </c>
      <c r="D61" s="303" t="s">
        <v>1609</v>
      </c>
      <c r="E61" s="303" t="s">
        <v>1609</v>
      </c>
      <c r="F61" s="303" t="s">
        <v>1812</v>
      </c>
      <c r="G61" s="303" t="s">
        <v>1609</v>
      </c>
      <c r="H61" s="304">
        <v>258560</v>
      </c>
      <c r="I61" s="331">
        <v>-275311.89</v>
      </c>
      <c r="J61" s="304">
        <v>1275.2</v>
      </c>
      <c r="K61" s="304">
        <v>-274036.69</v>
      </c>
      <c r="L61" s="304">
        <v>-15476.69</v>
      </c>
      <c r="M61" s="304">
        <v>0</v>
      </c>
      <c r="N61" s="304">
        <v>-15476.69</v>
      </c>
      <c r="O61" s="304">
        <v>0</v>
      </c>
      <c r="P61" s="304">
        <v>0</v>
      </c>
      <c r="Q61" s="304">
        <v>0</v>
      </c>
      <c r="R61" s="303" t="str">
        <f t="shared" si="0"/>
        <v>F0425</v>
      </c>
    </row>
    <row r="62" spans="1:18" x14ac:dyDescent="0.25">
      <c r="A62" s="303" t="s">
        <v>466</v>
      </c>
      <c r="B62" s="303" t="s">
        <v>1811</v>
      </c>
      <c r="C62" s="303" t="s">
        <v>1609</v>
      </c>
      <c r="D62" s="303" t="s">
        <v>1609</v>
      </c>
      <c r="E62" s="303" t="s">
        <v>1609</v>
      </c>
      <c r="F62" s="303" t="s">
        <v>1810</v>
      </c>
      <c r="G62" s="303" t="s">
        <v>1609</v>
      </c>
      <c r="H62" s="304">
        <v>33030</v>
      </c>
      <c r="I62" s="331">
        <v>-49596.86</v>
      </c>
      <c r="J62" s="304">
        <v>3003.25</v>
      </c>
      <c r="K62" s="304">
        <v>-46593.61</v>
      </c>
      <c r="L62" s="304">
        <v>-13563.61</v>
      </c>
      <c r="M62" s="304">
        <v>-278.52</v>
      </c>
      <c r="N62" s="304">
        <v>-13842.13</v>
      </c>
      <c r="O62" s="304">
        <v>0</v>
      </c>
      <c r="P62" s="304">
        <v>0</v>
      </c>
      <c r="Q62" s="304">
        <v>0</v>
      </c>
      <c r="R62" s="303" t="str">
        <f t="shared" si="0"/>
        <v>F0426</v>
      </c>
    </row>
    <row r="63" spans="1:18" x14ac:dyDescent="0.25">
      <c r="A63" s="303" t="s">
        <v>466</v>
      </c>
      <c r="B63" s="303" t="s">
        <v>1809</v>
      </c>
      <c r="C63" s="303" t="s">
        <v>1609</v>
      </c>
      <c r="D63" s="303" t="s">
        <v>1609</v>
      </c>
      <c r="E63" s="303" t="s">
        <v>1609</v>
      </c>
      <c r="F63" s="303" t="s">
        <v>1808</v>
      </c>
      <c r="G63" s="303" t="s">
        <v>1609</v>
      </c>
      <c r="H63" s="304">
        <v>229892</v>
      </c>
      <c r="I63" s="331">
        <v>-309480.96000000002</v>
      </c>
      <c r="J63" s="304">
        <v>81622.899999999994</v>
      </c>
      <c r="K63" s="304">
        <v>-227858.06</v>
      </c>
      <c r="L63" s="304">
        <v>2033.94</v>
      </c>
      <c r="M63" s="304">
        <v>0</v>
      </c>
      <c r="N63" s="304">
        <v>2033.94</v>
      </c>
      <c r="O63" s="304">
        <v>0</v>
      </c>
      <c r="P63" s="304">
        <v>0</v>
      </c>
      <c r="Q63" s="304">
        <v>0</v>
      </c>
      <c r="R63" s="303" t="str">
        <f t="shared" si="0"/>
        <v>F0427</v>
      </c>
    </row>
    <row r="64" spans="1:18" x14ac:dyDescent="0.25">
      <c r="A64" s="303" t="s">
        <v>466</v>
      </c>
      <c r="B64" s="303" t="s">
        <v>1807</v>
      </c>
      <c r="C64" s="303" t="s">
        <v>1609</v>
      </c>
      <c r="D64" s="303" t="s">
        <v>1609</v>
      </c>
      <c r="E64" s="303" t="s">
        <v>1609</v>
      </c>
      <c r="F64" s="303" t="s">
        <v>1806</v>
      </c>
      <c r="G64" s="303" t="s">
        <v>1609</v>
      </c>
      <c r="H64" s="304">
        <v>235180</v>
      </c>
      <c r="I64" s="331">
        <v>-223034.39</v>
      </c>
      <c r="J64" s="304">
        <v>-1314.07</v>
      </c>
      <c r="K64" s="304">
        <v>-224348.46</v>
      </c>
      <c r="L64" s="304">
        <v>10831.54</v>
      </c>
      <c r="M64" s="304">
        <v>-803.1</v>
      </c>
      <c r="N64" s="304">
        <v>10028.44</v>
      </c>
      <c r="O64" s="304">
        <v>0</v>
      </c>
      <c r="P64" s="304">
        <v>0</v>
      </c>
      <c r="Q64" s="304">
        <v>0</v>
      </c>
      <c r="R64" s="303" t="str">
        <f t="shared" si="0"/>
        <v>F0428</v>
      </c>
    </row>
    <row r="65" spans="1:18" x14ac:dyDescent="0.25">
      <c r="A65" s="303" t="s">
        <v>466</v>
      </c>
      <c r="B65" s="303" t="s">
        <v>1805</v>
      </c>
      <c r="C65" s="303" t="s">
        <v>1609</v>
      </c>
      <c r="D65" s="303" t="s">
        <v>1609</v>
      </c>
      <c r="E65" s="303" t="s">
        <v>1609</v>
      </c>
      <c r="F65" s="303" t="s">
        <v>1804</v>
      </c>
      <c r="G65" s="303" t="s">
        <v>1609</v>
      </c>
      <c r="H65" s="304">
        <v>29770</v>
      </c>
      <c r="I65" s="331">
        <v>-33399.5</v>
      </c>
      <c r="J65" s="304">
        <v>0</v>
      </c>
      <c r="K65" s="304">
        <v>-33399.5</v>
      </c>
      <c r="L65" s="304">
        <v>-3629.5</v>
      </c>
      <c r="M65" s="304">
        <v>-24.59</v>
      </c>
      <c r="N65" s="304">
        <v>-3654.09</v>
      </c>
      <c r="O65" s="304">
        <v>0</v>
      </c>
      <c r="P65" s="304">
        <v>0</v>
      </c>
      <c r="Q65" s="304">
        <v>0</v>
      </c>
      <c r="R65" s="303" t="str">
        <f t="shared" si="0"/>
        <v>F0429</v>
      </c>
    </row>
    <row r="66" spans="1:18" x14ac:dyDescent="0.25">
      <c r="A66" s="303" t="s">
        <v>466</v>
      </c>
      <c r="B66" s="303" t="s">
        <v>1803</v>
      </c>
      <c r="C66" s="303" t="s">
        <v>1609</v>
      </c>
      <c r="D66" s="303" t="s">
        <v>1609</v>
      </c>
      <c r="E66" s="303" t="s">
        <v>1609</v>
      </c>
      <c r="F66" s="303" t="s">
        <v>1802</v>
      </c>
      <c r="G66" s="303" t="s">
        <v>1609</v>
      </c>
      <c r="H66" s="304">
        <v>84715</v>
      </c>
      <c r="I66" s="331">
        <v>-99439.9</v>
      </c>
      <c r="J66" s="304">
        <v>14593.8</v>
      </c>
      <c r="K66" s="304">
        <v>-84846.1</v>
      </c>
      <c r="L66" s="304">
        <v>-131.1</v>
      </c>
      <c r="M66" s="304">
        <v>0</v>
      </c>
      <c r="N66" s="304">
        <v>-131.1</v>
      </c>
      <c r="O66" s="304">
        <v>0</v>
      </c>
      <c r="P66" s="304">
        <v>0</v>
      </c>
      <c r="Q66" s="304">
        <v>0</v>
      </c>
      <c r="R66" s="303" t="str">
        <f t="shared" si="0"/>
        <v>F0433</v>
      </c>
    </row>
    <row r="67" spans="1:18" x14ac:dyDescent="0.25">
      <c r="A67" s="303" t="s">
        <v>466</v>
      </c>
      <c r="B67" s="303" t="s">
        <v>1801</v>
      </c>
      <c r="C67" s="303" t="s">
        <v>1609</v>
      </c>
      <c r="D67" s="303" t="s">
        <v>1609</v>
      </c>
      <c r="E67" s="303" t="s">
        <v>1609</v>
      </c>
      <c r="F67" s="303" t="s">
        <v>1800</v>
      </c>
      <c r="G67" s="303" t="s">
        <v>1609</v>
      </c>
      <c r="H67" s="304">
        <v>34140</v>
      </c>
      <c r="I67" s="331">
        <v>-51344.26</v>
      </c>
      <c r="J67" s="304">
        <v>0</v>
      </c>
      <c r="K67" s="304">
        <v>-51344.26</v>
      </c>
      <c r="L67" s="304">
        <v>-17204.259999999998</v>
      </c>
      <c r="M67" s="304">
        <v>0</v>
      </c>
      <c r="N67" s="304">
        <v>-17204.259999999998</v>
      </c>
      <c r="O67" s="304">
        <v>0</v>
      </c>
      <c r="P67" s="304">
        <v>0</v>
      </c>
      <c r="Q67" s="304">
        <v>0</v>
      </c>
      <c r="R67" s="303" t="str">
        <f t="shared" ref="R67:R130" si="1">"F" &amp; LEFT(B67,4)</f>
        <v>F0434</v>
      </c>
    </row>
    <row r="68" spans="1:18" x14ac:dyDescent="0.25">
      <c r="A68" s="303" t="s">
        <v>466</v>
      </c>
      <c r="B68" s="303" t="s">
        <v>1799</v>
      </c>
      <c r="C68" s="303" t="s">
        <v>1609</v>
      </c>
      <c r="D68" s="303" t="s">
        <v>1609</v>
      </c>
      <c r="E68" s="303" t="s">
        <v>1609</v>
      </c>
      <c r="F68" s="303" t="s">
        <v>1798</v>
      </c>
      <c r="G68" s="303" t="s">
        <v>1609</v>
      </c>
      <c r="H68" s="304">
        <v>47500</v>
      </c>
      <c r="I68" s="331">
        <v>-91233.22</v>
      </c>
      <c r="J68" s="304">
        <v>6682.95</v>
      </c>
      <c r="K68" s="304">
        <v>-84550.27</v>
      </c>
      <c r="L68" s="304">
        <v>-37050.269999999997</v>
      </c>
      <c r="M68" s="304">
        <v>0</v>
      </c>
      <c r="N68" s="304">
        <v>-37050.269999999997</v>
      </c>
      <c r="O68" s="304">
        <v>0</v>
      </c>
      <c r="P68" s="304">
        <v>0</v>
      </c>
      <c r="Q68" s="304">
        <v>0</v>
      </c>
      <c r="R68" s="303" t="str">
        <f t="shared" si="1"/>
        <v>F0437</v>
      </c>
    </row>
    <row r="69" spans="1:18" x14ac:dyDescent="0.25">
      <c r="A69" s="303" t="s">
        <v>466</v>
      </c>
      <c r="B69" s="303" t="s">
        <v>1797</v>
      </c>
      <c r="C69" s="303" t="s">
        <v>1609</v>
      </c>
      <c r="D69" s="303" t="s">
        <v>1609</v>
      </c>
      <c r="E69" s="303" t="s">
        <v>1609</v>
      </c>
      <c r="F69" s="303" t="s">
        <v>1796</v>
      </c>
      <c r="G69" s="303" t="s">
        <v>1609</v>
      </c>
      <c r="H69" s="304">
        <v>50000</v>
      </c>
      <c r="I69" s="331">
        <v>-59578.13</v>
      </c>
      <c r="J69" s="304">
        <v>2990.6</v>
      </c>
      <c r="K69" s="304">
        <v>-56587.53</v>
      </c>
      <c r="L69" s="304">
        <v>-6587.53</v>
      </c>
      <c r="M69" s="304">
        <v>-21.42</v>
      </c>
      <c r="N69" s="304">
        <v>-6608.95</v>
      </c>
      <c r="O69" s="304">
        <v>0</v>
      </c>
      <c r="P69" s="304">
        <v>0</v>
      </c>
      <c r="Q69" s="304">
        <v>0</v>
      </c>
      <c r="R69" s="303" t="str">
        <f t="shared" si="1"/>
        <v>F0438</v>
      </c>
    </row>
    <row r="70" spans="1:18" x14ac:dyDescent="0.25">
      <c r="A70" s="303" t="s">
        <v>466</v>
      </c>
      <c r="B70" s="303" t="s">
        <v>1795</v>
      </c>
      <c r="C70" s="303" t="s">
        <v>1609</v>
      </c>
      <c r="D70" s="303" t="s">
        <v>1609</v>
      </c>
      <c r="E70" s="303" t="s">
        <v>1609</v>
      </c>
      <c r="F70" s="303" t="s">
        <v>1794</v>
      </c>
      <c r="G70" s="303" t="s">
        <v>1609</v>
      </c>
      <c r="H70" s="304">
        <v>38000</v>
      </c>
      <c r="I70" s="331">
        <v>-45747.73</v>
      </c>
      <c r="J70" s="304">
        <v>7749.2</v>
      </c>
      <c r="K70" s="304">
        <v>-37998.53</v>
      </c>
      <c r="L70" s="304">
        <v>1.47</v>
      </c>
      <c r="M70" s="304">
        <v>0</v>
      </c>
      <c r="N70" s="304">
        <v>1.47</v>
      </c>
      <c r="O70" s="304">
        <v>0</v>
      </c>
      <c r="P70" s="304">
        <v>0</v>
      </c>
      <c r="Q70" s="304">
        <v>0</v>
      </c>
      <c r="R70" s="303" t="str">
        <f t="shared" si="1"/>
        <v>F0439</v>
      </c>
    </row>
    <row r="71" spans="1:18" x14ac:dyDescent="0.25">
      <c r="A71" s="303" t="s">
        <v>466</v>
      </c>
      <c r="B71" s="303" t="s">
        <v>1793</v>
      </c>
      <c r="C71" s="303" t="s">
        <v>1609</v>
      </c>
      <c r="D71" s="303" t="s">
        <v>1609</v>
      </c>
      <c r="E71" s="303" t="s">
        <v>1609</v>
      </c>
      <c r="F71" s="303" t="s">
        <v>1792</v>
      </c>
      <c r="G71" s="303" t="s">
        <v>1609</v>
      </c>
      <c r="H71" s="304">
        <v>304650</v>
      </c>
      <c r="I71" s="331">
        <v>-321590.69</v>
      </c>
      <c r="J71" s="304">
        <v>36734.699999999997</v>
      </c>
      <c r="K71" s="304">
        <v>-284855.99</v>
      </c>
      <c r="L71" s="304">
        <v>19794.009999999998</v>
      </c>
      <c r="M71" s="304">
        <v>0</v>
      </c>
      <c r="N71" s="304">
        <v>19794.009999999998</v>
      </c>
      <c r="O71" s="304">
        <v>0</v>
      </c>
      <c r="P71" s="304">
        <v>0</v>
      </c>
      <c r="Q71" s="304">
        <v>0</v>
      </c>
      <c r="R71" s="303" t="str">
        <f t="shared" si="1"/>
        <v>F0442</v>
      </c>
    </row>
    <row r="72" spans="1:18" x14ac:dyDescent="0.25">
      <c r="A72" s="303" t="s">
        <v>466</v>
      </c>
      <c r="B72" s="303" t="s">
        <v>1791</v>
      </c>
      <c r="C72" s="303" t="s">
        <v>1609</v>
      </c>
      <c r="D72" s="303" t="s">
        <v>1609</v>
      </c>
      <c r="E72" s="303" t="s">
        <v>1609</v>
      </c>
      <c r="F72" s="303" t="s">
        <v>1790</v>
      </c>
      <c r="G72" s="303" t="s">
        <v>1609</v>
      </c>
      <c r="H72" s="304">
        <v>8800</v>
      </c>
      <c r="I72" s="331">
        <v>-10061.450000000001</v>
      </c>
      <c r="J72" s="304">
        <v>1370</v>
      </c>
      <c r="K72" s="304">
        <v>-8691.4500000000007</v>
      </c>
      <c r="L72" s="304">
        <v>108.55</v>
      </c>
      <c r="M72" s="304">
        <v>0</v>
      </c>
      <c r="N72" s="304">
        <v>108.55</v>
      </c>
      <c r="O72" s="304">
        <v>0</v>
      </c>
      <c r="P72" s="304">
        <v>0</v>
      </c>
      <c r="Q72" s="304">
        <v>0</v>
      </c>
      <c r="R72" s="303" t="str">
        <f t="shared" si="1"/>
        <v>F0443</v>
      </c>
    </row>
    <row r="73" spans="1:18" x14ac:dyDescent="0.25">
      <c r="A73" s="303" t="s">
        <v>466</v>
      </c>
      <c r="B73" s="303" t="s">
        <v>1789</v>
      </c>
      <c r="C73" s="303" t="s">
        <v>1609</v>
      </c>
      <c r="D73" s="303" t="s">
        <v>1609</v>
      </c>
      <c r="E73" s="303" t="s">
        <v>1609</v>
      </c>
      <c r="F73" s="303" t="s">
        <v>1788</v>
      </c>
      <c r="G73" s="303" t="s">
        <v>1609</v>
      </c>
      <c r="H73" s="304">
        <v>9400</v>
      </c>
      <c r="I73" s="331">
        <v>-3241.3</v>
      </c>
      <c r="J73" s="304">
        <v>0</v>
      </c>
      <c r="K73" s="304">
        <v>-3241.3</v>
      </c>
      <c r="L73" s="304">
        <v>6158.7</v>
      </c>
      <c r="M73" s="304">
        <v>-219</v>
      </c>
      <c r="N73" s="304">
        <v>5939.7</v>
      </c>
      <c r="O73" s="304">
        <v>0</v>
      </c>
      <c r="P73" s="304">
        <v>0</v>
      </c>
      <c r="Q73" s="304">
        <v>0</v>
      </c>
      <c r="R73" s="303" t="str">
        <f t="shared" si="1"/>
        <v>F0443</v>
      </c>
    </row>
    <row r="74" spans="1:18" x14ac:dyDescent="0.25">
      <c r="A74" s="303" t="s">
        <v>466</v>
      </c>
      <c r="B74" s="303" t="s">
        <v>1787</v>
      </c>
      <c r="C74" s="303" t="s">
        <v>1609</v>
      </c>
      <c r="D74" s="303" t="s">
        <v>1609</v>
      </c>
      <c r="E74" s="303" t="s">
        <v>1609</v>
      </c>
      <c r="F74" s="303" t="s">
        <v>1786</v>
      </c>
      <c r="G74" s="303" t="s">
        <v>1609</v>
      </c>
      <c r="H74" s="304">
        <v>16070</v>
      </c>
      <c r="I74" s="331">
        <v>-50479.65</v>
      </c>
      <c r="J74" s="304">
        <v>34409.65</v>
      </c>
      <c r="K74" s="304">
        <v>-16070</v>
      </c>
      <c r="L74" s="304">
        <v>0</v>
      </c>
      <c r="M74" s="304">
        <v>0</v>
      </c>
      <c r="N74" s="304">
        <v>0</v>
      </c>
      <c r="O74" s="304">
        <v>0</v>
      </c>
      <c r="P74" s="304">
        <v>0</v>
      </c>
      <c r="Q74" s="304">
        <v>0</v>
      </c>
      <c r="R74" s="303" t="str">
        <f t="shared" si="1"/>
        <v>F0446</v>
      </c>
    </row>
    <row r="75" spans="1:18" x14ac:dyDescent="0.25">
      <c r="A75" s="303" t="s">
        <v>466</v>
      </c>
      <c r="B75" s="303" t="s">
        <v>1785</v>
      </c>
      <c r="C75" s="303" t="s">
        <v>1609</v>
      </c>
      <c r="D75" s="303" t="s">
        <v>1609</v>
      </c>
      <c r="E75" s="303" t="s">
        <v>1609</v>
      </c>
      <c r="F75" s="303" t="s">
        <v>1784</v>
      </c>
      <c r="G75" s="303" t="s">
        <v>1609</v>
      </c>
      <c r="H75" s="304">
        <v>18220</v>
      </c>
      <c r="I75" s="331">
        <v>-19492.88</v>
      </c>
      <c r="J75" s="304">
        <v>881</v>
      </c>
      <c r="K75" s="304">
        <v>-18611.88</v>
      </c>
      <c r="L75" s="304">
        <v>-391.88</v>
      </c>
      <c r="M75" s="304">
        <v>0</v>
      </c>
      <c r="N75" s="304">
        <v>-391.88</v>
      </c>
      <c r="O75" s="304">
        <v>0</v>
      </c>
      <c r="P75" s="304">
        <v>0</v>
      </c>
      <c r="Q75" s="304">
        <v>0</v>
      </c>
      <c r="R75" s="303" t="str">
        <f t="shared" si="1"/>
        <v>F0448</v>
      </c>
    </row>
    <row r="76" spans="1:18" x14ac:dyDescent="0.25">
      <c r="A76" s="303" t="s">
        <v>466</v>
      </c>
      <c r="B76" s="303" t="s">
        <v>1783</v>
      </c>
      <c r="C76" s="303" t="s">
        <v>1609</v>
      </c>
      <c r="D76" s="303" t="s">
        <v>1609</v>
      </c>
      <c r="E76" s="303" t="s">
        <v>1609</v>
      </c>
      <c r="F76" s="303" t="s">
        <v>1782</v>
      </c>
      <c r="G76" s="303" t="s">
        <v>1609</v>
      </c>
      <c r="H76" s="304">
        <v>47020</v>
      </c>
      <c r="I76" s="331">
        <v>-56553.68</v>
      </c>
      <c r="J76" s="304">
        <v>3821.2</v>
      </c>
      <c r="K76" s="304">
        <v>-52732.480000000003</v>
      </c>
      <c r="L76" s="304">
        <v>-5712.48</v>
      </c>
      <c r="M76" s="304">
        <v>0</v>
      </c>
      <c r="N76" s="304">
        <v>-5712.48</v>
      </c>
      <c r="O76" s="304">
        <v>0</v>
      </c>
      <c r="P76" s="304">
        <v>0</v>
      </c>
      <c r="Q76" s="304">
        <v>0</v>
      </c>
      <c r="R76" s="303" t="str">
        <f t="shared" si="1"/>
        <v>F0449</v>
      </c>
    </row>
    <row r="77" spans="1:18" x14ac:dyDescent="0.25">
      <c r="A77" s="303" t="s">
        <v>466</v>
      </c>
      <c r="B77" s="303" t="s">
        <v>1781</v>
      </c>
      <c r="C77" s="303" t="s">
        <v>1609</v>
      </c>
      <c r="D77" s="303" t="s">
        <v>1609</v>
      </c>
      <c r="E77" s="303" t="s">
        <v>1609</v>
      </c>
      <c r="F77" s="303" t="s">
        <v>1780</v>
      </c>
      <c r="G77" s="303" t="s">
        <v>1609</v>
      </c>
      <c r="H77" s="304">
        <v>30000</v>
      </c>
      <c r="I77" s="331">
        <v>-31377.25</v>
      </c>
      <c r="J77" s="304">
        <v>536.54999999999995</v>
      </c>
      <c r="K77" s="304">
        <v>-30840.7</v>
      </c>
      <c r="L77" s="304">
        <v>-840.7</v>
      </c>
      <c r="M77" s="304">
        <v>0</v>
      </c>
      <c r="N77" s="304">
        <v>-840.7</v>
      </c>
      <c r="O77" s="304">
        <v>0</v>
      </c>
      <c r="P77" s="304">
        <v>0</v>
      </c>
      <c r="Q77" s="304">
        <v>0</v>
      </c>
      <c r="R77" s="303" t="str">
        <f t="shared" si="1"/>
        <v>F0450</v>
      </c>
    </row>
    <row r="78" spans="1:18" x14ac:dyDescent="0.25">
      <c r="A78" s="303" t="s">
        <v>466</v>
      </c>
      <c r="B78" s="303" t="s">
        <v>1779</v>
      </c>
      <c r="C78" s="303" t="s">
        <v>1609</v>
      </c>
      <c r="D78" s="303" t="s">
        <v>1609</v>
      </c>
      <c r="E78" s="303" t="s">
        <v>1609</v>
      </c>
      <c r="F78" s="303" t="s">
        <v>1778</v>
      </c>
      <c r="G78" s="303" t="s">
        <v>1609</v>
      </c>
      <c r="H78" s="304">
        <v>34260</v>
      </c>
      <c r="I78" s="331">
        <v>-34849.26</v>
      </c>
      <c r="J78" s="304">
        <v>0</v>
      </c>
      <c r="K78" s="304">
        <v>-34849.26</v>
      </c>
      <c r="L78" s="304">
        <v>-589.26</v>
      </c>
      <c r="M78" s="304">
        <v>0</v>
      </c>
      <c r="N78" s="304">
        <v>-589.26</v>
      </c>
      <c r="O78" s="304">
        <v>0</v>
      </c>
      <c r="P78" s="304">
        <v>0</v>
      </c>
      <c r="Q78" s="304">
        <v>0</v>
      </c>
      <c r="R78" s="303" t="str">
        <f t="shared" si="1"/>
        <v>F0457</v>
      </c>
    </row>
    <row r="79" spans="1:18" x14ac:dyDescent="0.25">
      <c r="A79" s="303" t="s">
        <v>466</v>
      </c>
      <c r="B79" s="303" t="s">
        <v>1777</v>
      </c>
      <c r="C79" s="303" t="s">
        <v>1609</v>
      </c>
      <c r="D79" s="303" t="s">
        <v>1609</v>
      </c>
      <c r="E79" s="303" t="s">
        <v>1609</v>
      </c>
      <c r="F79" s="303" t="s">
        <v>1776</v>
      </c>
      <c r="G79" s="303" t="s">
        <v>1609</v>
      </c>
      <c r="H79" s="304">
        <v>149700</v>
      </c>
      <c r="I79" s="331">
        <v>-155076.06</v>
      </c>
      <c r="J79" s="304">
        <v>22107.3</v>
      </c>
      <c r="K79" s="304">
        <v>-132968.76</v>
      </c>
      <c r="L79" s="304">
        <v>16731.240000000002</v>
      </c>
      <c r="M79" s="304">
        <v>0</v>
      </c>
      <c r="N79" s="304">
        <v>16731.240000000002</v>
      </c>
      <c r="O79" s="304">
        <v>0</v>
      </c>
      <c r="P79" s="304">
        <v>0</v>
      </c>
      <c r="Q79" s="304">
        <v>0</v>
      </c>
      <c r="R79" s="303" t="str">
        <f t="shared" si="1"/>
        <v>F0476</v>
      </c>
    </row>
    <row r="80" spans="1:18" x14ac:dyDescent="0.25">
      <c r="A80" s="303" t="s">
        <v>466</v>
      </c>
      <c r="B80" s="303" t="s">
        <v>1775</v>
      </c>
      <c r="C80" s="303" t="s">
        <v>1609</v>
      </c>
      <c r="D80" s="303" t="s">
        <v>1609</v>
      </c>
      <c r="E80" s="303" t="s">
        <v>1609</v>
      </c>
      <c r="F80" s="303" t="s">
        <v>1774</v>
      </c>
      <c r="G80" s="303" t="s">
        <v>1609</v>
      </c>
      <c r="H80" s="304">
        <v>1285</v>
      </c>
      <c r="I80" s="331">
        <v>0</v>
      </c>
      <c r="J80" s="304">
        <v>0</v>
      </c>
      <c r="K80" s="304">
        <v>0</v>
      </c>
      <c r="L80" s="304">
        <v>1285</v>
      </c>
      <c r="M80" s="304">
        <v>0</v>
      </c>
      <c r="N80" s="304">
        <v>1285</v>
      </c>
      <c r="O80" s="304">
        <v>0</v>
      </c>
      <c r="P80" s="304">
        <v>0</v>
      </c>
      <c r="Q80" s="304">
        <v>0</v>
      </c>
      <c r="R80" s="303" t="str">
        <f t="shared" si="1"/>
        <v>F0490</v>
      </c>
    </row>
    <row r="81" spans="1:18" x14ac:dyDescent="0.25">
      <c r="A81" s="303" t="s">
        <v>466</v>
      </c>
      <c r="B81" s="303" t="s">
        <v>1773</v>
      </c>
      <c r="C81" s="303" t="s">
        <v>1609</v>
      </c>
      <c r="D81" s="303" t="s">
        <v>1609</v>
      </c>
      <c r="E81" s="303" t="s">
        <v>1609</v>
      </c>
      <c r="F81" s="303" t="s">
        <v>1772</v>
      </c>
      <c r="G81" s="303" t="s">
        <v>1609</v>
      </c>
      <c r="H81" s="304">
        <v>54100</v>
      </c>
      <c r="I81" s="331">
        <v>0</v>
      </c>
      <c r="J81" s="304">
        <v>0</v>
      </c>
      <c r="K81" s="304">
        <v>0</v>
      </c>
      <c r="L81" s="304">
        <v>54100</v>
      </c>
      <c r="M81" s="304">
        <v>0</v>
      </c>
      <c r="N81" s="304">
        <v>54100</v>
      </c>
      <c r="O81" s="304">
        <v>0</v>
      </c>
      <c r="P81" s="304">
        <v>0</v>
      </c>
      <c r="Q81" s="304">
        <v>0</v>
      </c>
      <c r="R81" s="303" t="str">
        <f t="shared" si="1"/>
        <v>F0491</v>
      </c>
    </row>
    <row r="82" spans="1:18" x14ac:dyDescent="0.25">
      <c r="A82" s="303" t="s">
        <v>466</v>
      </c>
      <c r="B82" s="303" t="s">
        <v>1771</v>
      </c>
      <c r="C82" s="303" t="s">
        <v>1609</v>
      </c>
      <c r="D82" s="303" t="s">
        <v>1609</v>
      </c>
      <c r="E82" s="303" t="s">
        <v>1609</v>
      </c>
      <c r="F82" s="303" t="s">
        <v>1770</v>
      </c>
      <c r="G82" s="303" t="s">
        <v>1609</v>
      </c>
      <c r="H82" s="304">
        <v>0</v>
      </c>
      <c r="I82" s="331">
        <v>-18179.16</v>
      </c>
      <c r="J82" s="304">
        <v>4600.8</v>
      </c>
      <c r="K82" s="304">
        <v>-13578.36</v>
      </c>
      <c r="L82" s="304">
        <v>-13578.36</v>
      </c>
      <c r="M82" s="304">
        <v>0</v>
      </c>
      <c r="N82" s="304">
        <v>-13578.36</v>
      </c>
      <c r="O82" s="304">
        <v>0</v>
      </c>
      <c r="P82" s="304">
        <v>0</v>
      </c>
      <c r="Q82" s="304">
        <v>0</v>
      </c>
      <c r="R82" s="303" t="str">
        <f t="shared" si="1"/>
        <v>F0491</v>
      </c>
    </row>
    <row r="83" spans="1:18" x14ac:dyDescent="0.25">
      <c r="A83" s="303" t="s">
        <v>466</v>
      </c>
      <c r="B83" s="303" t="s">
        <v>1769</v>
      </c>
      <c r="C83" s="303" t="s">
        <v>1609</v>
      </c>
      <c r="D83" s="303" t="s">
        <v>1609</v>
      </c>
      <c r="E83" s="303" t="s">
        <v>1609</v>
      </c>
      <c r="F83" s="303" t="s">
        <v>1768</v>
      </c>
      <c r="G83" s="303" t="s">
        <v>1609</v>
      </c>
      <c r="H83" s="304">
        <v>0</v>
      </c>
      <c r="I83" s="331">
        <v>-42596.23</v>
      </c>
      <c r="J83" s="304">
        <v>12489.1</v>
      </c>
      <c r="K83" s="304">
        <v>-30107.13</v>
      </c>
      <c r="L83" s="304">
        <v>-30107.13</v>
      </c>
      <c r="M83" s="304">
        <v>-5884.12</v>
      </c>
      <c r="N83" s="304">
        <v>-35991.25</v>
      </c>
      <c r="O83" s="304">
        <v>0</v>
      </c>
      <c r="P83" s="304">
        <v>0</v>
      </c>
      <c r="Q83" s="304">
        <v>0</v>
      </c>
      <c r="R83" s="303" t="str">
        <f t="shared" si="1"/>
        <v>F0491</v>
      </c>
    </row>
    <row r="84" spans="1:18" x14ac:dyDescent="0.25">
      <c r="A84" s="303" t="s">
        <v>466</v>
      </c>
      <c r="B84" s="303" t="s">
        <v>1767</v>
      </c>
      <c r="C84" s="303" t="s">
        <v>1609</v>
      </c>
      <c r="D84" s="303" t="s">
        <v>1609</v>
      </c>
      <c r="E84" s="303" t="s">
        <v>1609</v>
      </c>
      <c r="F84" s="303" t="s">
        <v>1766</v>
      </c>
      <c r="G84" s="303" t="s">
        <v>1609</v>
      </c>
      <c r="H84" s="304">
        <v>0</v>
      </c>
      <c r="I84" s="331">
        <v>-48126.02</v>
      </c>
      <c r="J84" s="304">
        <v>22337.5</v>
      </c>
      <c r="K84" s="304">
        <v>-25788.52</v>
      </c>
      <c r="L84" s="304">
        <v>-25788.52</v>
      </c>
      <c r="M84" s="304">
        <v>-22.43</v>
      </c>
      <c r="N84" s="304">
        <v>-25810.95</v>
      </c>
      <c r="O84" s="304">
        <v>0</v>
      </c>
      <c r="P84" s="304">
        <v>0</v>
      </c>
      <c r="Q84" s="304">
        <v>0</v>
      </c>
      <c r="R84" s="303" t="str">
        <f t="shared" si="1"/>
        <v>F0491</v>
      </c>
    </row>
    <row r="85" spans="1:18" x14ac:dyDescent="0.25">
      <c r="A85" s="303" t="s">
        <v>466</v>
      </c>
      <c r="B85" s="303" t="s">
        <v>1765</v>
      </c>
      <c r="C85" s="303" t="s">
        <v>1609</v>
      </c>
      <c r="D85" s="303" t="s">
        <v>1609</v>
      </c>
      <c r="E85" s="303" t="s">
        <v>1609</v>
      </c>
      <c r="F85" s="303" t="s">
        <v>1764</v>
      </c>
      <c r="G85" s="303" t="s">
        <v>1609</v>
      </c>
      <c r="H85" s="304">
        <v>33340</v>
      </c>
      <c r="I85" s="331">
        <v>-33206.839999999997</v>
      </c>
      <c r="J85" s="304">
        <v>17783.599999999999</v>
      </c>
      <c r="K85" s="304">
        <v>-15423.24</v>
      </c>
      <c r="L85" s="304">
        <v>17916.759999999998</v>
      </c>
      <c r="M85" s="304">
        <v>0</v>
      </c>
      <c r="N85" s="304">
        <v>17916.759999999998</v>
      </c>
      <c r="O85" s="304">
        <v>0</v>
      </c>
      <c r="P85" s="304">
        <v>0</v>
      </c>
      <c r="Q85" s="304">
        <v>0</v>
      </c>
      <c r="R85" s="303" t="str">
        <f t="shared" si="1"/>
        <v>F0492</v>
      </c>
    </row>
    <row r="86" spans="1:18" x14ac:dyDescent="0.25">
      <c r="A86" s="303" t="s">
        <v>466</v>
      </c>
      <c r="B86" s="303" t="s">
        <v>1763</v>
      </c>
      <c r="C86" s="303" t="s">
        <v>1609</v>
      </c>
      <c r="D86" s="303" t="s">
        <v>1609</v>
      </c>
      <c r="E86" s="303" t="s">
        <v>1609</v>
      </c>
      <c r="F86" s="303" t="s">
        <v>1762</v>
      </c>
      <c r="G86" s="303" t="s">
        <v>1609</v>
      </c>
      <c r="H86" s="304">
        <v>0</v>
      </c>
      <c r="I86" s="331">
        <v>-26764.799999999999</v>
      </c>
      <c r="J86" s="304">
        <v>5772.8</v>
      </c>
      <c r="K86" s="304">
        <v>-20992</v>
      </c>
      <c r="L86" s="304">
        <v>-20992</v>
      </c>
      <c r="M86" s="304">
        <v>-20.09</v>
      </c>
      <c r="N86" s="304">
        <v>-21012.09</v>
      </c>
      <c r="O86" s="304">
        <v>0</v>
      </c>
      <c r="P86" s="304">
        <v>0</v>
      </c>
      <c r="Q86" s="304">
        <v>0</v>
      </c>
      <c r="R86" s="303" t="str">
        <f t="shared" si="1"/>
        <v>F0492</v>
      </c>
    </row>
    <row r="87" spans="1:18" x14ac:dyDescent="0.25">
      <c r="A87" s="303" t="s">
        <v>466</v>
      </c>
      <c r="B87" s="303" t="s">
        <v>1761</v>
      </c>
      <c r="C87" s="303" t="s">
        <v>1609</v>
      </c>
      <c r="D87" s="303" t="s">
        <v>1609</v>
      </c>
      <c r="E87" s="303" t="s">
        <v>1609</v>
      </c>
      <c r="F87" s="303" t="s">
        <v>1760</v>
      </c>
      <c r="G87" s="303" t="s">
        <v>1609</v>
      </c>
      <c r="H87" s="304">
        <v>0</v>
      </c>
      <c r="I87" s="331">
        <v>-215.4</v>
      </c>
      <c r="J87" s="304">
        <v>0</v>
      </c>
      <c r="K87" s="304">
        <v>-215.4</v>
      </c>
      <c r="L87" s="304">
        <v>-215.4</v>
      </c>
      <c r="M87" s="304">
        <v>0</v>
      </c>
      <c r="N87" s="304">
        <v>-215.4</v>
      </c>
      <c r="O87" s="304">
        <v>0</v>
      </c>
      <c r="P87" s="304">
        <v>0</v>
      </c>
      <c r="Q87" s="304">
        <v>0</v>
      </c>
      <c r="R87" s="303" t="str">
        <f t="shared" si="1"/>
        <v>F0493</v>
      </c>
    </row>
    <row r="88" spans="1:18" x14ac:dyDescent="0.25">
      <c r="A88" s="303" t="s">
        <v>466</v>
      </c>
      <c r="B88" s="303" t="s">
        <v>1759</v>
      </c>
      <c r="C88" s="303" t="s">
        <v>1609</v>
      </c>
      <c r="D88" s="303" t="s">
        <v>1609</v>
      </c>
      <c r="E88" s="303" t="s">
        <v>1609</v>
      </c>
      <c r="F88" s="303" t="s">
        <v>1758</v>
      </c>
      <c r="G88" s="303" t="s">
        <v>1609</v>
      </c>
      <c r="H88" s="304">
        <v>29890</v>
      </c>
      <c r="I88" s="331">
        <v>-30582.34</v>
      </c>
      <c r="J88" s="304">
        <v>1000</v>
      </c>
      <c r="K88" s="304">
        <v>-29582.34</v>
      </c>
      <c r="L88" s="304">
        <v>307.66000000000003</v>
      </c>
      <c r="M88" s="304">
        <v>0</v>
      </c>
      <c r="N88" s="304">
        <v>307.66000000000003</v>
      </c>
      <c r="O88" s="304">
        <v>0</v>
      </c>
      <c r="P88" s="304">
        <v>0</v>
      </c>
      <c r="Q88" s="304">
        <v>0</v>
      </c>
      <c r="R88" s="303" t="str">
        <f t="shared" si="1"/>
        <v>F0806</v>
      </c>
    </row>
    <row r="89" spans="1:18" x14ac:dyDescent="0.25">
      <c r="A89" s="303" t="s">
        <v>466</v>
      </c>
      <c r="B89" s="303" t="s">
        <v>1757</v>
      </c>
      <c r="C89" s="303" t="s">
        <v>1609</v>
      </c>
      <c r="D89" s="303" t="s">
        <v>1609</v>
      </c>
      <c r="E89" s="303" t="s">
        <v>1609</v>
      </c>
      <c r="F89" s="303" t="s">
        <v>1756</v>
      </c>
      <c r="G89" s="303" t="s">
        <v>1609</v>
      </c>
      <c r="H89" s="304">
        <v>40000</v>
      </c>
      <c r="I89" s="331">
        <v>-42570.52</v>
      </c>
      <c r="J89" s="304">
        <v>550</v>
      </c>
      <c r="K89" s="304">
        <v>-42020.52</v>
      </c>
      <c r="L89" s="304">
        <v>-2020.52</v>
      </c>
      <c r="M89" s="304">
        <v>0</v>
      </c>
      <c r="N89" s="304">
        <v>-2020.52</v>
      </c>
      <c r="O89" s="304">
        <v>0</v>
      </c>
      <c r="P89" s="304">
        <v>0</v>
      </c>
      <c r="Q89" s="304">
        <v>0</v>
      </c>
      <c r="R89" s="303" t="str">
        <f t="shared" si="1"/>
        <v>F0807</v>
      </c>
    </row>
    <row r="90" spans="1:18" x14ac:dyDescent="0.25">
      <c r="A90" s="303" t="s">
        <v>466</v>
      </c>
      <c r="B90" s="303" t="s">
        <v>1755</v>
      </c>
      <c r="C90" s="303" t="s">
        <v>1609</v>
      </c>
      <c r="D90" s="303" t="s">
        <v>1609</v>
      </c>
      <c r="E90" s="303" t="s">
        <v>1609</v>
      </c>
      <c r="F90" s="303" t="s">
        <v>1754</v>
      </c>
      <c r="G90" s="303" t="s">
        <v>1609</v>
      </c>
      <c r="H90" s="304">
        <v>182821</v>
      </c>
      <c r="I90" s="331">
        <v>-158857.26</v>
      </c>
      <c r="J90" s="304">
        <v>6286.94</v>
      </c>
      <c r="K90" s="304">
        <v>-152570.32</v>
      </c>
      <c r="L90" s="304">
        <v>30250.68</v>
      </c>
      <c r="M90" s="304">
        <v>0</v>
      </c>
      <c r="N90" s="304">
        <v>30250.68</v>
      </c>
      <c r="O90" s="304">
        <v>0</v>
      </c>
      <c r="P90" s="304">
        <v>0</v>
      </c>
      <c r="Q90" s="304">
        <v>0</v>
      </c>
      <c r="R90" s="303" t="str">
        <f t="shared" si="1"/>
        <v>F0808</v>
      </c>
    </row>
    <row r="91" spans="1:18" x14ac:dyDescent="0.25">
      <c r="A91" s="303" t="s">
        <v>466</v>
      </c>
      <c r="B91" s="303" t="s">
        <v>1753</v>
      </c>
      <c r="C91" s="303" t="s">
        <v>1609</v>
      </c>
      <c r="D91" s="303" t="s">
        <v>1609</v>
      </c>
      <c r="E91" s="303" t="s">
        <v>1609</v>
      </c>
      <c r="F91" s="303" t="s">
        <v>1752</v>
      </c>
      <c r="G91" s="303" t="s">
        <v>1609</v>
      </c>
      <c r="H91" s="304">
        <v>52767</v>
      </c>
      <c r="I91" s="331">
        <v>-60296.79</v>
      </c>
      <c r="J91" s="304">
        <v>7119.55</v>
      </c>
      <c r="K91" s="304">
        <v>-53177.24</v>
      </c>
      <c r="L91" s="304">
        <v>-410.24</v>
      </c>
      <c r="M91" s="304">
        <v>-49.71</v>
      </c>
      <c r="N91" s="304">
        <v>-459.95</v>
      </c>
      <c r="O91" s="304">
        <v>0</v>
      </c>
      <c r="P91" s="304">
        <v>0</v>
      </c>
      <c r="Q91" s="304">
        <v>0</v>
      </c>
      <c r="R91" s="303" t="str">
        <f t="shared" si="1"/>
        <v>F0810</v>
      </c>
    </row>
    <row r="92" spans="1:18" x14ac:dyDescent="0.25">
      <c r="A92" s="303" t="s">
        <v>466</v>
      </c>
      <c r="B92" s="303" t="s">
        <v>1751</v>
      </c>
      <c r="C92" s="303" t="s">
        <v>1609</v>
      </c>
      <c r="D92" s="303" t="s">
        <v>1609</v>
      </c>
      <c r="E92" s="303" t="s">
        <v>1609</v>
      </c>
      <c r="F92" s="303" t="s">
        <v>1750</v>
      </c>
      <c r="G92" s="303" t="s">
        <v>1609</v>
      </c>
      <c r="H92" s="304">
        <v>227</v>
      </c>
      <c r="I92" s="331">
        <v>-431.08</v>
      </c>
      <c r="J92" s="304">
        <v>0</v>
      </c>
      <c r="K92" s="304">
        <v>-431.08</v>
      </c>
      <c r="L92" s="304">
        <v>-204.08</v>
      </c>
      <c r="M92" s="304">
        <v>0</v>
      </c>
      <c r="N92" s="304">
        <v>-204.08</v>
      </c>
      <c r="O92" s="304">
        <v>0</v>
      </c>
      <c r="P92" s="304">
        <v>0</v>
      </c>
      <c r="Q92" s="304">
        <v>0</v>
      </c>
      <c r="R92" s="303" t="str">
        <f t="shared" si="1"/>
        <v>F0810</v>
      </c>
    </row>
    <row r="93" spans="1:18" x14ac:dyDescent="0.25">
      <c r="A93" s="303" t="s">
        <v>466</v>
      </c>
      <c r="B93" s="303" t="s">
        <v>1749</v>
      </c>
      <c r="C93" s="303" t="s">
        <v>1609</v>
      </c>
      <c r="D93" s="303" t="s">
        <v>1609</v>
      </c>
      <c r="E93" s="303" t="s">
        <v>1609</v>
      </c>
      <c r="F93" s="303" t="s">
        <v>1748</v>
      </c>
      <c r="G93" s="303" t="s">
        <v>1609</v>
      </c>
      <c r="H93" s="304">
        <v>30944</v>
      </c>
      <c r="I93" s="331">
        <v>-31268.85</v>
      </c>
      <c r="J93" s="304">
        <v>0</v>
      </c>
      <c r="K93" s="304">
        <v>-31268.85</v>
      </c>
      <c r="L93" s="304">
        <v>-324.85000000000002</v>
      </c>
      <c r="M93" s="304">
        <v>0</v>
      </c>
      <c r="N93" s="304">
        <v>-324.85000000000002</v>
      </c>
      <c r="O93" s="304">
        <v>0</v>
      </c>
      <c r="P93" s="304">
        <v>0</v>
      </c>
      <c r="Q93" s="304">
        <v>0</v>
      </c>
      <c r="R93" s="303" t="str">
        <f t="shared" si="1"/>
        <v>F0810</v>
      </c>
    </row>
    <row r="94" spans="1:18" x14ac:dyDescent="0.25">
      <c r="A94" s="303" t="s">
        <v>466</v>
      </c>
      <c r="B94" s="303" t="s">
        <v>1747</v>
      </c>
      <c r="C94" s="303" t="s">
        <v>1609</v>
      </c>
      <c r="D94" s="303" t="s">
        <v>1609</v>
      </c>
      <c r="E94" s="303" t="s">
        <v>1609</v>
      </c>
      <c r="F94" s="303" t="s">
        <v>1746</v>
      </c>
      <c r="G94" s="303" t="s">
        <v>1609</v>
      </c>
      <c r="H94" s="304">
        <v>23183</v>
      </c>
      <c r="I94" s="331">
        <v>-107586.24000000001</v>
      </c>
      <c r="J94" s="304">
        <v>80401.279999999999</v>
      </c>
      <c r="K94" s="304">
        <v>-27184.959999999999</v>
      </c>
      <c r="L94" s="304">
        <v>-4001.96</v>
      </c>
      <c r="M94" s="304">
        <v>0</v>
      </c>
      <c r="N94" s="304">
        <v>-4001.96</v>
      </c>
      <c r="O94" s="304">
        <v>0</v>
      </c>
      <c r="P94" s="304">
        <v>0</v>
      </c>
      <c r="Q94" s="304">
        <v>0</v>
      </c>
      <c r="R94" s="303" t="str">
        <f t="shared" si="1"/>
        <v>F0813</v>
      </c>
    </row>
    <row r="95" spans="1:18" x14ac:dyDescent="0.25">
      <c r="A95" s="303" t="s">
        <v>466</v>
      </c>
      <c r="B95" s="303" t="s">
        <v>1745</v>
      </c>
      <c r="C95" s="303" t="s">
        <v>1609</v>
      </c>
      <c r="D95" s="303" t="s">
        <v>1609</v>
      </c>
      <c r="E95" s="303" t="s">
        <v>1609</v>
      </c>
      <c r="F95" s="303" t="s">
        <v>1744</v>
      </c>
      <c r="G95" s="303" t="s">
        <v>1609</v>
      </c>
      <c r="H95" s="304">
        <v>147469</v>
      </c>
      <c r="I95" s="331">
        <v>-172887.36</v>
      </c>
      <c r="J95" s="304">
        <v>19754.900000000001</v>
      </c>
      <c r="K95" s="304">
        <v>-153132.46</v>
      </c>
      <c r="L95" s="304">
        <v>-5663.46</v>
      </c>
      <c r="M95" s="304">
        <v>-6802.41</v>
      </c>
      <c r="N95" s="304">
        <v>-12465.87</v>
      </c>
      <c r="O95" s="304">
        <v>0</v>
      </c>
      <c r="P95" s="304">
        <v>0</v>
      </c>
      <c r="Q95" s="304">
        <v>0</v>
      </c>
      <c r="R95" s="303" t="str">
        <f t="shared" si="1"/>
        <v>F0824</v>
      </c>
    </row>
    <row r="96" spans="1:18" x14ac:dyDescent="0.25">
      <c r="A96" s="303" t="s">
        <v>466</v>
      </c>
      <c r="B96" s="303" t="s">
        <v>1743</v>
      </c>
      <c r="C96" s="303" t="s">
        <v>1609</v>
      </c>
      <c r="D96" s="303" t="s">
        <v>1609</v>
      </c>
      <c r="E96" s="303" t="s">
        <v>1609</v>
      </c>
      <c r="F96" s="303" t="s">
        <v>1742</v>
      </c>
      <c r="G96" s="303" t="s">
        <v>1609</v>
      </c>
      <c r="H96" s="304">
        <v>103848</v>
      </c>
      <c r="I96" s="331">
        <v>-96825.3</v>
      </c>
      <c r="J96" s="304">
        <v>107.59</v>
      </c>
      <c r="K96" s="304">
        <v>-96717.71</v>
      </c>
      <c r="L96" s="304">
        <v>7130.29</v>
      </c>
      <c r="M96" s="304">
        <v>-490.32</v>
      </c>
      <c r="N96" s="304">
        <v>6639.97</v>
      </c>
      <c r="O96" s="304">
        <v>0</v>
      </c>
      <c r="P96" s="304">
        <v>0</v>
      </c>
      <c r="Q96" s="304">
        <v>0</v>
      </c>
      <c r="R96" s="303" t="str">
        <f t="shared" si="1"/>
        <v>F0825</v>
      </c>
    </row>
    <row r="97" spans="1:18" x14ac:dyDescent="0.25">
      <c r="A97" s="303" t="s">
        <v>466</v>
      </c>
      <c r="B97" s="303" t="s">
        <v>1741</v>
      </c>
      <c r="C97" s="303" t="s">
        <v>1609</v>
      </c>
      <c r="D97" s="303" t="s">
        <v>1609</v>
      </c>
      <c r="E97" s="303" t="s">
        <v>1609</v>
      </c>
      <c r="F97" s="303" t="s">
        <v>1740</v>
      </c>
      <c r="G97" s="303" t="s">
        <v>1609</v>
      </c>
      <c r="H97" s="304">
        <v>153390</v>
      </c>
      <c r="I97" s="331">
        <v>-76005.94</v>
      </c>
      <c r="J97" s="304">
        <v>35000</v>
      </c>
      <c r="K97" s="304">
        <v>-41005.94</v>
      </c>
      <c r="L97" s="304">
        <v>112384.06</v>
      </c>
      <c r="M97" s="304">
        <v>-167.74</v>
      </c>
      <c r="N97" s="304">
        <v>112216.32000000001</v>
      </c>
      <c r="O97" s="304">
        <v>0</v>
      </c>
      <c r="P97" s="304">
        <v>0</v>
      </c>
      <c r="Q97" s="304">
        <v>0</v>
      </c>
      <c r="R97" s="303" t="str">
        <f t="shared" si="1"/>
        <v>F0826</v>
      </c>
    </row>
    <row r="98" spans="1:18" x14ac:dyDescent="0.25">
      <c r="A98" s="303" t="s">
        <v>466</v>
      </c>
      <c r="B98" s="303" t="s">
        <v>1739</v>
      </c>
      <c r="C98" s="303" t="s">
        <v>1609</v>
      </c>
      <c r="D98" s="303" t="s">
        <v>1609</v>
      </c>
      <c r="E98" s="303" t="s">
        <v>1609</v>
      </c>
      <c r="F98" s="303" t="s">
        <v>1738</v>
      </c>
      <c r="G98" s="303" t="s">
        <v>1609</v>
      </c>
      <c r="H98" s="304">
        <v>87590</v>
      </c>
      <c r="I98" s="331">
        <v>-95206.13</v>
      </c>
      <c r="J98" s="304">
        <v>5772.74</v>
      </c>
      <c r="K98" s="304">
        <v>-89433.39</v>
      </c>
      <c r="L98" s="304">
        <v>-1843.39</v>
      </c>
      <c r="M98" s="304">
        <v>0</v>
      </c>
      <c r="N98" s="304">
        <v>-1843.39</v>
      </c>
      <c r="O98" s="304">
        <v>0</v>
      </c>
      <c r="P98" s="304">
        <v>0</v>
      </c>
      <c r="Q98" s="304">
        <v>0</v>
      </c>
      <c r="R98" s="303" t="str">
        <f t="shared" si="1"/>
        <v>F0828</v>
      </c>
    </row>
    <row r="99" spans="1:18" x14ac:dyDescent="0.25">
      <c r="A99" s="303" t="s">
        <v>466</v>
      </c>
      <c r="B99" s="303" t="s">
        <v>1737</v>
      </c>
      <c r="C99" s="303" t="s">
        <v>1609</v>
      </c>
      <c r="D99" s="303" t="s">
        <v>1609</v>
      </c>
      <c r="E99" s="303" t="s">
        <v>1609</v>
      </c>
      <c r="F99" s="303" t="s">
        <v>1736</v>
      </c>
      <c r="G99" s="303" t="s">
        <v>1609</v>
      </c>
      <c r="H99" s="304">
        <v>10000</v>
      </c>
      <c r="I99" s="331">
        <v>-9983.69</v>
      </c>
      <c r="J99" s="304">
        <v>0</v>
      </c>
      <c r="K99" s="304">
        <v>-9983.69</v>
      </c>
      <c r="L99" s="304">
        <v>16.309999999999999</v>
      </c>
      <c r="M99" s="304">
        <v>0</v>
      </c>
      <c r="N99" s="304">
        <v>16.309999999999999</v>
      </c>
      <c r="O99" s="304">
        <v>0</v>
      </c>
      <c r="P99" s="304">
        <v>0</v>
      </c>
      <c r="Q99" s="304">
        <v>0</v>
      </c>
      <c r="R99" s="303" t="str">
        <f t="shared" si="1"/>
        <v>F0828</v>
      </c>
    </row>
    <row r="100" spans="1:18" x14ac:dyDescent="0.25">
      <c r="A100" s="303" t="s">
        <v>466</v>
      </c>
      <c r="B100" s="303" t="s">
        <v>1735</v>
      </c>
      <c r="C100" s="303" t="s">
        <v>1609</v>
      </c>
      <c r="D100" s="303" t="s">
        <v>1609</v>
      </c>
      <c r="E100" s="303" t="s">
        <v>1609</v>
      </c>
      <c r="F100" s="303" t="s">
        <v>1734</v>
      </c>
      <c r="G100" s="303" t="s">
        <v>1609</v>
      </c>
      <c r="H100" s="304">
        <v>31441</v>
      </c>
      <c r="I100" s="331">
        <v>-30904.25</v>
      </c>
      <c r="J100" s="304">
        <v>0</v>
      </c>
      <c r="K100" s="304">
        <v>-30904.25</v>
      </c>
      <c r="L100" s="304">
        <v>536.75</v>
      </c>
      <c r="M100" s="304">
        <v>0</v>
      </c>
      <c r="N100" s="304">
        <v>536.75</v>
      </c>
      <c r="O100" s="304">
        <v>0</v>
      </c>
      <c r="P100" s="304">
        <v>0</v>
      </c>
      <c r="Q100" s="304">
        <v>0</v>
      </c>
      <c r="R100" s="303" t="str">
        <f t="shared" si="1"/>
        <v>F0829</v>
      </c>
    </row>
    <row r="101" spans="1:18" x14ac:dyDescent="0.25">
      <c r="A101" s="303" t="s">
        <v>466</v>
      </c>
      <c r="B101" s="303" t="s">
        <v>1733</v>
      </c>
      <c r="C101" s="303" t="s">
        <v>1609</v>
      </c>
      <c r="D101" s="303" t="s">
        <v>1609</v>
      </c>
      <c r="E101" s="303" t="s">
        <v>1609</v>
      </c>
      <c r="F101" s="303" t="s">
        <v>1732</v>
      </c>
      <c r="G101" s="303" t="s">
        <v>1609</v>
      </c>
      <c r="H101" s="304">
        <v>224384</v>
      </c>
      <c r="I101" s="331">
        <v>-262693.95</v>
      </c>
      <c r="J101" s="304">
        <v>26372.14</v>
      </c>
      <c r="K101" s="304">
        <v>-236321.81</v>
      </c>
      <c r="L101" s="304">
        <v>-11937.81</v>
      </c>
      <c r="M101" s="304">
        <v>-100.83</v>
      </c>
      <c r="N101" s="304">
        <v>-12038.64</v>
      </c>
      <c r="O101" s="304">
        <v>0</v>
      </c>
      <c r="P101" s="304">
        <v>0</v>
      </c>
      <c r="Q101" s="304">
        <v>0</v>
      </c>
      <c r="R101" s="303" t="str">
        <f t="shared" si="1"/>
        <v>F0830</v>
      </c>
    </row>
    <row r="102" spans="1:18" x14ac:dyDescent="0.25">
      <c r="A102" s="303" t="s">
        <v>466</v>
      </c>
      <c r="B102" s="303" t="s">
        <v>1731</v>
      </c>
      <c r="C102" s="303" t="s">
        <v>1609</v>
      </c>
      <c r="D102" s="303" t="s">
        <v>1609</v>
      </c>
      <c r="E102" s="303" t="s">
        <v>1609</v>
      </c>
      <c r="F102" s="303" t="s">
        <v>1730</v>
      </c>
      <c r="G102" s="303" t="s">
        <v>1609</v>
      </c>
      <c r="H102" s="304">
        <v>63729</v>
      </c>
      <c r="I102" s="331">
        <v>-65358.16</v>
      </c>
      <c r="J102" s="304">
        <v>9807.4</v>
      </c>
      <c r="K102" s="304">
        <v>-55550.76</v>
      </c>
      <c r="L102" s="304">
        <v>8178.24</v>
      </c>
      <c r="M102" s="304">
        <v>0</v>
      </c>
      <c r="N102" s="304">
        <v>8178.24</v>
      </c>
      <c r="O102" s="304">
        <v>0</v>
      </c>
      <c r="P102" s="304">
        <v>0</v>
      </c>
      <c r="Q102" s="304">
        <v>0</v>
      </c>
      <c r="R102" s="303" t="str">
        <f t="shared" si="1"/>
        <v>F0831</v>
      </c>
    </row>
    <row r="103" spans="1:18" x14ac:dyDescent="0.25">
      <c r="A103" s="303" t="s">
        <v>466</v>
      </c>
      <c r="B103" s="303" t="s">
        <v>1729</v>
      </c>
      <c r="C103" s="303" t="s">
        <v>1609</v>
      </c>
      <c r="D103" s="303" t="s">
        <v>1609</v>
      </c>
      <c r="E103" s="303" t="s">
        <v>1609</v>
      </c>
      <c r="F103" s="303" t="s">
        <v>1728</v>
      </c>
      <c r="G103" s="303" t="s">
        <v>1609</v>
      </c>
      <c r="H103" s="304">
        <v>67774</v>
      </c>
      <c r="I103" s="331">
        <v>-156929.32999999999</v>
      </c>
      <c r="J103" s="304">
        <v>98391.18</v>
      </c>
      <c r="K103" s="304">
        <v>-58538.15</v>
      </c>
      <c r="L103" s="304">
        <v>9235.85</v>
      </c>
      <c r="M103" s="304">
        <v>-1502.8</v>
      </c>
      <c r="N103" s="304">
        <v>7733.05</v>
      </c>
      <c r="O103" s="304">
        <v>0</v>
      </c>
      <c r="P103" s="304">
        <v>0</v>
      </c>
      <c r="Q103" s="304">
        <v>0</v>
      </c>
      <c r="R103" s="303" t="str">
        <f t="shared" si="1"/>
        <v>F0832</v>
      </c>
    </row>
    <row r="104" spans="1:18" x14ac:dyDescent="0.25">
      <c r="A104" s="303" t="s">
        <v>466</v>
      </c>
      <c r="B104" s="303" t="s">
        <v>1727</v>
      </c>
      <c r="C104" s="303" t="s">
        <v>1609</v>
      </c>
      <c r="D104" s="303" t="s">
        <v>1609</v>
      </c>
      <c r="E104" s="303" t="s">
        <v>1609</v>
      </c>
      <c r="F104" s="303" t="s">
        <v>1726</v>
      </c>
      <c r="G104" s="303" t="s">
        <v>1609</v>
      </c>
      <c r="H104" s="304">
        <v>88103</v>
      </c>
      <c r="I104" s="331">
        <v>-106011.97</v>
      </c>
      <c r="J104" s="304">
        <v>10841.96</v>
      </c>
      <c r="K104" s="304">
        <v>-95170.01</v>
      </c>
      <c r="L104" s="304">
        <v>-7067.01</v>
      </c>
      <c r="M104" s="304">
        <v>0</v>
      </c>
      <c r="N104" s="304">
        <v>-7067.01</v>
      </c>
      <c r="O104" s="304">
        <v>0</v>
      </c>
      <c r="P104" s="304">
        <v>0</v>
      </c>
      <c r="Q104" s="304">
        <v>0</v>
      </c>
      <c r="R104" s="303" t="str">
        <f t="shared" si="1"/>
        <v>F0833</v>
      </c>
    </row>
    <row r="105" spans="1:18" x14ac:dyDescent="0.25">
      <c r="A105" s="303" t="s">
        <v>466</v>
      </c>
      <c r="B105" s="303" t="s">
        <v>1725</v>
      </c>
      <c r="C105" s="303" t="s">
        <v>1609</v>
      </c>
      <c r="D105" s="303" t="s">
        <v>1609</v>
      </c>
      <c r="E105" s="303" t="s">
        <v>1609</v>
      </c>
      <c r="F105" s="303" t="s">
        <v>1724</v>
      </c>
      <c r="G105" s="303" t="s">
        <v>1609</v>
      </c>
      <c r="H105" s="304">
        <v>108781</v>
      </c>
      <c r="I105" s="331">
        <v>-128946.35</v>
      </c>
      <c r="J105" s="304">
        <v>31975.32</v>
      </c>
      <c r="K105" s="304">
        <v>-96971.03</v>
      </c>
      <c r="L105" s="304">
        <v>11809.97</v>
      </c>
      <c r="M105" s="304">
        <v>-5089.3999999999996</v>
      </c>
      <c r="N105" s="304">
        <v>6720.57</v>
      </c>
      <c r="O105" s="304">
        <v>0</v>
      </c>
      <c r="P105" s="304">
        <v>0</v>
      </c>
      <c r="Q105" s="304">
        <v>0</v>
      </c>
      <c r="R105" s="303" t="str">
        <f t="shared" si="1"/>
        <v>F0837</v>
      </c>
    </row>
    <row r="106" spans="1:18" x14ac:dyDescent="0.25">
      <c r="A106" s="303" t="s">
        <v>466</v>
      </c>
      <c r="B106" s="303" t="s">
        <v>1723</v>
      </c>
      <c r="C106" s="303" t="s">
        <v>1609</v>
      </c>
      <c r="D106" s="303" t="s">
        <v>1609</v>
      </c>
      <c r="E106" s="303" t="s">
        <v>1609</v>
      </c>
      <c r="F106" s="303" t="s">
        <v>1722</v>
      </c>
      <c r="G106" s="303" t="s">
        <v>1609</v>
      </c>
      <c r="H106" s="304">
        <v>82017</v>
      </c>
      <c r="I106" s="331">
        <v>-41618.129999999997</v>
      </c>
      <c r="J106" s="304">
        <v>7930</v>
      </c>
      <c r="K106" s="304">
        <v>-33688.129999999997</v>
      </c>
      <c r="L106" s="304">
        <v>48328.87</v>
      </c>
      <c r="M106" s="304">
        <v>-379.84</v>
      </c>
      <c r="N106" s="304">
        <v>47949.03</v>
      </c>
      <c r="O106" s="304">
        <v>0</v>
      </c>
      <c r="P106" s="304">
        <v>0</v>
      </c>
      <c r="Q106" s="304">
        <v>0</v>
      </c>
      <c r="R106" s="303" t="str">
        <f t="shared" si="1"/>
        <v>F0838</v>
      </c>
    </row>
    <row r="107" spans="1:18" x14ac:dyDescent="0.25">
      <c r="A107" s="303" t="s">
        <v>466</v>
      </c>
      <c r="B107" s="303" t="s">
        <v>1721</v>
      </c>
      <c r="C107" s="303" t="s">
        <v>1609</v>
      </c>
      <c r="D107" s="303" t="s">
        <v>1609</v>
      </c>
      <c r="E107" s="303" t="s">
        <v>1609</v>
      </c>
      <c r="F107" s="303" t="s">
        <v>1720</v>
      </c>
      <c r="G107" s="303" t="s">
        <v>1609</v>
      </c>
      <c r="H107" s="304">
        <v>0</v>
      </c>
      <c r="I107" s="331">
        <v>-5076.29</v>
      </c>
      <c r="J107" s="304">
        <v>0</v>
      </c>
      <c r="K107" s="304">
        <v>-5076.29</v>
      </c>
      <c r="L107" s="304">
        <v>-5076.29</v>
      </c>
      <c r="M107" s="304">
        <v>0</v>
      </c>
      <c r="N107" s="304">
        <v>-5076.29</v>
      </c>
      <c r="O107" s="304">
        <v>0</v>
      </c>
      <c r="P107" s="304">
        <v>0</v>
      </c>
      <c r="Q107" s="304">
        <v>0</v>
      </c>
      <c r="R107" s="303" t="str">
        <f t="shared" si="1"/>
        <v>F0838</v>
      </c>
    </row>
    <row r="108" spans="1:18" x14ac:dyDescent="0.25">
      <c r="A108" s="303" t="s">
        <v>466</v>
      </c>
      <c r="B108" s="303" t="s">
        <v>1719</v>
      </c>
      <c r="C108" s="303" t="s">
        <v>1609</v>
      </c>
      <c r="D108" s="303" t="s">
        <v>1609</v>
      </c>
      <c r="E108" s="303" t="s">
        <v>1609</v>
      </c>
      <c r="F108" s="303" t="s">
        <v>1718</v>
      </c>
      <c r="G108" s="303" t="s">
        <v>1609</v>
      </c>
      <c r="H108" s="304">
        <v>139784</v>
      </c>
      <c r="I108" s="331">
        <v>-148936.84</v>
      </c>
      <c r="J108" s="304">
        <v>8730</v>
      </c>
      <c r="K108" s="304">
        <v>-140206.84</v>
      </c>
      <c r="L108" s="304">
        <v>-422.84</v>
      </c>
      <c r="M108" s="304">
        <v>0</v>
      </c>
      <c r="N108" s="304">
        <v>-422.84</v>
      </c>
      <c r="O108" s="304">
        <v>0</v>
      </c>
      <c r="P108" s="304">
        <v>0</v>
      </c>
      <c r="Q108" s="304">
        <v>0</v>
      </c>
      <c r="R108" s="303" t="str">
        <f t="shared" si="1"/>
        <v>F0839</v>
      </c>
    </row>
    <row r="109" spans="1:18" x14ac:dyDescent="0.25">
      <c r="A109" s="303" t="s">
        <v>466</v>
      </c>
      <c r="B109" s="303" t="s">
        <v>1717</v>
      </c>
      <c r="C109" s="303" t="s">
        <v>1609</v>
      </c>
      <c r="D109" s="303" t="s">
        <v>1609</v>
      </c>
      <c r="E109" s="303" t="s">
        <v>1609</v>
      </c>
      <c r="F109" s="303" t="s">
        <v>1716</v>
      </c>
      <c r="G109" s="303" t="s">
        <v>1609</v>
      </c>
      <c r="H109" s="304">
        <v>38385</v>
      </c>
      <c r="I109" s="331">
        <v>-56960.13</v>
      </c>
      <c r="J109" s="304">
        <v>18307.79</v>
      </c>
      <c r="K109" s="304">
        <v>-38652.339999999997</v>
      </c>
      <c r="L109" s="304">
        <v>-267.33999999999997</v>
      </c>
      <c r="M109" s="304">
        <v>0</v>
      </c>
      <c r="N109" s="304">
        <v>-267.33999999999997</v>
      </c>
      <c r="O109" s="304">
        <v>0</v>
      </c>
      <c r="P109" s="304">
        <v>0</v>
      </c>
      <c r="Q109" s="304">
        <v>0</v>
      </c>
      <c r="R109" s="303" t="str">
        <f t="shared" si="1"/>
        <v>F0841</v>
      </c>
    </row>
    <row r="110" spans="1:18" x14ac:dyDescent="0.25">
      <c r="A110" s="303" t="s">
        <v>466</v>
      </c>
      <c r="B110" s="303" t="s">
        <v>1715</v>
      </c>
      <c r="C110" s="303" t="s">
        <v>1609</v>
      </c>
      <c r="D110" s="303" t="s">
        <v>1609</v>
      </c>
      <c r="E110" s="303" t="s">
        <v>1609</v>
      </c>
      <c r="F110" s="303" t="s">
        <v>1714</v>
      </c>
      <c r="G110" s="303" t="s">
        <v>1609</v>
      </c>
      <c r="H110" s="304">
        <v>0</v>
      </c>
      <c r="I110" s="331">
        <v>0</v>
      </c>
      <c r="J110" s="304">
        <v>0</v>
      </c>
      <c r="K110" s="304">
        <v>0</v>
      </c>
      <c r="L110" s="304">
        <v>0</v>
      </c>
      <c r="M110" s="304">
        <v>0</v>
      </c>
      <c r="N110" s="304">
        <v>0</v>
      </c>
      <c r="O110" s="304">
        <v>0</v>
      </c>
      <c r="P110" s="304">
        <v>0</v>
      </c>
      <c r="Q110" s="304">
        <v>0</v>
      </c>
      <c r="R110" s="303" t="str">
        <f t="shared" si="1"/>
        <v>F0841</v>
      </c>
    </row>
    <row r="111" spans="1:18" x14ac:dyDescent="0.25">
      <c r="A111" s="303" t="s">
        <v>466</v>
      </c>
      <c r="B111" s="303" t="s">
        <v>1713</v>
      </c>
      <c r="C111" s="303" t="s">
        <v>1609</v>
      </c>
      <c r="D111" s="303" t="s">
        <v>1609</v>
      </c>
      <c r="E111" s="303" t="s">
        <v>1609</v>
      </c>
      <c r="F111" s="303" t="s">
        <v>1712</v>
      </c>
      <c r="G111" s="303" t="s">
        <v>1609</v>
      </c>
      <c r="H111" s="304">
        <v>67684</v>
      </c>
      <c r="I111" s="331">
        <v>-99826.53</v>
      </c>
      <c r="J111" s="304">
        <v>24444.9</v>
      </c>
      <c r="K111" s="304">
        <v>-75381.63</v>
      </c>
      <c r="L111" s="304">
        <v>-7697.63</v>
      </c>
      <c r="M111" s="304">
        <v>0</v>
      </c>
      <c r="N111" s="304">
        <v>-7697.63</v>
      </c>
      <c r="O111" s="304">
        <v>0</v>
      </c>
      <c r="P111" s="304">
        <v>0</v>
      </c>
      <c r="Q111" s="304">
        <v>0</v>
      </c>
      <c r="R111" s="303" t="str">
        <f t="shared" si="1"/>
        <v>F0851</v>
      </c>
    </row>
    <row r="112" spans="1:18" x14ac:dyDescent="0.25">
      <c r="A112" s="303" t="s">
        <v>466</v>
      </c>
      <c r="B112" s="303" t="s">
        <v>1711</v>
      </c>
      <c r="C112" s="303" t="s">
        <v>1609</v>
      </c>
      <c r="D112" s="303" t="s">
        <v>1609</v>
      </c>
      <c r="E112" s="303" t="s">
        <v>1609</v>
      </c>
      <c r="F112" s="303" t="s">
        <v>1710</v>
      </c>
      <c r="G112" s="303" t="s">
        <v>1609</v>
      </c>
      <c r="H112" s="304">
        <v>0</v>
      </c>
      <c r="I112" s="331">
        <v>0</v>
      </c>
      <c r="J112" s="304">
        <v>0</v>
      </c>
      <c r="K112" s="304">
        <v>0</v>
      </c>
      <c r="L112" s="304">
        <v>0</v>
      </c>
      <c r="M112" s="304">
        <v>0</v>
      </c>
      <c r="N112" s="304">
        <v>0</v>
      </c>
      <c r="O112" s="304">
        <v>0</v>
      </c>
      <c r="P112" s="304">
        <v>0</v>
      </c>
      <c r="Q112" s="304">
        <v>0</v>
      </c>
      <c r="R112" s="303" t="str">
        <f t="shared" si="1"/>
        <v>F0851</v>
      </c>
    </row>
    <row r="113" spans="1:18" x14ac:dyDescent="0.25">
      <c r="A113" s="303" t="s">
        <v>466</v>
      </c>
      <c r="B113" s="303" t="s">
        <v>1709</v>
      </c>
      <c r="C113" s="303" t="s">
        <v>1609</v>
      </c>
      <c r="D113" s="303" t="s">
        <v>1609</v>
      </c>
      <c r="E113" s="303" t="s">
        <v>1609</v>
      </c>
      <c r="F113" s="303" t="s">
        <v>1708</v>
      </c>
      <c r="G113" s="303" t="s">
        <v>1609</v>
      </c>
      <c r="H113" s="304">
        <v>26793</v>
      </c>
      <c r="I113" s="331">
        <v>-141047.01999999999</v>
      </c>
      <c r="J113" s="304">
        <v>104068.93</v>
      </c>
      <c r="K113" s="304">
        <v>-36978.089999999997</v>
      </c>
      <c r="L113" s="304">
        <v>-10185.09</v>
      </c>
      <c r="M113" s="304">
        <v>-241.89</v>
      </c>
      <c r="N113" s="304">
        <v>-10426.98</v>
      </c>
      <c r="O113" s="304">
        <v>0</v>
      </c>
      <c r="P113" s="304">
        <v>0</v>
      </c>
      <c r="Q113" s="304">
        <v>0</v>
      </c>
      <c r="R113" s="303" t="str">
        <f t="shared" si="1"/>
        <v>F0862</v>
      </c>
    </row>
    <row r="114" spans="1:18" x14ac:dyDescent="0.25">
      <c r="A114" s="303" t="s">
        <v>466</v>
      </c>
      <c r="B114" s="303" t="s">
        <v>1707</v>
      </c>
      <c r="C114" s="303" t="s">
        <v>1609</v>
      </c>
      <c r="D114" s="303" t="s">
        <v>1609</v>
      </c>
      <c r="E114" s="303" t="s">
        <v>1609</v>
      </c>
      <c r="F114" s="303" t="s">
        <v>1706</v>
      </c>
      <c r="G114" s="303" t="s">
        <v>1609</v>
      </c>
      <c r="H114" s="304">
        <v>53150</v>
      </c>
      <c r="I114" s="331">
        <v>-55816.49</v>
      </c>
      <c r="J114" s="304">
        <v>2455.85</v>
      </c>
      <c r="K114" s="304">
        <v>-53360.639999999999</v>
      </c>
      <c r="L114" s="304">
        <v>-210.64</v>
      </c>
      <c r="M114" s="304">
        <v>0</v>
      </c>
      <c r="N114" s="304">
        <v>-210.64</v>
      </c>
      <c r="O114" s="304">
        <v>0</v>
      </c>
      <c r="P114" s="304">
        <v>0</v>
      </c>
      <c r="Q114" s="304">
        <v>0</v>
      </c>
      <c r="R114" s="303" t="str">
        <f t="shared" si="1"/>
        <v>F0864</v>
      </c>
    </row>
    <row r="115" spans="1:18" x14ac:dyDescent="0.25">
      <c r="A115" s="303" t="s">
        <v>466</v>
      </c>
      <c r="B115" s="303" t="s">
        <v>1705</v>
      </c>
      <c r="C115" s="303" t="s">
        <v>1609</v>
      </c>
      <c r="D115" s="303" t="s">
        <v>1609</v>
      </c>
      <c r="E115" s="303" t="s">
        <v>1609</v>
      </c>
      <c r="F115" s="303" t="s">
        <v>1704</v>
      </c>
      <c r="G115" s="303" t="s">
        <v>1609</v>
      </c>
      <c r="H115" s="304">
        <v>0</v>
      </c>
      <c r="I115" s="331">
        <v>0</v>
      </c>
      <c r="J115" s="304">
        <v>0</v>
      </c>
      <c r="K115" s="304">
        <v>0</v>
      </c>
      <c r="L115" s="304">
        <v>0</v>
      </c>
      <c r="M115" s="304">
        <v>0</v>
      </c>
      <c r="N115" s="304">
        <v>0</v>
      </c>
      <c r="O115" s="304">
        <v>0</v>
      </c>
      <c r="P115" s="304">
        <v>0</v>
      </c>
      <c r="Q115" s="304">
        <v>0</v>
      </c>
      <c r="R115" s="303" t="str">
        <f t="shared" si="1"/>
        <v>F0865</v>
      </c>
    </row>
    <row r="116" spans="1:18" x14ac:dyDescent="0.25">
      <c r="A116" s="303" t="s">
        <v>466</v>
      </c>
      <c r="B116" s="303" t="s">
        <v>1703</v>
      </c>
      <c r="C116" s="303" t="s">
        <v>1609</v>
      </c>
      <c r="D116" s="303" t="s">
        <v>1609</v>
      </c>
      <c r="E116" s="303" t="s">
        <v>1609</v>
      </c>
      <c r="F116" s="303" t="s">
        <v>1702</v>
      </c>
      <c r="G116" s="303" t="s">
        <v>1609</v>
      </c>
      <c r="H116" s="304">
        <v>0</v>
      </c>
      <c r="I116" s="331">
        <v>0</v>
      </c>
      <c r="J116" s="304">
        <v>0</v>
      </c>
      <c r="K116" s="304">
        <v>0</v>
      </c>
      <c r="L116" s="304">
        <v>0</v>
      </c>
      <c r="M116" s="304">
        <v>0</v>
      </c>
      <c r="N116" s="304">
        <v>0</v>
      </c>
      <c r="O116" s="304">
        <v>0</v>
      </c>
      <c r="P116" s="304">
        <v>0</v>
      </c>
      <c r="Q116" s="304">
        <v>0</v>
      </c>
      <c r="R116" s="303" t="str">
        <f t="shared" si="1"/>
        <v>F0871</v>
      </c>
    </row>
    <row r="117" spans="1:18" x14ac:dyDescent="0.25">
      <c r="A117" s="303" t="s">
        <v>466</v>
      </c>
      <c r="B117" s="303" t="s">
        <v>1701</v>
      </c>
      <c r="C117" s="303" t="s">
        <v>1609</v>
      </c>
      <c r="D117" s="303" t="s">
        <v>1609</v>
      </c>
      <c r="E117" s="303" t="s">
        <v>1609</v>
      </c>
      <c r="F117" s="303" t="s">
        <v>1700</v>
      </c>
      <c r="G117" s="303" t="s">
        <v>1609</v>
      </c>
      <c r="H117" s="304">
        <v>174032</v>
      </c>
      <c r="I117" s="331">
        <v>-189878.08</v>
      </c>
      <c r="J117" s="304">
        <v>8601.86</v>
      </c>
      <c r="K117" s="304">
        <v>-181276.22</v>
      </c>
      <c r="L117" s="304">
        <v>-7244.22</v>
      </c>
      <c r="M117" s="304">
        <v>-8</v>
      </c>
      <c r="N117" s="304">
        <v>-7252.22</v>
      </c>
      <c r="O117" s="304">
        <v>0</v>
      </c>
      <c r="P117" s="304">
        <v>0</v>
      </c>
      <c r="Q117" s="304">
        <v>0</v>
      </c>
      <c r="R117" s="303" t="str">
        <f t="shared" si="1"/>
        <v>F0880</v>
      </c>
    </row>
    <row r="118" spans="1:18" x14ac:dyDescent="0.25">
      <c r="A118" s="303" t="s">
        <v>466</v>
      </c>
      <c r="B118" s="303" t="s">
        <v>1699</v>
      </c>
      <c r="C118" s="303" t="s">
        <v>1609</v>
      </c>
      <c r="D118" s="303" t="s">
        <v>1609</v>
      </c>
      <c r="E118" s="303" t="s">
        <v>1609</v>
      </c>
      <c r="F118" s="303" t="s">
        <v>1698</v>
      </c>
      <c r="G118" s="303" t="s">
        <v>1609</v>
      </c>
      <c r="H118" s="304">
        <v>30000</v>
      </c>
      <c r="I118" s="331">
        <v>-40836.26</v>
      </c>
      <c r="J118" s="304">
        <v>12000</v>
      </c>
      <c r="K118" s="304">
        <v>-28836.26</v>
      </c>
      <c r="L118" s="304">
        <v>1163.74</v>
      </c>
      <c r="M118" s="304">
        <v>0</v>
      </c>
      <c r="N118" s="304">
        <v>1163.74</v>
      </c>
      <c r="O118" s="304">
        <v>0</v>
      </c>
      <c r="P118" s="304">
        <v>0</v>
      </c>
      <c r="Q118" s="304">
        <v>0</v>
      </c>
      <c r="R118" s="303" t="str">
        <f t="shared" si="1"/>
        <v>F0880</v>
      </c>
    </row>
    <row r="119" spans="1:18" x14ac:dyDescent="0.25">
      <c r="A119" s="303" t="s">
        <v>466</v>
      </c>
      <c r="B119" s="303" t="s">
        <v>1697</v>
      </c>
      <c r="C119" s="303" t="s">
        <v>1609</v>
      </c>
      <c r="D119" s="303" t="s">
        <v>1609</v>
      </c>
      <c r="E119" s="303" t="s">
        <v>1609</v>
      </c>
      <c r="F119" s="303" t="s">
        <v>1696</v>
      </c>
      <c r="G119" s="303" t="s">
        <v>1609</v>
      </c>
      <c r="H119" s="304">
        <v>74291</v>
      </c>
      <c r="I119" s="331">
        <v>-82376.06</v>
      </c>
      <c r="J119" s="304">
        <v>1795.3</v>
      </c>
      <c r="K119" s="304">
        <v>-80580.759999999995</v>
      </c>
      <c r="L119" s="304">
        <v>-6289.76</v>
      </c>
      <c r="M119" s="304">
        <v>0</v>
      </c>
      <c r="N119" s="304">
        <v>-6289.76</v>
      </c>
      <c r="O119" s="304">
        <v>0</v>
      </c>
      <c r="P119" s="304">
        <v>0</v>
      </c>
      <c r="Q119" s="304">
        <v>0</v>
      </c>
      <c r="R119" s="303" t="str">
        <f t="shared" si="1"/>
        <v>F0881</v>
      </c>
    </row>
    <row r="120" spans="1:18" x14ac:dyDescent="0.25">
      <c r="A120" s="303" t="s">
        <v>466</v>
      </c>
      <c r="B120" s="303" t="s">
        <v>1695</v>
      </c>
      <c r="C120" s="303" t="s">
        <v>1609</v>
      </c>
      <c r="D120" s="303" t="s">
        <v>1609</v>
      </c>
      <c r="E120" s="303" t="s">
        <v>1609</v>
      </c>
      <c r="F120" s="303" t="s">
        <v>1694</v>
      </c>
      <c r="G120" s="303" t="s">
        <v>1609</v>
      </c>
      <c r="H120" s="304">
        <v>154340</v>
      </c>
      <c r="I120" s="331">
        <v>-155570.45000000001</v>
      </c>
      <c r="J120" s="304">
        <v>3129.52</v>
      </c>
      <c r="K120" s="304">
        <v>-152440.93</v>
      </c>
      <c r="L120" s="304">
        <v>1899.07</v>
      </c>
      <c r="M120" s="304">
        <v>0</v>
      </c>
      <c r="N120" s="304">
        <v>1899.07</v>
      </c>
      <c r="O120" s="304">
        <v>0</v>
      </c>
      <c r="P120" s="304">
        <v>0</v>
      </c>
      <c r="Q120" s="304">
        <v>0</v>
      </c>
      <c r="R120" s="303" t="str">
        <f t="shared" si="1"/>
        <v>F0886</v>
      </c>
    </row>
    <row r="121" spans="1:18" x14ac:dyDescent="0.25">
      <c r="A121" s="303" t="s">
        <v>466</v>
      </c>
      <c r="B121" s="303" t="s">
        <v>1693</v>
      </c>
      <c r="C121" s="303" t="s">
        <v>1609</v>
      </c>
      <c r="D121" s="303" t="s">
        <v>1609</v>
      </c>
      <c r="E121" s="303" t="s">
        <v>1609</v>
      </c>
      <c r="F121" s="303" t="s">
        <v>1692</v>
      </c>
      <c r="G121" s="303" t="s">
        <v>1609</v>
      </c>
      <c r="H121" s="304">
        <v>84964</v>
      </c>
      <c r="I121" s="331">
        <v>-86059.95</v>
      </c>
      <c r="J121" s="304">
        <v>2647.65</v>
      </c>
      <c r="K121" s="304">
        <v>-83412.3</v>
      </c>
      <c r="L121" s="304">
        <v>1551.7</v>
      </c>
      <c r="M121" s="304">
        <v>0</v>
      </c>
      <c r="N121" s="304">
        <v>1551.7</v>
      </c>
      <c r="O121" s="304">
        <v>0</v>
      </c>
      <c r="P121" s="304">
        <v>0</v>
      </c>
      <c r="Q121" s="304">
        <v>0</v>
      </c>
      <c r="R121" s="303" t="str">
        <f t="shared" si="1"/>
        <v>F0887</v>
      </c>
    </row>
    <row r="122" spans="1:18" x14ac:dyDescent="0.25">
      <c r="A122" s="303" t="s">
        <v>466</v>
      </c>
      <c r="B122" s="303" t="s">
        <v>1691</v>
      </c>
      <c r="C122" s="303" t="s">
        <v>1609</v>
      </c>
      <c r="D122" s="303" t="s">
        <v>1609</v>
      </c>
      <c r="E122" s="303" t="s">
        <v>1609</v>
      </c>
      <c r="F122" s="303" t="s">
        <v>1690</v>
      </c>
      <c r="G122" s="303" t="s">
        <v>1609</v>
      </c>
      <c r="H122" s="304">
        <v>242601</v>
      </c>
      <c r="I122" s="331">
        <v>-237224.66</v>
      </c>
      <c r="J122" s="304">
        <v>9060</v>
      </c>
      <c r="K122" s="304">
        <v>-228164.66</v>
      </c>
      <c r="L122" s="304">
        <v>14436.34</v>
      </c>
      <c r="M122" s="304">
        <v>0</v>
      </c>
      <c r="N122" s="304">
        <v>14436.34</v>
      </c>
      <c r="O122" s="304">
        <v>0</v>
      </c>
      <c r="P122" s="304">
        <v>0</v>
      </c>
      <c r="Q122" s="304">
        <v>0</v>
      </c>
      <c r="R122" s="303" t="str">
        <f t="shared" si="1"/>
        <v>F0888</v>
      </c>
    </row>
    <row r="123" spans="1:18" x14ac:dyDescent="0.25">
      <c r="A123" s="303" t="s">
        <v>466</v>
      </c>
      <c r="B123" s="303" t="s">
        <v>1689</v>
      </c>
      <c r="C123" s="303" t="s">
        <v>1609</v>
      </c>
      <c r="D123" s="303" t="s">
        <v>1609</v>
      </c>
      <c r="E123" s="303" t="s">
        <v>1609</v>
      </c>
      <c r="F123" s="303" t="s">
        <v>1688</v>
      </c>
      <c r="G123" s="303" t="s">
        <v>1609</v>
      </c>
      <c r="H123" s="304">
        <v>6037</v>
      </c>
      <c r="I123" s="331">
        <v>-6036.58</v>
      </c>
      <c r="J123" s="304">
        <v>0</v>
      </c>
      <c r="K123" s="304">
        <v>-6036.58</v>
      </c>
      <c r="L123" s="304">
        <v>0.42</v>
      </c>
      <c r="M123" s="304">
        <v>0</v>
      </c>
      <c r="N123" s="304">
        <v>0.42</v>
      </c>
      <c r="O123" s="304">
        <v>0</v>
      </c>
      <c r="P123" s="304">
        <v>0</v>
      </c>
      <c r="Q123" s="304">
        <v>0</v>
      </c>
      <c r="R123" s="303" t="str">
        <f t="shared" si="1"/>
        <v>F0888</v>
      </c>
    </row>
    <row r="124" spans="1:18" x14ac:dyDescent="0.25">
      <c r="A124" s="303" t="s">
        <v>466</v>
      </c>
      <c r="B124" s="303" t="s">
        <v>1687</v>
      </c>
      <c r="C124" s="303" t="s">
        <v>1609</v>
      </c>
      <c r="D124" s="303" t="s">
        <v>1609</v>
      </c>
      <c r="E124" s="303" t="s">
        <v>1609</v>
      </c>
      <c r="F124" s="303" t="s">
        <v>1686</v>
      </c>
      <c r="G124" s="303" t="s">
        <v>1609</v>
      </c>
      <c r="H124" s="304">
        <v>69410</v>
      </c>
      <c r="I124" s="331">
        <v>-79358.039999999994</v>
      </c>
      <c r="J124" s="304">
        <v>0</v>
      </c>
      <c r="K124" s="304">
        <v>-79358.039999999994</v>
      </c>
      <c r="L124" s="304">
        <v>-9948.0400000000009</v>
      </c>
      <c r="M124" s="304">
        <v>0</v>
      </c>
      <c r="N124" s="304">
        <v>-9948.0400000000009</v>
      </c>
      <c r="O124" s="304">
        <v>0</v>
      </c>
      <c r="P124" s="304">
        <v>0</v>
      </c>
      <c r="Q124" s="304">
        <v>0</v>
      </c>
      <c r="R124" s="303" t="str">
        <f t="shared" si="1"/>
        <v>F0889</v>
      </c>
    </row>
    <row r="125" spans="1:18" x14ac:dyDescent="0.25">
      <c r="A125" s="303" t="s">
        <v>466</v>
      </c>
      <c r="B125" s="303" t="s">
        <v>1685</v>
      </c>
      <c r="C125" s="303" t="s">
        <v>1609</v>
      </c>
      <c r="D125" s="303" t="s">
        <v>1609</v>
      </c>
      <c r="E125" s="303" t="s">
        <v>1609</v>
      </c>
      <c r="F125" s="303" t="s">
        <v>1684</v>
      </c>
      <c r="G125" s="303" t="s">
        <v>1609</v>
      </c>
      <c r="H125" s="304">
        <v>73287</v>
      </c>
      <c r="I125" s="331">
        <v>-143230.92000000001</v>
      </c>
      <c r="J125" s="304">
        <v>85002.46</v>
      </c>
      <c r="K125" s="304">
        <v>-58228.46</v>
      </c>
      <c r="L125" s="304">
        <v>15058.54</v>
      </c>
      <c r="M125" s="304">
        <v>-93.38</v>
      </c>
      <c r="N125" s="304">
        <v>14965.16</v>
      </c>
      <c r="O125" s="304">
        <v>0</v>
      </c>
      <c r="P125" s="304">
        <v>0</v>
      </c>
      <c r="Q125" s="304">
        <v>0</v>
      </c>
      <c r="R125" s="303" t="str">
        <f t="shared" si="1"/>
        <v>F0890</v>
      </c>
    </row>
    <row r="126" spans="1:18" x14ac:dyDescent="0.25">
      <c r="A126" s="303" t="s">
        <v>466</v>
      </c>
      <c r="B126" s="303" t="s">
        <v>1683</v>
      </c>
      <c r="C126" s="303" t="s">
        <v>1609</v>
      </c>
      <c r="D126" s="303" t="s">
        <v>1609</v>
      </c>
      <c r="E126" s="303" t="s">
        <v>1609</v>
      </c>
      <c r="F126" s="303" t="s">
        <v>1682</v>
      </c>
      <c r="G126" s="303" t="s">
        <v>1609</v>
      </c>
      <c r="H126" s="304">
        <v>58780</v>
      </c>
      <c r="I126" s="331">
        <v>-92480.34</v>
      </c>
      <c r="J126" s="304">
        <v>32268.18</v>
      </c>
      <c r="K126" s="304">
        <v>-60212.160000000003</v>
      </c>
      <c r="L126" s="304">
        <v>-1432.16</v>
      </c>
      <c r="M126" s="304">
        <v>-362.95</v>
      </c>
      <c r="N126" s="304">
        <v>-1795.11</v>
      </c>
      <c r="O126" s="304">
        <v>0</v>
      </c>
      <c r="P126" s="304">
        <v>0</v>
      </c>
      <c r="Q126" s="304">
        <v>0</v>
      </c>
      <c r="R126" s="303" t="str">
        <f t="shared" si="1"/>
        <v>F0891</v>
      </c>
    </row>
    <row r="127" spans="1:18" x14ac:dyDescent="0.25">
      <c r="A127" s="303" t="s">
        <v>466</v>
      </c>
      <c r="B127" s="303" t="s">
        <v>1681</v>
      </c>
      <c r="C127" s="303" t="s">
        <v>1609</v>
      </c>
      <c r="D127" s="303" t="s">
        <v>1609</v>
      </c>
      <c r="E127" s="303" t="s">
        <v>1609</v>
      </c>
      <c r="F127" s="303" t="s">
        <v>1680</v>
      </c>
      <c r="G127" s="303" t="s">
        <v>1609</v>
      </c>
      <c r="H127" s="304">
        <v>174809</v>
      </c>
      <c r="I127" s="331">
        <v>-183922.96</v>
      </c>
      <c r="J127" s="304">
        <v>2973.4</v>
      </c>
      <c r="K127" s="304">
        <v>-180949.56</v>
      </c>
      <c r="L127" s="304">
        <v>-6140.56</v>
      </c>
      <c r="M127" s="304">
        <v>0</v>
      </c>
      <c r="N127" s="304">
        <v>-6140.56</v>
      </c>
      <c r="O127" s="304">
        <v>0</v>
      </c>
      <c r="P127" s="304">
        <v>0</v>
      </c>
      <c r="Q127" s="304">
        <v>0</v>
      </c>
      <c r="R127" s="303" t="str">
        <f t="shared" si="1"/>
        <v>F0892</v>
      </c>
    </row>
    <row r="128" spans="1:18" x14ac:dyDescent="0.25">
      <c r="A128" s="303" t="s">
        <v>466</v>
      </c>
      <c r="B128" s="303" t="s">
        <v>1679</v>
      </c>
      <c r="C128" s="303" t="s">
        <v>1609</v>
      </c>
      <c r="D128" s="303" t="s">
        <v>1609</v>
      </c>
      <c r="E128" s="303" t="s">
        <v>1609</v>
      </c>
      <c r="F128" s="303" t="s">
        <v>1678</v>
      </c>
      <c r="G128" s="303" t="s">
        <v>1609</v>
      </c>
      <c r="H128" s="304">
        <v>25322</v>
      </c>
      <c r="I128" s="331">
        <v>-78255.61</v>
      </c>
      <c r="J128" s="304">
        <v>54680.7</v>
      </c>
      <c r="K128" s="304">
        <v>-23574.91</v>
      </c>
      <c r="L128" s="304">
        <v>1747.09</v>
      </c>
      <c r="M128" s="304">
        <v>0</v>
      </c>
      <c r="N128" s="304">
        <v>1747.09</v>
      </c>
      <c r="O128" s="304">
        <v>0</v>
      </c>
      <c r="P128" s="304">
        <v>0</v>
      </c>
      <c r="Q128" s="304">
        <v>0</v>
      </c>
      <c r="R128" s="303" t="str">
        <f t="shared" si="1"/>
        <v>F0893</v>
      </c>
    </row>
    <row r="129" spans="1:18" x14ac:dyDescent="0.25">
      <c r="A129" s="303" t="s">
        <v>466</v>
      </c>
      <c r="B129" s="303" t="s">
        <v>1677</v>
      </c>
      <c r="C129" s="303" t="s">
        <v>1609</v>
      </c>
      <c r="D129" s="303" t="s">
        <v>1609</v>
      </c>
      <c r="E129" s="303" t="s">
        <v>1609</v>
      </c>
      <c r="F129" s="303" t="s">
        <v>1676</v>
      </c>
      <c r="G129" s="303" t="s">
        <v>1609</v>
      </c>
      <c r="H129" s="304">
        <v>0</v>
      </c>
      <c r="I129" s="331">
        <v>-2040.9</v>
      </c>
      <c r="J129" s="304">
        <v>0</v>
      </c>
      <c r="K129" s="304">
        <v>-2040.9</v>
      </c>
      <c r="L129" s="304">
        <v>-2040.9</v>
      </c>
      <c r="M129" s="304">
        <v>0</v>
      </c>
      <c r="N129" s="304">
        <v>-2040.9</v>
      </c>
      <c r="O129" s="304">
        <v>0</v>
      </c>
      <c r="P129" s="304">
        <v>0</v>
      </c>
      <c r="Q129" s="304">
        <v>0</v>
      </c>
      <c r="R129" s="303" t="str">
        <f t="shared" si="1"/>
        <v>F1001</v>
      </c>
    </row>
    <row r="130" spans="1:18" x14ac:dyDescent="0.25">
      <c r="A130" s="303" t="s">
        <v>466</v>
      </c>
      <c r="B130" s="303" t="s">
        <v>1675</v>
      </c>
      <c r="C130" s="303" t="s">
        <v>1609</v>
      </c>
      <c r="D130" s="303" t="s">
        <v>1609</v>
      </c>
      <c r="E130" s="303" t="s">
        <v>1609</v>
      </c>
      <c r="F130" s="303" t="s">
        <v>1674</v>
      </c>
      <c r="G130" s="303" t="s">
        <v>1609</v>
      </c>
      <c r="H130" s="304">
        <v>63225</v>
      </c>
      <c r="I130" s="331">
        <v>-64650.77</v>
      </c>
      <c r="J130" s="304">
        <v>420</v>
      </c>
      <c r="K130" s="304">
        <v>-64230.77</v>
      </c>
      <c r="L130" s="304">
        <v>-1005.77</v>
      </c>
      <c r="M130" s="304">
        <v>-41.53</v>
      </c>
      <c r="N130" s="304">
        <v>-1047.3</v>
      </c>
      <c r="O130" s="304">
        <v>0</v>
      </c>
      <c r="P130" s="304">
        <v>0</v>
      </c>
      <c r="Q130" s="304">
        <v>0</v>
      </c>
      <c r="R130" s="303" t="str">
        <f t="shared" si="1"/>
        <v>F1006</v>
      </c>
    </row>
    <row r="131" spans="1:18" x14ac:dyDescent="0.25">
      <c r="A131" s="303" t="s">
        <v>466</v>
      </c>
      <c r="B131" s="303" t="s">
        <v>1673</v>
      </c>
      <c r="C131" s="303" t="s">
        <v>1609</v>
      </c>
      <c r="D131" s="303" t="s">
        <v>1609</v>
      </c>
      <c r="E131" s="303" t="s">
        <v>1609</v>
      </c>
      <c r="F131" s="303" t="s">
        <v>1672</v>
      </c>
      <c r="G131" s="303" t="s">
        <v>1609</v>
      </c>
      <c r="H131" s="304">
        <v>28389</v>
      </c>
      <c r="I131" s="331">
        <v>-118378.56</v>
      </c>
      <c r="J131" s="304">
        <v>92100</v>
      </c>
      <c r="K131" s="304">
        <v>-26278.560000000001</v>
      </c>
      <c r="L131" s="304">
        <v>2110.44</v>
      </c>
      <c r="M131" s="304">
        <v>-3277.2</v>
      </c>
      <c r="N131" s="304">
        <v>-1166.76</v>
      </c>
      <c r="O131" s="304">
        <v>0</v>
      </c>
      <c r="P131" s="304">
        <v>0</v>
      </c>
      <c r="Q131" s="304">
        <v>0</v>
      </c>
      <c r="R131" s="303" t="str">
        <f t="shared" ref="R131:R162" si="2">"F" &amp; LEFT(B131,4)</f>
        <v>F1017</v>
      </c>
    </row>
    <row r="132" spans="1:18" x14ac:dyDescent="0.25">
      <c r="A132" s="303" t="s">
        <v>466</v>
      </c>
      <c r="B132" s="303" t="s">
        <v>1671</v>
      </c>
      <c r="C132" s="303" t="s">
        <v>1609</v>
      </c>
      <c r="D132" s="303" t="s">
        <v>1609</v>
      </c>
      <c r="E132" s="303" t="s">
        <v>1609</v>
      </c>
      <c r="F132" s="303" t="s">
        <v>1670</v>
      </c>
      <c r="G132" s="303" t="s">
        <v>1609</v>
      </c>
      <c r="H132" s="304">
        <v>35404</v>
      </c>
      <c r="I132" s="331">
        <v>-96228.89</v>
      </c>
      <c r="J132" s="304">
        <v>69904.25</v>
      </c>
      <c r="K132" s="304">
        <v>-26324.639999999999</v>
      </c>
      <c r="L132" s="304">
        <v>9079.36</v>
      </c>
      <c r="M132" s="304">
        <v>0</v>
      </c>
      <c r="N132" s="304">
        <v>9079.36</v>
      </c>
      <c r="O132" s="304">
        <v>0</v>
      </c>
      <c r="P132" s="304">
        <v>0</v>
      </c>
      <c r="Q132" s="304">
        <v>0</v>
      </c>
      <c r="R132" s="303" t="str">
        <f t="shared" si="2"/>
        <v>F1020</v>
      </c>
    </row>
    <row r="133" spans="1:18" x14ac:dyDescent="0.25">
      <c r="A133" s="303" t="s">
        <v>466</v>
      </c>
      <c r="B133" s="303" t="s">
        <v>1669</v>
      </c>
      <c r="C133" s="303" t="s">
        <v>1609</v>
      </c>
      <c r="D133" s="303" t="s">
        <v>1609</v>
      </c>
      <c r="E133" s="303" t="s">
        <v>1609</v>
      </c>
      <c r="F133" s="303" t="s">
        <v>1668</v>
      </c>
      <c r="G133" s="303" t="s">
        <v>1609</v>
      </c>
      <c r="H133" s="304">
        <v>0</v>
      </c>
      <c r="I133" s="331">
        <v>-238</v>
      </c>
      <c r="J133" s="304">
        <v>0</v>
      </c>
      <c r="K133" s="304">
        <v>-238</v>
      </c>
      <c r="L133" s="304">
        <v>-238</v>
      </c>
      <c r="M133" s="304">
        <v>0</v>
      </c>
      <c r="N133" s="304">
        <v>-238</v>
      </c>
      <c r="O133" s="304">
        <v>0</v>
      </c>
      <c r="P133" s="304">
        <v>0</v>
      </c>
      <c r="Q133" s="304">
        <v>0</v>
      </c>
      <c r="R133" s="303" t="str">
        <f t="shared" si="2"/>
        <v>F1020</v>
      </c>
    </row>
    <row r="134" spans="1:18" x14ac:dyDescent="0.25">
      <c r="A134" s="303" t="s">
        <v>466</v>
      </c>
      <c r="B134" s="303" t="s">
        <v>1667</v>
      </c>
      <c r="C134" s="303" t="s">
        <v>1609</v>
      </c>
      <c r="D134" s="303" t="s">
        <v>1609</v>
      </c>
      <c r="E134" s="303" t="s">
        <v>1609</v>
      </c>
      <c r="F134" s="303" t="s">
        <v>1666</v>
      </c>
      <c r="G134" s="303" t="s">
        <v>1609</v>
      </c>
      <c r="H134" s="304">
        <v>0</v>
      </c>
      <c r="I134" s="331">
        <v>-40</v>
      </c>
      <c r="J134" s="304">
        <v>0</v>
      </c>
      <c r="K134" s="304">
        <v>-40</v>
      </c>
      <c r="L134" s="304">
        <v>-40</v>
      </c>
      <c r="M134" s="304">
        <v>0</v>
      </c>
      <c r="N134" s="304">
        <v>-40</v>
      </c>
      <c r="O134" s="304">
        <v>0</v>
      </c>
      <c r="P134" s="304">
        <v>0</v>
      </c>
      <c r="Q134" s="304">
        <v>0</v>
      </c>
      <c r="R134" s="303" t="str">
        <f t="shared" si="2"/>
        <v>F1020</v>
      </c>
    </row>
    <row r="135" spans="1:18" x14ac:dyDescent="0.25">
      <c r="A135" s="303" t="s">
        <v>466</v>
      </c>
      <c r="B135" s="303" t="s">
        <v>1665</v>
      </c>
      <c r="C135" s="303" t="s">
        <v>1609</v>
      </c>
      <c r="D135" s="303" t="s">
        <v>1609</v>
      </c>
      <c r="E135" s="303" t="s">
        <v>1609</v>
      </c>
      <c r="F135" s="303" t="s">
        <v>1664</v>
      </c>
      <c r="G135" s="303" t="s">
        <v>1609</v>
      </c>
      <c r="H135" s="304">
        <v>0</v>
      </c>
      <c r="I135" s="331">
        <v>-79696.399999999994</v>
      </c>
      <c r="J135" s="304">
        <v>0</v>
      </c>
      <c r="K135" s="304">
        <v>-79696.399999999994</v>
      </c>
      <c r="L135" s="304">
        <v>-79696.399999999994</v>
      </c>
      <c r="M135" s="304">
        <v>0</v>
      </c>
      <c r="N135" s="304">
        <v>-79696.399999999994</v>
      </c>
      <c r="O135" s="304">
        <v>0</v>
      </c>
      <c r="P135" s="304">
        <v>0</v>
      </c>
      <c r="Q135" s="304">
        <v>0</v>
      </c>
      <c r="R135" s="303" t="str">
        <f t="shared" si="2"/>
        <v>F1020</v>
      </c>
    </row>
    <row r="136" spans="1:18" x14ac:dyDescent="0.25">
      <c r="A136" s="303" t="s">
        <v>466</v>
      </c>
      <c r="B136" s="303" t="s">
        <v>1663</v>
      </c>
      <c r="C136" s="303" t="s">
        <v>1609</v>
      </c>
      <c r="D136" s="303" t="s">
        <v>1609</v>
      </c>
      <c r="E136" s="303" t="s">
        <v>1609</v>
      </c>
      <c r="F136" s="303" t="s">
        <v>1662</v>
      </c>
      <c r="G136" s="303" t="s">
        <v>1609</v>
      </c>
      <c r="H136" s="304">
        <v>0</v>
      </c>
      <c r="I136" s="331">
        <v>-7684.84</v>
      </c>
      <c r="J136" s="304">
        <v>0</v>
      </c>
      <c r="K136" s="304">
        <v>-7684.84</v>
      </c>
      <c r="L136" s="304">
        <v>-7684.84</v>
      </c>
      <c r="M136" s="304">
        <v>0</v>
      </c>
      <c r="N136" s="304">
        <v>-7684.84</v>
      </c>
      <c r="O136" s="304">
        <v>0</v>
      </c>
      <c r="P136" s="304">
        <v>0</v>
      </c>
      <c r="Q136" s="304">
        <v>0</v>
      </c>
      <c r="R136" s="303" t="str">
        <f t="shared" si="2"/>
        <v>F1020</v>
      </c>
    </row>
    <row r="137" spans="1:18" x14ac:dyDescent="0.25">
      <c r="A137" s="303" t="s">
        <v>466</v>
      </c>
      <c r="B137" s="303" t="s">
        <v>1661</v>
      </c>
      <c r="C137" s="303" t="s">
        <v>1609</v>
      </c>
      <c r="D137" s="303" t="s">
        <v>1609</v>
      </c>
      <c r="E137" s="303" t="s">
        <v>1609</v>
      </c>
      <c r="F137" s="303" t="s">
        <v>1660</v>
      </c>
      <c r="G137" s="303" t="s">
        <v>1609</v>
      </c>
      <c r="H137" s="304">
        <v>0</v>
      </c>
      <c r="I137" s="331">
        <v>-3654.4</v>
      </c>
      <c r="J137" s="304">
        <v>0</v>
      </c>
      <c r="K137" s="304">
        <v>-3654.4</v>
      </c>
      <c r="L137" s="304">
        <v>-3654.4</v>
      </c>
      <c r="M137" s="304">
        <v>-8</v>
      </c>
      <c r="N137" s="304">
        <v>-3662.4</v>
      </c>
      <c r="O137" s="304">
        <v>0</v>
      </c>
      <c r="P137" s="304">
        <v>0</v>
      </c>
      <c r="Q137" s="304">
        <v>0</v>
      </c>
      <c r="R137" s="303" t="str">
        <f t="shared" si="2"/>
        <v>F1020</v>
      </c>
    </row>
    <row r="138" spans="1:18" x14ac:dyDescent="0.25">
      <c r="A138" s="303" t="s">
        <v>466</v>
      </c>
      <c r="B138" s="303" t="s">
        <v>1659</v>
      </c>
      <c r="C138" s="303" t="s">
        <v>1609</v>
      </c>
      <c r="D138" s="303" t="s">
        <v>1609</v>
      </c>
      <c r="E138" s="303" t="s">
        <v>1609</v>
      </c>
      <c r="F138" s="303" t="s">
        <v>1658</v>
      </c>
      <c r="G138" s="303" t="s">
        <v>1609</v>
      </c>
      <c r="H138" s="304">
        <v>0</v>
      </c>
      <c r="I138" s="331">
        <v>0</v>
      </c>
      <c r="J138" s="304">
        <v>0</v>
      </c>
      <c r="K138" s="304">
        <v>0</v>
      </c>
      <c r="L138" s="304">
        <v>0</v>
      </c>
      <c r="M138" s="304">
        <v>0</v>
      </c>
      <c r="N138" s="304">
        <v>0</v>
      </c>
      <c r="O138" s="304">
        <v>0</v>
      </c>
      <c r="P138" s="304">
        <v>0</v>
      </c>
      <c r="Q138" s="304">
        <v>0</v>
      </c>
      <c r="R138" s="303" t="str">
        <f t="shared" si="2"/>
        <v>F1020</v>
      </c>
    </row>
    <row r="139" spans="1:18" x14ac:dyDescent="0.25">
      <c r="A139" s="303" t="s">
        <v>466</v>
      </c>
      <c r="B139" s="303" t="s">
        <v>1657</v>
      </c>
      <c r="C139" s="303" t="s">
        <v>1609</v>
      </c>
      <c r="D139" s="303" t="s">
        <v>1609</v>
      </c>
      <c r="E139" s="303" t="s">
        <v>1609</v>
      </c>
      <c r="F139" s="303" t="s">
        <v>1656</v>
      </c>
      <c r="G139" s="303" t="s">
        <v>1609</v>
      </c>
      <c r="H139" s="304">
        <v>120867</v>
      </c>
      <c r="I139" s="331">
        <v>-132624.06</v>
      </c>
      <c r="J139" s="304">
        <v>27625.57</v>
      </c>
      <c r="K139" s="304">
        <v>-104998.49</v>
      </c>
      <c r="L139" s="304">
        <v>15868.51</v>
      </c>
      <c r="M139" s="304">
        <v>0</v>
      </c>
      <c r="N139" s="304">
        <v>15868.51</v>
      </c>
      <c r="O139" s="304">
        <v>0</v>
      </c>
      <c r="P139" s="304">
        <v>0</v>
      </c>
      <c r="Q139" s="304">
        <v>0</v>
      </c>
      <c r="R139" s="303" t="str">
        <f t="shared" si="2"/>
        <v>F1022</v>
      </c>
    </row>
    <row r="140" spans="1:18" x14ac:dyDescent="0.25">
      <c r="A140" s="303" t="s">
        <v>466</v>
      </c>
      <c r="B140" s="303" t="s">
        <v>1655</v>
      </c>
      <c r="C140" s="303" t="s">
        <v>1609</v>
      </c>
      <c r="D140" s="303" t="s">
        <v>1609</v>
      </c>
      <c r="E140" s="303" t="s">
        <v>1609</v>
      </c>
      <c r="F140" s="303" t="s">
        <v>1654</v>
      </c>
      <c r="G140" s="303" t="s">
        <v>1609</v>
      </c>
      <c r="H140" s="304">
        <v>213664</v>
      </c>
      <c r="I140" s="331">
        <v>-214569.79</v>
      </c>
      <c r="J140" s="304">
        <v>14998.2</v>
      </c>
      <c r="K140" s="304">
        <v>-199571.59</v>
      </c>
      <c r="L140" s="304">
        <v>14092.41</v>
      </c>
      <c r="M140" s="304">
        <v>-162.76</v>
      </c>
      <c r="N140" s="304">
        <v>13929.65</v>
      </c>
      <c r="O140" s="304">
        <v>0</v>
      </c>
      <c r="P140" s="304">
        <v>0</v>
      </c>
      <c r="Q140" s="304">
        <v>0</v>
      </c>
      <c r="R140" s="303" t="str">
        <f t="shared" si="2"/>
        <v>F1024</v>
      </c>
    </row>
    <row r="141" spans="1:18" x14ac:dyDescent="0.25">
      <c r="A141" s="303" t="s">
        <v>466</v>
      </c>
      <c r="B141" s="303" t="s">
        <v>1653</v>
      </c>
      <c r="C141" s="303" t="s">
        <v>1609</v>
      </c>
      <c r="D141" s="303" t="s">
        <v>1609</v>
      </c>
      <c r="E141" s="303" t="s">
        <v>1609</v>
      </c>
      <c r="F141" s="303" t="s">
        <v>1652</v>
      </c>
      <c r="G141" s="303" t="s">
        <v>1609</v>
      </c>
      <c r="H141" s="304">
        <v>83310</v>
      </c>
      <c r="I141" s="331">
        <v>-120693.82</v>
      </c>
      <c r="J141" s="304">
        <v>37803.839999999997</v>
      </c>
      <c r="K141" s="304">
        <v>-82889.98</v>
      </c>
      <c r="L141" s="304">
        <v>420.02</v>
      </c>
      <c r="M141" s="304">
        <v>-210.84</v>
      </c>
      <c r="N141" s="304">
        <v>209.18</v>
      </c>
      <c r="O141" s="304">
        <v>0</v>
      </c>
      <c r="P141" s="304">
        <v>0</v>
      </c>
      <c r="Q141" s="304">
        <v>0</v>
      </c>
      <c r="R141" s="303" t="str">
        <f t="shared" si="2"/>
        <v>F1026</v>
      </c>
    </row>
    <row r="142" spans="1:18" x14ac:dyDescent="0.25">
      <c r="A142" s="303" t="s">
        <v>466</v>
      </c>
      <c r="B142" s="303" t="s">
        <v>1651</v>
      </c>
      <c r="C142" s="303" t="s">
        <v>1609</v>
      </c>
      <c r="D142" s="303" t="s">
        <v>1609</v>
      </c>
      <c r="E142" s="303" t="s">
        <v>1609</v>
      </c>
      <c r="F142" s="303" t="s">
        <v>1650</v>
      </c>
      <c r="G142" s="303" t="s">
        <v>1609</v>
      </c>
      <c r="H142" s="304">
        <v>115327</v>
      </c>
      <c r="I142" s="331">
        <v>-146074.56</v>
      </c>
      <c r="J142" s="304">
        <v>30662.91</v>
      </c>
      <c r="K142" s="304">
        <v>-115411.65</v>
      </c>
      <c r="L142" s="304">
        <v>-84.65</v>
      </c>
      <c r="M142" s="304">
        <v>0</v>
      </c>
      <c r="N142" s="304">
        <v>-84.65</v>
      </c>
      <c r="O142" s="304">
        <v>0</v>
      </c>
      <c r="P142" s="304">
        <v>0</v>
      </c>
      <c r="Q142" s="304">
        <v>0</v>
      </c>
      <c r="R142" s="303" t="str">
        <f t="shared" si="2"/>
        <v>F1032</v>
      </c>
    </row>
    <row r="143" spans="1:18" x14ac:dyDescent="0.25">
      <c r="A143" s="303" t="s">
        <v>466</v>
      </c>
      <c r="B143" s="303" t="s">
        <v>1649</v>
      </c>
      <c r="C143" s="303" t="s">
        <v>1609</v>
      </c>
      <c r="D143" s="303" t="s">
        <v>1609</v>
      </c>
      <c r="E143" s="303" t="s">
        <v>1609</v>
      </c>
      <c r="F143" s="303" t="s">
        <v>1648</v>
      </c>
      <c r="G143" s="303" t="s">
        <v>1609</v>
      </c>
      <c r="H143" s="304">
        <v>66005</v>
      </c>
      <c r="I143" s="331">
        <v>-75388.3</v>
      </c>
      <c r="J143" s="304">
        <v>5891.85</v>
      </c>
      <c r="K143" s="304">
        <v>-69496.45</v>
      </c>
      <c r="L143" s="304">
        <v>-3491.45</v>
      </c>
      <c r="M143" s="304">
        <v>0</v>
      </c>
      <c r="N143" s="304">
        <v>-3491.45</v>
      </c>
      <c r="O143" s="304">
        <v>0</v>
      </c>
      <c r="P143" s="304">
        <v>0</v>
      </c>
      <c r="Q143" s="304">
        <v>0</v>
      </c>
      <c r="R143" s="303" t="str">
        <f t="shared" si="2"/>
        <v>F1034</v>
      </c>
    </row>
    <row r="144" spans="1:18" x14ac:dyDescent="0.25">
      <c r="A144" s="303" t="s">
        <v>466</v>
      </c>
      <c r="B144" s="303" t="s">
        <v>1647</v>
      </c>
      <c r="C144" s="303" t="s">
        <v>1609</v>
      </c>
      <c r="D144" s="303" t="s">
        <v>1609</v>
      </c>
      <c r="E144" s="303" t="s">
        <v>1609</v>
      </c>
      <c r="F144" s="303" t="s">
        <v>1646</v>
      </c>
      <c r="G144" s="303" t="s">
        <v>1609</v>
      </c>
      <c r="H144" s="304">
        <v>127458</v>
      </c>
      <c r="I144" s="331">
        <v>-113849.91</v>
      </c>
      <c r="J144" s="304">
        <v>0</v>
      </c>
      <c r="K144" s="304">
        <v>-113849.91</v>
      </c>
      <c r="L144" s="304">
        <v>13608.09</v>
      </c>
      <c r="M144" s="304">
        <v>-532.17999999999995</v>
      </c>
      <c r="N144" s="304">
        <v>13075.91</v>
      </c>
      <c r="O144" s="304">
        <v>0</v>
      </c>
      <c r="P144" s="304">
        <v>0</v>
      </c>
      <c r="Q144" s="304">
        <v>0</v>
      </c>
      <c r="R144" s="303" t="str">
        <f t="shared" si="2"/>
        <v>F1035</v>
      </c>
    </row>
    <row r="145" spans="1:18" x14ac:dyDescent="0.25">
      <c r="A145" s="303" t="s">
        <v>466</v>
      </c>
      <c r="B145" s="303" t="s">
        <v>1645</v>
      </c>
      <c r="C145" s="303" t="s">
        <v>1609</v>
      </c>
      <c r="D145" s="303" t="s">
        <v>1609</v>
      </c>
      <c r="E145" s="303" t="s">
        <v>1609</v>
      </c>
      <c r="F145" s="303" t="s">
        <v>1644</v>
      </c>
      <c r="G145" s="303" t="s">
        <v>1609</v>
      </c>
      <c r="H145" s="304">
        <v>8000</v>
      </c>
      <c r="I145" s="331">
        <v>-21705.85</v>
      </c>
      <c r="J145" s="304">
        <v>8758.17</v>
      </c>
      <c r="K145" s="304">
        <v>-12947.68</v>
      </c>
      <c r="L145" s="304">
        <v>-4947.68</v>
      </c>
      <c r="M145" s="304">
        <v>-1.54</v>
      </c>
      <c r="N145" s="304">
        <v>-4949.22</v>
      </c>
      <c r="O145" s="304">
        <v>0</v>
      </c>
      <c r="P145" s="304">
        <v>0</v>
      </c>
      <c r="Q145" s="304">
        <v>0</v>
      </c>
      <c r="R145" s="303" t="str">
        <f t="shared" si="2"/>
        <v>F1035</v>
      </c>
    </row>
    <row r="146" spans="1:18" x14ac:dyDescent="0.25">
      <c r="A146" s="303" t="s">
        <v>466</v>
      </c>
      <c r="B146" s="303" t="s">
        <v>1643</v>
      </c>
      <c r="C146" s="303" t="s">
        <v>1609</v>
      </c>
      <c r="D146" s="303" t="s">
        <v>1609</v>
      </c>
      <c r="E146" s="303" t="s">
        <v>1609</v>
      </c>
      <c r="F146" s="303" t="s">
        <v>1642</v>
      </c>
      <c r="G146" s="303" t="s">
        <v>1609</v>
      </c>
      <c r="H146" s="304">
        <v>5000</v>
      </c>
      <c r="I146" s="331">
        <v>-4831.62</v>
      </c>
      <c r="J146" s="304">
        <v>0</v>
      </c>
      <c r="K146" s="304">
        <v>-4831.62</v>
      </c>
      <c r="L146" s="304">
        <v>168.38</v>
      </c>
      <c r="M146" s="304">
        <v>-82.62</v>
      </c>
      <c r="N146" s="304">
        <v>85.76</v>
      </c>
      <c r="O146" s="304">
        <v>0</v>
      </c>
      <c r="P146" s="304">
        <v>0</v>
      </c>
      <c r="Q146" s="304">
        <v>0</v>
      </c>
      <c r="R146" s="303" t="str">
        <f t="shared" si="2"/>
        <v>F1036</v>
      </c>
    </row>
    <row r="147" spans="1:18" x14ac:dyDescent="0.25">
      <c r="A147" s="303" t="s">
        <v>466</v>
      </c>
      <c r="B147" s="303" t="s">
        <v>1641</v>
      </c>
      <c r="C147" s="303" t="s">
        <v>1609</v>
      </c>
      <c r="D147" s="303" t="s">
        <v>1609</v>
      </c>
      <c r="E147" s="303" t="s">
        <v>1609</v>
      </c>
      <c r="F147" s="303" t="s">
        <v>1640</v>
      </c>
      <c r="G147" s="303" t="s">
        <v>1609</v>
      </c>
      <c r="H147" s="304">
        <v>77963</v>
      </c>
      <c r="I147" s="331">
        <v>-196793.89</v>
      </c>
      <c r="J147" s="304">
        <v>83105.350000000006</v>
      </c>
      <c r="K147" s="304">
        <v>-113688.54</v>
      </c>
      <c r="L147" s="304">
        <v>-35725.54</v>
      </c>
      <c r="M147" s="304">
        <v>0</v>
      </c>
      <c r="N147" s="304">
        <v>-35725.54</v>
      </c>
      <c r="O147" s="304">
        <v>0</v>
      </c>
      <c r="P147" s="304">
        <v>0</v>
      </c>
      <c r="Q147" s="304">
        <v>0</v>
      </c>
      <c r="R147" s="303" t="str">
        <f t="shared" si="2"/>
        <v>F1038</v>
      </c>
    </row>
    <row r="148" spans="1:18" x14ac:dyDescent="0.25">
      <c r="A148" s="303" t="s">
        <v>466</v>
      </c>
      <c r="B148" s="303" t="s">
        <v>1639</v>
      </c>
      <c r="C148" s="303" t="s">
        <v>1609</v>
      </c>
      <c r="D148" s="303" t="s">
        <v>1609</v>
      </c>
      <c r="E148" s="303" t="s">
        <v>1609</v>
      </c>
      <c r="F148" s="303" t="s">
        <v>1638</v>
      </c>
      <c r="G148" s="303" t="s">
        <v>1609</v>
      </c>
      <c r="H148" s="304">
        <v>17368</v>
      </c>
      <c r="I148" s="331">
        <v>-112779.87</v>
      </c>
      <c r="J148" s="304">
        <v>88260</v>
      </c>
      <c r="K148" s="304">
        <v>-24519.87</v>
      </c>
      <c r="L148" s="304">
        <v>-7151.87</v>
      </c>
      <c r="M148" s="304">
        <v>0</v>
      </c>
      <c r="N148" s="304">
        <v>-7151.87</v>
      </c>
      <c r="O148" s="304">
        <v>0</v>
      </c>
      <c r="P148" s="304">
        <v>0</v>
      </c>
      <c r="Q148" s="304">
        <v>0</v>
      </c>
      <c r="R148" s="303" t="str">
        <f t="shared" si="2"/>
        <v>F1039</v>
      </c>
    </row>
    <row r="149" spans="1:18" x14ac:dyDescent="0.25">
      <c r="A149" s="303" t="s">
        <v>466</v>
      </c>
      <c r="B149" s="303" t="s">
        <v>1637</v>
      </c>
      <c r="C149" s="303" t="s">
        <v>1609</v>
      </c>
      <c r="D149" s="303" t="s">
        <v>1609</v>
      </c>
      <c r="E149" s="303" t="s">
        <v>1609</v>
      </c>
      <c r="F149" s="303" t="s">
        <v>1636</v>
      </c>
      <c r="G149" s="303" t="s">
        <v>1609</v>
      </c>
      <c r="H149" s="304">
        <v>96470</v>
      </c>
      <c r="I149" s="331">
        <v>-97585.02</v>
      </c>
      <c r="J149" s="304">
        <v>1643.75</v>
      </c>
      <c r="K149" s="304">
        <v>-95941.27</v>
      </c>
      <c r="L149" s="304">
        <v>528.73</v>
      </c>
      <c r="M149" s="304">
        <v>0</v>
      </c>
      <c r="N149" s="304">
        <v>528.73</v>
      </c>
      <c r="O149" s="304">
        <v>0</v>
      </c>
      <c r="P149" s="304">
        <v>0</v>
      </c>
      <c r="Q149" s="304">
        <v>0</v>
      </c>
      <c r="R149" s="303" t="str">
        <f t="shared" si="2"/>
        <v>F1047</v>
      </c>
    </row>
    <row r="150" spans="1:18" x14ac:dyDescent="0.25">
      <c r="A150" s="303" t="s">
        <v>466</v>
      </c>
      <c r="B150" s="303" t="s">
        <v>1635</v>
      </c>
      <c r="C150" s="303" t="s">
        <v>1609</v>
      </c>
      <c r="D150" s="303" t="s">
        <v>1609</v>
      </c>
      <c r="E150" s="303" t="s">
        <v>1609</v>
      </c>
      <c r="F150" s="303" t="s">
        <v>1634</v>
      </c>
      <c r="G150" s="303" t="s">
        <v>1609</v>
      </c>
      <c r="H150" s="304">
        <v>7540</v>
      </c>
      <c r="I150" s="331">
        <v>-7539.75</v>
      </c>
      <c r="J150" s="304">
        <v>0</v>
      </c>
      <c r="K150" s="304">
        <v>-7539.75</v>
      </c>
      <c r="L150" s="304">
        <v>0.25</v>
      </c>
      <c r="M150" s="304">
        <v>0</v>
      </c>
      <c r="N150" s="304">
        <v>0.25</v>
      </c>
      <c r="O150" s="304">
        <v>0</v>
      </c>
      <c r="P150" s="304">
        <v>0</v>
      </c>
      <c r="Q150" s="304">
        <v>0</v>
      </c>
      <c r="R150" s="303" t="str">
        <f t="shared" si="2"/>
        <v>F1048</v>
      </c>
    </row>
    <row r="151" spans="1:18" x14ac:dyDescent="0.25">
      <c r="A151" s="303" t="s">
        <v>466</v>
      </c>
      <c r="B151" s="303" t="s">
        <v>1633</v>
      </c>
      <c r="C151" s="303" t="s">
        <v>1609</v>
      </c>
      <c r="D151" s="303" t="s">
        <v>1609</v>
      </c>
      <c r="E151" s="303" t="s">
        <v>1609</v>
      </c>
      <c r="F151" s="303" t="s">
        <v>1632</v>
      </c>
      <c r="G151" s="303" t="s">
        <v>1609</v>
      </c>
      <c r="H151" s="304">
        <v>9500</v>
      </c>
      <c r="I151" s="331">
        <v>-559.29999999999995</v>
      </c>
      <c r="J151" s="304">
        <v>0</v>
      </c>
      <c r="K151" s="304">
        <v>-559.29999999999995</v>
      </c>
      <c r="L151" s="304">
        <v>8940.7000000000007</v>
      </c>
      <c r="M151" s="304">
        <v>0</v>
      </c>
      <c r="N151" s="304">
        <v>8940.7000000000007</v>
      </c>
      <c r="O151" s="304">
        <v>0</v>
      </c>
      <c r="P151" s="304">
        <v>0</v>
      </c>
      <c r="Q151" s="304">
        <v>0</v>
      </c>
      <c r="R151" s="303" t="str">
        <f t="shared" si="2"/>
        <v>F1051</v>
      </c>
    </row>
    <row r="152" spans="1:18" x14ac:dyDescent="0.25">
      <c r="A152" s="303" t="s">
        <v>466</v>
      </c>
      <c r="B152" s="303" t="s">
        <v>1631</v>
      </c>
      <c r="C152" s="303" t="s">
        <v>1609</v>
      </c>
      <c r="D152" s="303" t="s">
        <v>1609</v>
      </c>
      <c r="E152" s="303" t="s">
        <v>1609</v>
      </c>
      <c r="F152" s="303" t="s">
        <v>1630</v>
      </c>
      <c r="G152" s="303" t="s">
        <v>1609</v>
      </c>
      <c r="H152" s="304">
        <v>111601</v>
      </c>
      <c r="I152" s="331">
        <v>-182011.04</v>
      </c>
      <c r="J152" s="304">
        <v>65085.85</v>
      </c>
      <c r="K152" s="304">
        <v>-116925.19</v>
      </c>
      <c r="L152" s="304">
        <v>-5324.19</v>
      </c>
      <c r="M152" s="304">
        <v>-849.07</v>
      </c>
      <c r="N152" s="304">
        <v>-6173.26</v>
      </c>
      <c r="O152" s="304">
        <v>0</v>
      </c>
      <c r="P152" s="304">
        <v>0</v>
      </c>
      <c r="Q152" s="304">
        <v>0</v>
      </c>
      <c r="R152" s="303" t="str">
        <f t="shared" si="2"/>
        <v>F1052</v>
      </c>
    </row>
    <row r="153" spans="1:18" x14ac:dyDescent="0.25">
      <c r="A153" s="303" t="s">
        <v>466</v>
      </c>
      <c r="B153" s="303" t="s">
        <v>1629</v>
      </c>
      <c r="C153" s="303" t="s">
        <v>1609</v>
      </c>
      <c r="D153" s="303" t="s">
        <v>1609</v>
      </c>
      <c r="E153" s="303" t="s">
        <v>1609</v>
      </c>
      <c r="F153" s="303" t="s">
        <v>1628</v>
      </c>
      <c r="G153" s="303" t="s">
        <v>1609</v>
      </c>
      <c r="H153" s="304">
        <v>0</v>
      </c>
      <c r="I153" s="331">
        <v>0</v>
      </c>
      <c r="J153" s="304">
        <v>0</v>
      </c>
      <c r="K153" s="304">
        <v>0</v>
      </c>
      <c r="L153" s="304">
        <v>0</v>
      </c>
      <c r="M153" s="304">
        <v>0</v>
      </c>
      <c r="N153" s="304">
        <v>0</v>
      </c>
      <c r="O153" s="304">
        <v>0</v>
      </c>
      <c r="P153" s="304">
        <v>0</v>
      </c>
      <c r="Q153" s="304">
        <v>0</v>
      </c>
      <c r="R153" s="303" t="str">
        <f t="shared" si="2"/>
        <v>F1053</v>
      </c>
    </row>
    <row r="154" spans="1:18" x14ac:dyDescent="0.25">
      <c r="A154" s="303" t="s">
        <v>466</v>
      </c>
      <c r="B154" s="303" t="s">
        <v>1627</v>
      </c>
      <c r="C154" s="303" t="s">
        <v>1609</v>
      </c>
      <c r="D154" s="303" t="s">
        <v>1609</v>
      </c>
      <c r="E154" s="303" t="s">
        <v>1609</v>
      </c>
      <c r="F154" s="303" t="s">
        <v>1626</v>
      </c>
      <c r="G154" s="303" t="s">
        <v>1609</v>
      </c>
      <c r="H154" s="304">
        <v>0</v>
      </c>
      <c r="I154" s="331">
        <v>-87584</v>
      </c>
      <c r="J154" s="304">
        <v>86770.55</v>
      </c>
      <c r="K154" s="304">
        <v>-813.45</v>
      </c>
      <c r="L154" s="304">
        <v>-813.45</v>
      </c>
      <c r="M154" s="304">
        <v>0</v>
      </c>
      <c r="N154" s="304">
        <v>-813.45</v>
      </c>
      <c r="O154" s="304">
        <v>0</v>
      </c>
      <c r="P154" s="304">
        <v>0</v>
      </c>
      <c r="Q154" s="304">
        <v>0</v>
      </c>
      <c r="R154" s="303" t="str">
        <f t="shared" si="2"/>
        <v>F1054</v>
      </c>
    </row>
    <row r="155" spans="1:18" x14ac:dyDescent="0.25">
      <c r="A155" s="303" t="s">
        <v>466</v>
      </c>
      <c r="B155" s="303" t="s">
        <v>1625</v>
      </c>
      <c r="C155" s="303" t="s">
        <v>1609</v>
      </c>
      <c r="D155" s="303" t="s">
        <v>1609</v>
      </c>
      <c r="E155" s="303" t="s">
        <v>1609</v>
      </c>
      <c r="F155" s="303" t="s">
        <v>1624</v>
      </c>
      <c r="G155" s="303" t="s">
        <v>1609</v>
      </c>
      <c r="H155" s="304">
        <v>93784</v>
      </c>
      <c r="I155" s="331">
        <v>-95609.07</v>
      </c>
      <c r="J155" s="304">
        <v>1245.1500000000001</v>
      </c>
      <c r="K155" s="304">
        <v>-94363.92</v>
      </c>
      <c r="L155" s="304">
        <v>-579.91999999999996</v>
      </c>
      <c r="M155" s="304">
        <v>-1133.1600000000001</v>
      </c>
      <c r="N155" s="304">
        <v>-1713.08</v>
      </c>
      <c r="O155" s="304">
        <v>0</v>
      </c>
      <c r="P155" s="304">
        <v>0</v>
      </c>
      <c r="Q155" s="304">
        <v>0</v>
      </c>
      <c r="R155" s="303" t="str">
        <f t="shared" si="2"/>
        <v>F1055</v>
      </c>
    </row>
    <row r="156" spans="1:18" x14ac:dyDescent="0.25">
      <c r="A156" s="303" t="s">
        <v>466</v>
      </c>
      <c r="B156" s="303" t="s">
        <v>1623</v>
      </c>
      <c r="C156" s="303" t="s">
        <v>1609</v>
      </c>
      <c r="D156" s="303" t="s">
        <v>1609</v>
      </c>
      <c r="E156" s="303" t="s">
        <v>1609</v>
      </c>
      <c r="F156" s="303" t="s">
        <v>1622</v>
      </c>
      <c r="G156" s="303" t="s">
        <v>1609</v>
      </c>
      <c r="H156" s="304">
        <v>18313</v>
      </c>
      <c r="I156" s="331">
        <v>-18312.43</v>
      </c>
      <c r="J156" s="304">
        <v>0</v>
      </c>
      <c r="K156" s="304">
        <v>-18312.43</v>
      </c>
      <c r="L156" s="304">
        <v>0.56999999999999995</v>
      </c>
      <c r="M156" s="304">
        <v>0</v>
      </c>
      <c r="N156" s="304">
        <v>0.56999999999999995</v>
      </c>
      <c r="O156" s="304">
        <v>0</v>
      </c>
      <c r="P156" s="304">
        <v>0</v>
      </c>
      <c r="Q156" s="304">
        <v>0</v>
      </c>
      <c r="R156" s="303" t="str">
        <f t="shared" si="2"/>
        <v>F1055</v>
      </c>
    </row>
    <row r="157" spans="1:18" x14ac:dyDescent="0.25">
      <c r="A157" s="303" t="s">
        <v>466</v>
      </c>
      <c r="B157" s="303" t="s">
        <v>1621</v>
      </c>
      <c r="C157" s="303" t="s">
        <v>1609</v>
      </c>
      <c r="D157" s="303" t="s">
        <v>1609</v>
      </c>
      <c r="E157" s="303" t="s">
        <v>1609</v>
      </c>
      <c r="F157" s="303" t="s">
        <v>1620</v>
      </c>
      <c r="G157" s="303" t="s">
        <v>1609</v>
      </c>
      <c r="H157" s="304">
        <v>165958</v>
      </c>
      <c r="I157" s="331">
        <v>-155578.92000000001</v>
      </c>
      <c r="J157" s="304">
        <v>4929.16</v>
      </c>
      <c r="K157" s="304">
        <v>-150649.76</v>
      </c>
      <c r="L157" s="304">
        <v>15308.24</v>
      </c>
      <c r="M157" s="304">
        <v>0</v>
      </c>
      <c r="N157" s="304">
        <v>15308.24</v>
      </c>
      <c r="O157" s="304">
        <v>0</v>
      </c>
      <c r="P157" s="304">
        <v>0</v>
      </c>
      <c r="Q157" s="304">
        <v>0</v>
      </c>
      <c r="R157" s="303" t="str">
        <f t="shared" si="2"/>
        <v>F1056</v>
      </c>
    </row>
    <row r="158" spans="1:18" x14ac:dyDescent="0.25">
      <c r="A158" s="303" t="s">
        <v>466</v>
      </c>
      <c r="B158" s="303" t="s">
        <v>1619</v>
      </c>
      <c r="C158" s="303" t="s">
        <v>1609</v>
      </c>
      <c r="D158" s="303" t="s">
        <v>1609</v>
      </c>
      <c r="E158" s="303" t="s">
        <v>1609</v>
      </c>
      <c r="F158" s="303" t="s">
        <v>1618</v>
      </c>
      <c r="G158" s="303" t="s">
        <v>1609</v>
      </c>
      <c r="H158" s="304">
        <v>217822</v>
      </c>
      <c r="I158" s="331">
        <v>-220980.95</v>
      </c>
      <c r="J158" s="304">
        <v>952.14</v>
      </c>
      <c r="K158" s="304">
        <v>-220028.81</v>
      </c>
      <c r="L158" s="304">
        <v>-2206.81</v>
      </c>
      <c r="M158" s="304">
        <v>0</v>
      </c>
      <c r="N158" s="304">
        <v>-2206.81</v>
      </c>
      <c r="O158" s="304">
        <v>0</v>
      </c>
      <c r="P158" s="304">
        <v>0</v>
      </c>
      <c r="Q158" s="304">
        <v>0</v>
      </c>
      <c r="R158" s="303" t="str">
        <f t="shared" si="2"/>
        <v>F1057</v>
      </c>
    </row>
    <row r="159" spans="1:18" x14ac:dyDescent="0.25">
      <c r="A159" s="303" t="s">
        <v>466</v>
      </c>
      <c r="B159" s="303" t="s">
        <v>1617</v>
      </c>
      <c r="C159" s="303" t="s">
        <v>1609</v>
      </c>
      <c r="D159" s="303" t="s">
        <v>1609</v>
      </c>
      <c r="E159" s="303" t="s">
        <v>1609</v>
      </c>
      <c r="F159" s="303" t="s">
        <v>1616</v>
      </c>
      <c r="G159" s="303" t="s">
        <v>1609</v>
      </c>
      <c r="H159" s="304">
        <v>0</v>
      </c>
      <c r="I159" s="331">
        <v>1.63</v>
      </c>
      <c r="J159" s="304">
        <v>0</v>
      </c>
      <c r="K159" s="304">
        <v>1.63</v>
      </c>
      <c r="L159" s="304">
        <v>1.63</v>
      </c>
      <c r="M159" s="304">
        <v>0</v>
      </c>
      <c r="N159" s="304">
        <v>1.63</v>
      </c>
      <c r="O159" s="304">
        <v>0</v>
      </c>
      <c r="P159" s="304">
        <v>0</v>
      </c>
      <c r="Q159" s="304">
        <v>0</v>
      </c>
      <c r="R159" s="303" t="str">
        <f t="shared" si="2"/>
        <v>F1058</v>
      </c>
    </row>
    <row r="160" spans="1:18" x14ac:dyDescent="0.25">
      <c r="A160" s="303" t="s">
        <v>466</v>
      </c>
      <c r="B160" s="303" t="s">
        <v>1615</v>
      </c>
      <c r="C160" s="303" t="s">
        <v>1609</v>
      </c>
      <c r="D160" s="303" t="s">
        <v>1609</v>
      </c>
      <c r="E160" s="303" t="s">
        <v>1609</v>
      </c>
      <c r="F160" s="303" t="s">
        <v>1614</v>
      </c>
      <c r="G160" s="303" t="s">
        <v>1609</v>
      </c>
      <c r="H160" s="304">
        <v>180046</v>
      </c>
      <c r="I160" s="331">
        <v>-210985.26</v>
      </c>
      <c r="J160" s="304">
        <v>2946.1</v>
      </c>
      <c r="K160" s="304">
        <v>-208039.16</v>
      </c>
      <c r="L160" s="304">
        <v>-27993.16</v>
      </c>
      <c r="M160" s="304">
        <v>0</v>
      </c>
      <c r="N160" s="304">
        <v>-27993.16</v>
      </c>
      <c r="O160" s="304">
        <v>0</v>
      </c>
      <c r="P160" s="304">
        <v>0</v>
      </c>
      <c r="Q160" s="304">
        <v>0</v>
      </c>
      <c r="R160" s="303" t="str">
        <f t="shared" si="2"/>
        <v>F1062</v>
      </c>
    </row>
    <row r="161" spans="1:18" x14ac:dyDescent="0.25">
      <c r="A161" s="303" t="s">
        <v>466</v>
      </c>
      <c r="B161" s="303" t="s">
        <v>1613</v>
      </c>
      <c r="C161" s="303" t="s">
        <v>1609</v>
      </c>
      <c r="D161" s="303" t="s">
        <v>1609</v>
      </c>
      <c r="E161" s="303" t="s">
        <v>1609</v>
      </c>
      <c r="F161" s="303" t="s">
        <v>1612</v>
      </c>
      <c r="G161" s="303" t="s">
        <v>1609</v>
      </c>
      <c r="H161" s="304">
        <v>88871</v>
      </c>
      <c r="I161" s="331">
        <v>-113713.47</v>
      </c>
      <c r="J161" s="304">
        <v>25482.05</v>
      </c>
      <c r="K161" s="304">
        <v>-88231.42</v>
      </c>
      <c r="L161" s="304">
        <v>639.58000000000004</v>
      </c>
      <c r="M161" s="304">
        <v>0</v>
      </c>
      <c r="N161" s="304">
        <v>639.58000000000004</v>
      </c>
      <c r="O161" s="304">
        <v>0</v>
      </c>
      <c r="P161" s="304">
        <v>0</v>
      </c>
      <c r="Q161" s="304">
        <v>0</v>
      </c>
      <c r="R161" s="303" t="str">
        <f t="shared" si="2"/>
        <v>F1063</v>
      </c>
    </row>
    <row r="162" spans="1:18" x14ac:dyDescent="0.25">
      <c r="A162" s="303" t="s">
        <v>466</v>
      </c>
      <c r="B162" s="303" t="s">
        <v>1611</v>
      </c>
      <c r="C162" s="303" t="s">
        <v>1609</v>
      </c>
      <c r="D162" s="303" t="s">
        <v>1609</v>
      </c>
      <c r="E162" s="303" t="s">
        <v>1609</v>
      </c>
      <c r="F162" s="303" t="s">
        <v>1610</v>
      </c>
      <c r="G162" s="303" t="s">
        <v>1609</v>
      </c>
      <c r="H162" s="304">
        <v>34190</v>
      </c>
      <c r="I162" s="331">
        <v>-37279.25</v>
      </c>
      <c r="J162" s="304">
        <v>1627.5</v>
      </c>
      <c r="K162" s="304">
        <v>-35651.75</v>
      </c>
      <c r="L162" s="304">
        <v>-1461.75</v>
      </c>
      <c r="M162" s="304">
        <v>-10.35</v>
      </c>
      <c r="N162" s="304">
        <v>-1472.1</v>
      </c>
      <c r="O162" s="304">
        <v>0</v>
      </c>
      <c r="P162" s="304">
        <v>0</v>
      </c>
      <c r="Q162" s="304">
        <v>0</v>
      </c>
      <c r="R162" s="303" t="str">
        <f t="shared" si="2"/>
        <v>F1066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X1136"/>
  <sheetViews>
    <sheetView workbookViewId="0">
      <pane ySplit="1" topLeftCell="A2" activePane="bottomLeft" state="frozen"/>
      <selection pane="bottomLeft" activeCell="I652" sqref="I652"/>
    </sheetView>
  </sheetViews>
  <sheetFormatPr baseColWidth="10" defaultColWidth="8.7265625" defaultRowHeight="12.5" x14ac:dyDescent="0.25"/>
  <cols>
    <col min="1" max="1" width="11" style="303" hidden="1" customWidth="1"/>
    <col min="2" max="2" width="9" style="303" hidden="1" customWidth="1"/>
    <col min="3" max="3" width="13" style="303" bestFit="1" customWidth="1"/>
    <col min="4" max="4" width="6" style="303" hidden="1" customWidth="1"/>
    <col min="5" max="5" width="18" style="303" bestFit="1" customWidth="1"/>
    <col min="6" max="6" width="17" style="303" bestFit="1" customWidth="1"/>
    <col min="7" max="7" width="11" style="303" bestFit="1" customWidth="1"/>
    <col min="8" max="8" width="6.26953125" style="303" hidden="1" customWidth="1"/>
    <col min="9" max="10" width="16" style="303" bestFit="1" customWidth="1"/>
    <col min="11" max="11" width="11" style="303" bestFit="1" customWidth="1"/>
    <col min="12" max="12" width="6.6328125" style="303" hidden="1" customWidth="1"/>
    <col min="13" max="13" width="52" style="303" bestFit="1" customWidth="1"/>
    <col min="14" max="14" width="8.26953125" style="303" customWidth="1"/>
    <col min="15" max="15" width="12.1796875" style="303" customWidth="1"/>
    <col min="16" max="16" width="11.54296875" style="303" customWidth="1"/>
    <col min="17" max="17" width="5" style="303" hidden="1" customWidth="1"/>
    <col min="18" max="18" width="8.7265625" style="303"/>
    <col min="19" max="19" width="11.54296875" style="303" customWidth="1"/>
    <col min="20" max="16384" width="8.7265625" style="303"/>
  </cols>
  <sheetData>
    <row r="1" spans="1:24" ht="50" x14ac:dyDescent="0.25">
      <c r="A1" s="306" t="s">
        <v>3604</v>
      </c>
      <c r="B1" s="305" t="s">
        <v>3603</v>
      </c>
      <c r="C1" s="306" t="s">
        <v>3602</v>
      </c>
      <c r="D1" s="305" t="s">
        <v>3601</v>
      </c>
      <c r="E1" s="306" t="s">
        <v>1609</v>
      </c>
      <c r="F1" s="306" t="s">
        <v>3600</v>
      </c>
      <c r="G1" s="306" t="s">
        <v>3597</v>
      </c>
      <c r="H1" s="306" t="s">
        <v>3596</v>
      </c>
      <c r="I1" s="306" t="s">
        <v>3599</v>
      </c>
      <c r="J1" s="306" t="s">
        <v>3598</v>
      </c>
      <c r="K1" s="306" t="s">
        <v>3597</v>
      </c>
      <c r="L1" s="305" t="s">
        <v>3596</v>
      </c>
      <c r="M1" s="306" t="s">
        <v>3595</v>
      </c>
      <c r="N1" s="306" t="s">
        <v>3594</v>
      </c>
      <c r="O1" s="306" t="s">
        <v>3593</v>
      </c>
      <c r="P1" s="306" t="s">
        <v>3592</v>
      </c>
      <c r="Q1" s="306" t="s">
        <v>3591</v>
      </c>
      <c r="R1" s="329" t="s">
        <v>3605</v>
      </c>
      <c r="S1" s="330" t="s">
        <v>3606</v>
      </c>
      <c r="V1" s="303" t="s">
        <v>1363</v>
      </c>
      <c r="W1" s="303" t="s">
        <v>3607</v>
      </c>
      <c r="X1" s="303" t="s">
        <v>3608</v>
      </c>
    </row>
    <row r="2" spans="1:24" x14ac:dyDescent="0.2">
      <c r="A2" s="303" t="s">
        <v>3590</v>
      </c>
      <c r="B2" s="303" t="s">
        <v>3589</v>
      </c>
      <c r="C2" s="328">
        <v>43175</v>
      </c>
      <c r="D2" s="303" t="s">
        <v>1965</v>
      </c>
      <c r="E2" s="303" t="s">
        <v>1964</v>
      </c>
      <c r="F2" s="303" t="s">
        <v>1967</v>
      </c>
      <c r="G2" s="303" t="s">
        <v>1523</v>
      </c>
      <c r="H2" s="303" t="s">
        <v>1956</v>
      </c>
      <c r="I2" s="304">
        <v>12146</v>
      </c>
      <c r="J2" s="303" t="s">
        <v>1707</v>
      </c>
      <c r="K2" s="303" t="s">
        <v>1523</v>
      </c>
      <c r="L2" s="303" t="s">
        <v>1956</v>
      </c>
      <c r="M2" s="303" t="s">
        <v>2267</v>
      </c>
      <c r="N2" s="303" t="s">
        <v>1987</v>
      </c>
      <c r="O2" s="303" t="s">
        <v>1986</v>
      </c>
      <c r="P2" s="328">
        <v>43175</v>
      </c>
      <c r="Q2" s="303" t="s">
        <v>1952</v>
      </c>
      <c r="R2" s="303">
        <f>IF(OR(M2="transfert de B vers A",M2="transfert de B vers D",M2="transfert de A vers B",M2="transfert de D vers B",M2="carryover 2017 -&gt; 2018",IF(ISERR(SEARCH("fidélité",M2)),FALSE,TRUE),M2="Fermeture STI-FORM",M2="répartition AE/AC"),0,1)</f>
        <v>0</v>
      </c>
      <c r="S2" s="303">
        <v>0</v>
      </c>
      <c r="V2" s="300" t="s">
        <v>1367</v>
      </c>
      <c r="W2" s="303">
        <f>SUMIFS($I$2:$I$1136,$S$2:$S$1136,1,$K$2:$K$1136,$V2,$E$2:$E$1136,"Transfert émis")</f>
        <v>0</v>
      </c>
      <c r="X2" s="303">
        <f>SUMIFS($I$2:$I$1136,$S$2:$S$1136,1,$G$2:$G$1136,$V2,$E$2:$E$1136,"Transfert reçu")</f>
        <v>0</v>
      </c>
    </row>
    <row r="3" spans="1:24" x14ac:dyDescent="0.2">
      <c r="A3" s="303" t="s">
        <v>3590</v>
      </c>
      <c r="B3" s="303" t="s">
        <v>3589</v>
      </c>
      <c r="C3" s="328">
        <v>43175</v>
      </c>
      <c r="D3" s="303" t="s">
        <v>1961</v>
      </c>
      <c r="E3" s="303" t="s">
        <v>1960</v>
      </c>
      <c r="F3" s="303" t="s">
        <v>1967</v>
      </c>
      <c r="G3" s="303" t="s">
        <v>1523</v>
      </c>
      <c r="H3" s="303" t="s">
        <v>1956</v>
      </c>
      <c r="I3" s="304">
        <v>-12146</v>
      </c>
      <c r="J3" s="303" t="s">
        <v>1707</v>
      </c>
      <c r="K3" s="303" t="s">
        <v>1523</v>
      </c>
      <c r="L3" s="303" t="s">
        <v>1956</v>
      </c>
      <c r="M3" s="303" t="s">
        <v>2267</v>
      </c>
      <c r="N3" s="303" t="s">
        <v>1987</v>
      </c>
      <c r="O3" s="303" t="s">
        <v>1986</v>
      </c>
      <c r="P3" s="328">
        <v>43175</v>
      </c>
      <c r="Q3" s="303" t="s">
        <v>1952</v>
      </c>
      <c r="R3" s="303">
        <f t="shared" ref="R3:R66" si="0">IF(OR(M3="transfert de B vers A",M3="transfert de B vers D",M3="transfert de A vers B",M3="transfert de D vers B",M3="carryover 2017 -&gt; 2018",IF(ISERR(SEARCH("fidélité",M3)),FALSE,TRUE),M3="Fermeture STI-FORM",M3="répartition AE/AC"),0,1)</f>
        <v>0</v>
      </c>
      <c r="S3" s="303">
        <v>0</v>
      </c>
      <c r="V3" s="300" t="s">
        <v>1370</v>
      </c>
      <c r="W3" s="303">
        <f t="shared" ref="W3:W66" si="1">SUMIFS($I$2:$I$1136,$S$2:$S$1136,1,$K$2:$K$1136,$V3,$E$2:$E$1136,"Transfert émis")</f>
        <v>0</v>
      </c>
      <c r="X3" s="303">
        <f t="shared" ref="X3:X66" si="2">SUMIFS($I$2:$I$1136,$S$2:$S$1136,1,$G$2:$G$1136,$V3,$E$2:$E$1136,"Transfert reçu")</f>
        <v>90000</v>
      </c>
    </row>
    <row r="4" spans="1:24" x14ac:dyDescent="0.2">
      <c r="A4" s="303" t="s">
        <v>3588</v>
      </c>
      <c r="B4" s="303" t="s">
        <v>3587</v>
      </c>
      <c r="C4" s="328">
        <v>43175</v>
      </c>
      <c r="D4" s="303" t="s">
        <v>1965</v>
      </c>
      <c r="E4" s="303" t="s">
        <v>1964</v>
      </c>
      <c r="F4" s="303" t="s">
        <v>1958</v>
      </c>
      <c r="G4" s="303" t="s">
        <v>1957</v>
      </c>
      <c r="H4" s="303" t="s">
        <v>1956</v>
      </c>
      <c r="I4" s="304">
        <v>2854</v>
      </c>
      <c r="J4" s="303" t="s">
        <v>1707</v>
      </c>
      <c r="K4" s="303" t="s">
        <v>1523</v>
      </c>
      <c r="L4" s="303" t="s">
        <v>1956</v>
      </c>
      <c r="M4" s="303" t="s">
        <v>2270</v>
      </c>
      <c r="N4" s="303" t="s">
        <v>1987</v>
      </c>
      <c r="O4" s="303" t="s">
        <v>1986</v>
      </c>
      <c r="P4" s="328">
        <v>43175</v>
      </c>
      <c r="Q4" s="303" t="s">
        <v>1952</v>
      </c>
      <c r="R4" s="303">
        <f t="shared" si="0"/>
        <v>0</v>
      </c>
      <c r="S4" s="303">
        <v>0</v>
      </c>
      <c r="V4" s="300" t="s">
        <v>1373</v>
      </c>
      <c r="W4" s="303">
        <f t="shared" si="1"/>
        <v>0</v>
      </c>
      <c r="X4" s="303">
        <f t="shared" si="2"/>
        <v>227424</v>
      </c>
    </row>
    <row r="5" spans="1:24" x14ac:dyDescent="0.2">
      <c r="A5" s="303" t="s">
        <v>3588</v>
      </c>
      <c r="B5" s="303" t="s">
        <v>3587</v>
      </c>
      <c r="C5" s="328">
        <v>43175</v>
      </c>
      <c r="D5" s="303" t="s">
        <v>1961</v>
      </c>
      <c r="E5" s="303" t="s">
        <v>1960</v>
      </c>
      <c r="F5" s="303" t="s">
        <v>1958</v>
      </c>
      <c r="G5" s="303" t="s">
        <v>1957</v>
      </c>
      <c r="H5" s="303" t="s">
        <v>1956</v>
      </c>
      <c r="I5" s="304">
        <v>-2854</v>
      </c>
      <c r="J5" s="303" t="s">
        <v>1707</v>
      </c>
      <c r="K5" s="303" t="s">
        <v>1523</v>
      </c>
      <c r="L5" s="303" t="s">
        <v>1956</v>
      </c>
      <c r="M5" s="303" t="s">
        <v>2270</v>
      </c>
      <c r="N5" s="303" t="s">
        <v>1987</v>
      </c>
      <c r="O5" s="303" t="s">
        <v>1986</v>
      </c>
      <c r="P5" s="328">
        <v>43175</v>
      </c>
      <c r="Q5" s="303" t="s">
        <v>1952</v>
      </c>
      <c r="R5" s="303">
        <f t="shared" si="0"/>
        <v>0</v>
      </c>
      <c r="S5" s="303">
        <v>0</v>
      </c>
      <c r="V5" s="300" t="s">
        <v>1376</v>
      </c>
      <c r="W5" s="303">
        <f t="shared" si="1"/>
        <v>0</v>
      </c>
      <c r="X5" s="303">
        <f t="shared" si="2"/>
        <v>34073</v>
      </c>
    </row>
    <row r="6" spans="1:24" x14ac:dyDescent="0.2">
      <c r="A6" s="303" t="s">
        <v>3586</v>
      </c>
      <c r="B6" s="303" t="s">
        <v>3585</v>
      </c>
      <c r="C6" s="328">
        <v>43179</v>
      </c>
      <c r="D6" s="303" t="s">
        <v>1965</v>
      </c>
      <c r="E6" s="303" t="s">
        <v>1964</v>
      </c>
      <c r="F6" s="303" t="s">
        <v>1727</v>
      </c>
      <c r="G6" s="303" t="s">
        <v>1502</v>
      </c>
      <c r="H6" s="303" t="s">
        <v>1956</v>
      </c>
      <c r="I6" s="304">
        <v>454</v>
      </c>
      <c r="J6" s="303" t="s">
        <v>1609</v>
      </c>
      <c r="K6" s="303" t="s">
        <v>1609</v>
      </c>
      <c r="L6" s="303" t="s">
        <v>1609</v>
      </c>
      <c r="M6" s="303" t="s">
        <v>3584</v>
      </c>
      <c r="N6" s="303" t="s">
        <v>2031</v>
      </c>
      <c r="O6" s="303" t="s">
        <v>2030</v>
      </c>
      <c r="P6" s="328">
        <v>43179</v>
      </c>
      <c r="Q6" s="303" t="s">
        <v>1952</v>
      </c>
      <c r="R6" s="303">
        <f t="shared" si="0"/>
        <v>1</v>
      </c>
      <c r="S6" s="303">
        <v>1</v>
      </c>
      <c r="V6" s="300" t="s">
        <v>1379</v>
      </c>
      <c r="W6" s="303">
        <f t="shared" si="1"/>
        <v>0</v>
      </c>
      <c r="X6" s="303">
        <f t="shared" si="2"/>
        <v>31414</v>
      </c>
    </row>
    <row r="7" spans="1:24" x14ac:dyDescent="0.2">
      <c r="A7" s="303" t="s">
        <v>3583</v>
      </c>
      <c r="B7" s="303" t="s">
        <v>3582</v>
      </c>
      <c r="C7" s="328">
        <v>43179</v>
      </c>
      <c r="D7" s="303" t="s">
        <v>1965</v>
      </c>
      <c r="E7" s="303" t="s">
        <v>1964</v>
      </c>
      <c r="F7" s="303" t="s">
        <v>2490</v>
      </c>
      <c r="G7" s="303" t="s">
        <v>1382</v>
      </c>
      <c r="H7" s="303" t="s">
        <v>1956</v>
      </c>
      <c r="I7" s="304">
        <v>15500</v>
      </c>
      <c r="J7" s="303" t="s">
        <v>1609</v>
      </c>
      <c r="K7" s="303" t="s">
        <v>1609</v>
      </c>
      <c r="L7" s="303" t="s">
        <v>1609</v>
      </c>
      <c r="M7" s="303" t="s">
        <v>3581</v>
      </c>
      <c r="N7" s="303" t="s">
        <v>2031</v>
      </c>
      <c r="O7" s="303" t="s">
        <v>2030</v>
      </c>
      <c r="P7" s="328">
        <v>43179</v>
      </c>
      <c r="Q7" s="303" t="s">
        <v>1952</v>
      </c>
      <c r="R7" s="303">
        <f t="shared" si="0"/>
        <v>1</v>
      </c>
      <c r="S7" s="303">
        <v>1</v>
      </c>
      <c r="V7" s="300" t="s">
        <v>1382</v>
      </c>
      <c r="W7" s="303">
        <f t="shared" si="1"/>
        <v>0</v>
      </c>
      <c r="X7" s="303">
        <f t="shared" si="2"/>
        <v>45500</v>
      </c>
    </row>
    <row r="8" spans="1:24" x14ac:dyDescent="0.2">
      <c r="A8" s="303" t="s">
        <v>3580</v>
      </c>
      <c r="B8" s="303" t="s">
        <v>3579</v>
      </c>
      <c r="C8" s="328">
        <v>43139</v>
      </c>
      <c r="D8" s="303" t="s">
        <v>1965</v>
      </c>
      <c r="E8" s="303" t="s">
        <v>1964</v>
      </c>
      <c r="F8" s="303" t="s">
        <v>1819</v>
      </c>
      <c r="G8" s="303" t="s">
        <v>1436</v>
      </c>
      <c r="H8" s="303" t="s">
        <v>1956</v>
      </c>
      <c r="I8" s="304">
        <v>90000</v>
      </c>
      <c r="J8" s="303" t="s">
        <v>1609</v>
      </c>
      <c r="K8" s="303" t="s">
        <v>1609</v>
      </c>
      <c r="L8" s="303" t="s">
        <v>1609</v>
      </c>
      <c r="M8" s="303" t="s">
        <v>3574</v>
      </c>
      <c r="N8" s="303" t="s">
        <v>1954</v>
      </c>
      <c r="O8" s="303" t="s">
        <v>1953</v>
      </c>
      <c r="P8" s="328">
        <v>43181</v>
      </c>
      <c r="Q8" s="303" t="s">
        <v>1952</v>
      </c>
      <c r="R8" s="303">
        <f t="shared" si="0"/>
        <v>1</v>
      </c>
      <c r="S8" s="303">
        <v>1</v>
      </c>
      <c r="V8" s="300" t="s">
        <v>1385</v>
      </c>
      <c r="W8" s="303">
        <f t="shared" si="1"/>
        <v>0</v>
      </c>
      <c r="X8" s="303">
        <f t="shared" si="2"/>
        <v>0</v>
      </c>
    </row>
    <row r="9" spans="1:24" x14ac:dyDescent="0.2">
      <c r="A9" s="303" t="s">
        <v>3578</v>
      </c>
      <c r="B9" s="303" t="s">
        <v>3577</v>
      </c>
      <c r="C9" s="328">
        <v>43139</v>
      </c>
      <c r="D9" s="303" t="s">
        <v>1965</v>
      </c>
      <c r="E9" s="303" t="s">
        <v>1964</v>
      </c>
      <c r="F9" s="303" t="s">
        <v>1743</v>
      </c>
      <c r="G9" s="303" t="s">
        <v>1481</v>
      </c>
      <c r="H9" s="303" t="s">
        <v>1956</v>
      </c>
      <c r="I9" s="304">
        <v>90000</v>
      </c>
      <c r="J9" s="303" t="s">
        <v>1609</v>
      </c>
      <c r="K9" s="303" t="s">
        <v>1609</v>
      </c>
      <c r="L9" s="303" t="s">
        <v>1609</v>
      </c>
      <c r="M9" s="303" t="s">
        <v>3574</v>
      </c>
      <c r="N9" s="303" t="s">
        <v>1954</v>
      </c>
      <c r="O9" s="303" t="s">
        <v>1953</v>
      </c>
      <c r="P9" s="328">
        <v>43181</v>
      </c>
      <c r="Q9" s="303" t="s">
        <v>1952</v>
      </c>
      <c r="R9" s="303">
        <f t="shared" si="0"/>
        <v>1</v>
      </c>
      <c r="S9" s="303">
        <v>1</v>
      </c>
      <c r="V9" s="300" t="s">
        <v>1388</v>
      </c>
      <c r="W9" s="303">
        <f t="shared" si="1"/>
        <v>0</v>
      </c>
      <c r="X9" s="303">
        <f t="shared" si="2"/>
        <v>14450</v>
      </c>
    </row>
    <row r="10" spans="1:24" x14ac:dyDescent="0.2">
      <c r="A10" s="303" t="s">
        <v>3576</v>
      </c>
      <c r="B10" s="303" t="s">
        <v>3575</v>
      </c>
      <c r="C10" s="328">
        <v>43139</v>
      </c>
      <c r="D10" s="303" t="s">
        <v>1965</v>
      </c>
      <c r="E10" s="303" t="s">
        <v>1964</v>
      </c>
      <c r="F10" s="303" t="s">
        <v>1928</v>
      </c>
      <c r="G10" s="303" t="s">
        <v>1370</v>
      </c>
      <c r="H10" s="303" t="s">
        <v>1956</v>
      </c>
      <c r="I10" s="304">
        <v>90000</v>
      </c>
      <c r="J10" s="303" t="s">
        <v>1609</v>
      </c>
      <c r="K10" s="303" t="s">
        <v>1609</v>
      </c>
      <c r="L10" s="303" t="s">
        <v>1609</v>
      </c>
      <c r="M10" s="303" t="s">
        <v>3574</v>
      </c>
      <c r="N10" s="303" t="s">
        <v>1954</v>
      </c>
      <c r="O10" s="303" t="s">
        <v>1953</v>
      </c>
      <c r="P10" s="328">
        <v>43181</v>
      </c>
      <c r="Q10" s="303" t="s">
        <v>1952</v>
      </c>
      <c r="R10" s="303">
        <f t="shared" si="0"/>
        <v>1</v>
      </c>
      <c r="S10" s="303">
        <v>1</v>
      </c>
      <c r="V10" s="300" t="s">
        <v>1391</v>
      </c>
      <c r="W10" s="303">
        <f t="shared" si="1"/>
        <v>0</v>
      </c>
      <c r="X10" s="303">
        <f t="shared" si="2"/>
        <v>69014</v>
      </c>
    </row>
    <row r="11" spans="1:24" x14ac:dyDescent="0.2">
      <c r="A11" s="303" t="s">
        <v>3573</v>
      </c>
      <c r="B11" s="303" t="s">
        <v>3572</v>
      </c>
      <c r="C11" s="328">
        <v>43186</v>
      </c>
      <c r="D11" s="303" t="s">
        <v>1965</v>
      </c>
      <c r="E11" s="303" t="s">
        <v>1964</v>
      </c>
      <c r="F11" s="303" t="s">
        <v>1967</v>
      </c>
      <c r="G11" s="303" t="s">
        <v>1959</v>
      </c>
      <c r="H11" s="303" t="s">
        <v>1956</v>
      </c>
      <c r="I11" s="304">
        <v>33690</v>
      </c>
      <c r="J11" s="303" t="s">
        <v>1967</v>
      </c>
      <c r="K11" s="303" t="s">
        <v>2547</v>
      </c>
      <c r="L11" s="303" t="s">
        <v>1956</v>
      </c>
      <c r="M11" s="303" t="s">
        <v>3561</v>
      </c>
      <c r="N11" s="303" t="s">
        <v>1987</v>
      </c>
      <c r="O11" s="303" t="s">
        <v>1986</v>
      </c>
      <c r="P11" s="328">
        <v>43186</v>
      </c>
      <c r="Q11" s="303" t="s">
        <v>1952</v>
      </c>
      <c r="R11" s="303">
        <f t="shared" si="0"/>
        <v>1</v>
      </c>
      <c r="S11" s="303">
        <v>0</v>
      </c>
      <c r="V11" s="300" t="s">
        <v>1394</v>
      </c>
      <c r="W11" s="303">
        <f t="shared" si="1"/>
        <v>0</v>
      </c>
      <c r="X11" s="303">
        <f t="shared" si="2"/>
        <v>106904</v>
      </c>
    </row>
    <row r="12" spans="1:24" x14ac:dyDescent="0.2">
      <c r="A12" s="303" t="s">
        <v>3573</v>
      </c>
      <c r="B12" s="303" t="s">
        <v>3572</v>
      </c>
      <c r="C12" s="328">
        <v>43186</v>
      </c>
      <c r="D12" s="303" t="s">
        <v>1961</v>
      </c>
      <c r="E12" s="303" t="s">
        <v>1960</v>
      </c>
      <c r="F12" s="303" t="s">
        <v>1967</v>
      </c>
      <c r="G12" s="303" t="s">
        <v>1959</v>
      </c>
      <c r="H12" s="303" t="s">
        <v>1956</v>
      </c>
      <c r="I12" s="304">
        <v>-33690</v>
      </c>
      <c r="J12" s="303" t="s">
        <v>1967</v>
      </c>
      <c r="K12" s="303" t="s">
        <v>2547</v>
      </c>
      <c r="L12" s="303" t="s">
        <v>1956</v>
      </c>
      <c r="M12" s="303" t="s">
        <v>3561</v>
      </c>
      <c r="N12" s="303" t="s">
        <v>1987</v>
      </c>
      <c r="O12" s="303" t="s">
        <v>1986</v>
      </c>
      <c r="P12" s="328">
        <v>43186</v>
      </c>
      <c r="Q12" s="303" t="s">
        <v>1952</v>
      </c>
      <c r="R12" s="303">
        <f t="shared" si="0"/>
        <v>1</v>
      </c>
      <c r="S12" s="303">
        <v>0</v>
      </c>
      <c r="V12" s="300" t="s">
        <v>1397</v>
      </c>
      <c r="W12" s="303">
        <f t="shared" si="1"/>
        <v>0</v>
      </c>
      <c r="X12" s="303">
        <f t="shared" si="2"/>
        <v>0</v>
      </c>
    </row>
    <row r="13" spans="1:24" x14ac:dyDescent="0.2">
      <c r="A13" s="303" t="s">
        <v>3571</v>
      </c>
      <c r="B13" s="303" t="s">
        <v>3570</v>
      </c>
      <c r="C13" s="328">
        <v>43186</v>
      </c>
      <c r="D13" s="303" t="s">
        <v>1965</v>
      </c>
      <c r="E13" s="303" t="s">
        <v>1964</v>
      </c>
      <c r="F13" s="303" t="s">
        <v>1967</v>
      </c>
      <c r="G13" s="303" t="s">
        <v>1959</v>
      </c>
      <c r="H13" s="303" t="s">
        <v>1956</v>
      </c>
      <c r="I13" s="304">
        <v>1140</v>
      </c>
      <c r="J13" s="303" t="s">
        <v>1967</v>
      </c>
      <c r="K13" s="303" t="s">
        <v>2578</v>
      </c>
      <c r="L13" s="303" t="s">
        <v>1956</v>
      </c>
      <c r="M13" s="303" t="s">
        <v>3569</v>
      </c>
      <c r="N13" s="303" t="s">
        <v>1987</v>
      </c>
      <c r="O13" s="303" t="s">
        <v>1986</v>
      </c>
      <c r="P13" s="328">
        <v>43186</v>
      </c>
      <c r="Q13" s="303" t="s">
        <v>1952</v>
      </c>
      <c r="R13" s="303">
        <f t="shared" si="0"/>
        <v>1</v>
      </c>
      <c r="S13" s="303">
        <v>0</v>
      </c>
      <c r="V13" s="300" t="s">
        <v>1400</v>
      </c>
      <c r="W13" s="303">
        <f t="shared" si="1"/>
        <v>0</v>
      </c>
      <c r="X13" s="303">
        <f t="shared" si="2"/>
        <v>0</v>
      </c>
    </row>
    <row r="14" spans="1:24" x14ac:dyDescent="0.2">
      <c r="A14" s="303" t="s">
        <v>3571</v>
      </c>
      <c r="B14" s="303" t="s">
        <v>3570</v>
      </c>
      <c r="C14" s="328">
        <v>43186</v>
      </c>
      <c r="D14" s="303" t="s">
        <v>1961</v>
      </c>
      <c r="E14" s="303" t="s">
        <v>1960</v>
      </c>
      <c r="F14" s="303" t="s">
        <v>1967</v>
      </c>
      <c r="G14" s="303" t="s">
        <v>1959</v>
      </c>
      <c r="H14" s="303" t="s">
        <v>1956</v>
      </c>
      <c r="I14" s="304">
        <v>-1140</v>
      </c>
      <c r="J14" s="303" t="s">
        <v>1967</v>
      </c>
      <c r="K14" s="303" t="s">
        <v>2578</v>
      </c>
      <c r="L14" s="303" t="s">
        <v>1956</v>
      </c>
      <c r="M14" s="303" t="s">
        <v>3569</v>
      </c>
      <c r="N14" s="303" t="s">
        <v>1987</v>
      </c>
      <c r="O14" s="303" t="s">
        <v>1986</v>
      </c>
      <c r="P14" s="328">
        <v>43186</v>
      </c>
      <c r="Q14" s="303" t="s">
        <v>1952</v>
      </c>
      <c r="R14" s="303">
        <f t="shared" si="0"/>
        <v>1</v>
      </c>
      <c r="S14" s="303">
        <v>0</v>
      </c>
      <c r="V14" s="300" t="s">
        <v>1403</v>
      </c>
      <c r="W14" s="303">
        <f t="shared" si="1"/>
        <v>0</v>
      </c>
      <c r="X14" s="303">
        <f t="shared" si="2"/>
        <v>0</v>
      </c>
    </row>
    <row r="15" spans="1:24" x14ac:dyDescent="0.2">
      <c r="A15" s="303" t="s">
        <v>3568</v>
      </c>
      <c r="B15" s="303" t="s">
        <v>3567</v>
      </c>
      <c r="C15" s="328">
        <v>43186</v>
      </c>
      <c r="D15" s="303" t="s">
        <v>1965</v>
      </c>
      <c r="E15" s="303" t="s">
        <v>1964</v>
      </c>
      <c r="F15" s="303" t="s">
        <v>1967</v>
      </c>
      <c r="G15" s="303" t="s">
        <v>2544</v>
      </c>
      <c r="H15" s="303" t="s">
        <v>1956</v>
      </c>
      <c r="I15" s="304">
        <v>34830</v>
      </c>
      <c r="J15" s="303" t="s">
        <v>1967</v>
      </c>
      <c r="K15" s="303" t="s">
        <v>1959</v>
      </c>
      <c r="L15" s="303" t="s">
        <v>1956</v>
      </c>
      <c r="M15" s="303" t="s">
        <v>3564</v>
      </c>
      <c r="N15" s="303" t="s">
        <v>1987</v>
      </c>
      <c r="O15" s="303" t="s">
        <v>1986</v>
      </c>
      <c r="P15" s="328">
        <v>43186</v>
      </c>
      <c r="Q15" s="303" t="s">
        <v>1952</v>
      </c>
      <c r="R15" s="303">
        <f t="shared" si="0"/>
        <v>1</v>
      </c>
      <c r="S15" s="303">
        <v>0</v>
      </c>
      <c r="V15" s="300" t="s">
        <v>1406</v>
      </c>
      <c r="W15" s="303">
        <f t="shared" si="1"/>
        <v>0</v>
      </c>
      <c r="X15" s="303">
        <f t="shared" si="2"/>
        <v>0</v>
      </c>
    </row>
    <row r="16" spans="1:24" x14ac:dyDescent="0.2">
      <c r="A16" s="303" t="s">
        <v>3568</v>
      </c>
      <c r="B16" s="303" t="s">
        <v>3567</v>
      </c>
      <c r="C16" s="328">
        <v>43186</v>
      </c>
      <c r="D16" s="303" t="s">
        <v>1961</v>
      </c>
      <c r="E16" s="303" t="s">
        <v>1960</v>
      </c>
      <c r="F16" s="303" t="s">
        <v>1967</v>
      </c>
      <c r="G16" s="303" t="s">
        <v>2544</v>
      </c>
      <c r="H16" s="303" t="s">
        <v>1956</v>
      </c>
      <c r="I16" s="304">
        <v>-34830</v>
      </c>
      <c r="J16" s="303" t="s">
        <v>1967</v>
      </c>
      <c r="K16" s="303" t="s">
        <v>1959</v>
      </c>
      <c r="L16" s="303" t="s">
        <v>1956</v>
      </c>
      <c r="M16" s="303" t="s">
        <v>3564</v>
      </c>
      <c r="N16" s="303" t="s">
        <v>1987</v>
      </c>
      <c r="O16" s="303" t="s">
        <v>1986</v>
      </c>
      <c r="P16" s="328">
        <v>43186</v>
      </c>
      <c r="Q16" s="303" t="s">
        <v>1952</v>
      </c>
      <c r="R16" s="303">
        <f t="shared" si="0"/>
        <v>1</v>
      </c>
      <c r="S16" s="303">
        <v>0</v>
      </c>
      <c r="V16" s="300" t="s">
        <v>1409</v>
      </c>
      <c r="W16" s="303">
        <f t="shared" si="1"/>
        <v>0</v>
      </c>
      <c r="X16" s="303">
        <f t="shared" si="2"/>
        <v>0</v>
      </c>
    </row>
    <row r="17" spans="1:24" x14ac:dyDescent="0.2">
      <c r="A17" s="303" t="s">
        <v>3566</v>
      </c>
      <c r="B17" s="303" t="s">
        <v>3565</v>
      </c>
      <c r="C17" s="328">
        <v>43186</v>
      </c>
      <c r="D17" s="303" t="s">
        <v>1965</v>
      </c>
      <c r="E17" s="303" t="s">
        <v>1964</v>
      </c>
      <c r="F17" s="303" t="s">
        <v>1878</v>
      </c>
      <c r="G17" s="303" t="s">
        <v>2544</v>
      </c>
      <c r="H17" s="303" t="s">
        <v>1956</v>
      </c>
      <c r="I17" s="304">
        <v>5000</v>
      </c>
      <c r="J17" s="303" t="s">
        <v>1846</v>
      </c>
      <c r="K17" s="303" t="s">
        <v>1959</v>
      </c>
      <c r="L17" s="303" t="s">
        <v>1956</v>
      </c>
      <c r="M17" s="303" t="s">
        <v>3564</v>
      </c>
      <c r="N17" s="303" t="s">
        <v>1987</v>
      </c>
      <c r="O17" s="303" t="s">
        <v>1986</v>
      </c>
      <c r="P17" s="328">
        <v>43186</v>
      </c>
      <c r="Q17" s="303" t="s">
        <v>1952</v>
      </c>
      <c r="R17" s="303">
        <f t="shared" si="0"/>
        <v>1</v>
      </c>
      <c r="S17" s="303">
        <v>0</v>
      </c>
      <c r="V17" s="300" t="s">
        <v>1412</v>
      </c>
      <c r="W17" s="303">
        <f t="shared" si="1"/>
        <v>0</v>
      </c>
      <c r="X17" s="303">
        <f t="shared" si="2"/>
        <v>0</v>
      </c>
    </row>
    <row r="18" spans="1:24" x14ac:dyDescent="0.2">
      <c r="A18" s="303" t="s">
        <v>3566</v>
      </c>
      <c r="B18" s="303" t="s">
        <v>3565</v>
      </c>
      <c r="C18" s="328">
        <v>43186</v>
      </c>
      <c r="D18" s="303" t="s">
        <v>1961</v>
      </c>
      <c r="E18" s="303" t="s">
        <v>1960</v>
      </c>
      <c r="F18" s="303" t="s">
        <v>1878</v>
      </c>
      <c r="G18" s="303" t="s">
        <v>2544</v>
      </c>
      <c r="H18" s="303" t="s">
        <v>1956</v>
      </c>
      <c r="I18" s="304">
        <v>-5000</v>
      </c>
      <c r="J18" s="303" t="s">
        <v>1846</v>
      </c>
      <c r="K18" s="303" t="s">
        <v>1959</v>
      </c>
      <c r="L18" s="303" t="s">
        <v>1956</v>
      </c>
      <c r="M18" s="303" t="s">
        <v>3564</v>
      </c>
      <c r="N18" s="303" t="s">
        <v>1987</v>
      </c>
      <c r="O18" s="303" t="s">
        <v>1986</v>
      </c>
      <c r="P18" s="328">
        <v>43186</v>
      </c>
      <c r="Q18" s="303" t="s">
        <v>1952</v>
      </c>
      <c r="R18" s="303">
        <f t="shared" si="0"/>
        <v>1</v>
      </c>
      <c r="S18" s="303">
        <v>0</v>
      </c>
      <c r="V18" s="300" t="s">
        <v>1415</v>
      </c>
      <c r="W18" s="303">
        <f t="shared" si="1"/>
        <v>0</v>
      </c>
      <c r="X18" s="303">
        <f t="shared" si="2"/>
        <v>175980</v>
      </c>
    </row>
    <row r="19" spans="1:24" x14ac:dyDescent="0.2">
      <c r="A19" s="303" t="s">
        <v>3563</v>
      </c>
      <c r="B19" s="303" t="s">
        <v>3562</v>
      </c>
      <c r="C19" s="328">
        <v>43186</v>
      </c>
      <c r="D19" s="303" t="s">
        <v>1965</v>
      </c>
      <c r="E19" s="303" t="s">
        <v>1964</v>
      </c>
      <c r="F19" s="303" t="s">
        <v>1846</v>
      </c>
      <c r="G19" s="303" t="s">
        <v>1959</v>
      </c>
      <c r="H19" s="303" t="s">
        <v>1956</v>
      </c>
      <c r="I19" s="304">
        <v>5000</v>
      </c>
      <c r="J19" s="303" t="s">
        <v>1858</v>
      </c>
      <c r="K19" s="303" t="s">
        <v>2547</v>
      </c>
      <c r="L19" s="303" t="s">
        <v>1956</v>
      </c>
      <c r="M19" s="303" t="s">
        <v>3561</v>
      </c>
      <c r="N19" s="303" t="s">
        <v>1987</v>
      </c>
      <c r="O19" s="303" t="s">
        <v>1986</v>
      </c>
      <c r="P19" s="328">
        <v>43186</v>
      </c>
      <c r="Q19" s="303" t="s">
        <v>1952</v>
      </c>
      <c r="R19" s="303">
        <f t="shared" si="0"/>
        <v>1</v>
      </c>
      <c r="S19" s="303">
        <v>0</v>
      </c>
      <c r="V19" s="300" t="s">
        <v>1418</v>
      </c>
      <c r="W19" s="303">
        <f t="shared" si="1"/>
        <v>0</v>
      </c>
      <c r="X19" s="303">
        <f t="shared" si="2"/>
        <v>21989</v>
      </c>
    </row>
    <row r="20" spans="1:24" x14ac:dyDescent="0.2">
      <c r="A20" s="303" t="s">
        <v>3563</v>
      </c>
      <c r="B20" s="303" t="s">
        <v>3562</v>
      </c>
      <c r="C20" s="328">
        <v>43186</v>
      </c>
      <c r="D20" s="303" t="s">
        <v>1961</v>
      </c>
      <c r="E20" s="303" t="s">
        <v>1960</v>
      </c>
      <c r="F20" s="303" t="s">
        <v>1846</v>
      </c>
      <c r="G20" s="303" t="s">
        <v>1959</v>
      </c>
      <c r="H20" s="303" t="s">
        <v>1956</v>
      </c>
      <c r="I20" s="304">
        <v>-5000</v>
      </c>
      <c r="J20" s="303" t="s">
        <v>1858</v>
      </c>
      <c r="K20" s="303" t="s">
        <v>2547</v>
      </c>
      <c r="L20" s="303" t="s">
        <v>1956</v>
      </c>
      <c r="M20" s="303" t="s">
        <v>3561</v>
      </c>
      <c r="N20" s="303" t="s">
        <v>1987</v>
      </c>
      <c r="O20" s="303" t="s">
        <v>1986</v>
      </c>
      <c r="P20" s="328">
        <v>43186</v>
      </c>
      <c r="Q20" s="303" t="s">
        <v>1952</v>
      </c>
      <c r="R20" s="303">
        <f t="shared" si="0"/>
        <v>1</v>
      </c>
      <c r="S20" s="303">
        <v>0</v>
      </c>
      <c r="V20" s="300" t="s">
        <v>1421</v>
      </c>
      <c r="W20" s="303">
        <f t="shared" si="1"/>
        <v>0</v>
      </c>
      <c r="X20" s="303">
        <f t="shared" si="2"/>
        <v>15899</v>
      </c>
    </row>
    <row r="21" spans="1:24" x14ac:dyDescent="0.2">
      <c r="A21" s="303" t="s">
        <v>3560</v>
      </c>
      <c r="B21" s="303" t="s">
        <v>3559</v>
      </c>
      <c r="C21" s="328">
        <v>43194</v>
      </c>
      <c r="D21" s="303" t="s">
        <v>1965</v>
      </c>
      <c r="E21" s="303" t="s">
        <v>1964</v>
      </c>
      <c r="F21" s="303" t="s">
        <v>1912</v>
      </c>
      <c r="G21" s="303" t="s">
        <v>1382</v>
      </c>
      <c r="H21" s="303" t="s">
        <v>1956</v>
      </c>
      <c r="I21" s="304">
        <v>5875</v>
      </c>
      <c r="J21" s="303" t="s">
        <v>1958</v>
      </c>
      <c r="K21" s="303" t="s">
        <v>1957</v>
      </c>
      <c r="L21" s="303" t="s">
        <v>1956</v>
      </c>
      <c r="M21" s="303" t="s">
        <v>2022</v>
      </c>
      <c r="N21" s="303" t="s">
        <v>1987</v>
      </c>
      <c r="O21" s="303" t="s">
        <v>1986</v>
      </c>
      <c r="P21" s="328">
        <v>43194</v>
      </c>
      <c r="Q21" s="303" t="s">
        <v>1952</v>
      </c>
      <c r="R21" s="303">
        <f t="shared" si="0"/>
        <v>0</v>
      </c>
      <c r="S21" s="303">
        <v>0</v>
      </c>
      <c r="V21" s="300" t="s">
        <v>1424</v>
      </c>
      <c r="W21" s="303">
        <f t="shared" si="1"/>
        <v>0</v>
      </c>
      <c r="X21" s="303">
        <f t="shared" si="2"/>
        <v>31000</v>
      </c>
    </row>
    <row r="22" spans="1:24" x14ac:dyDescent="0.2">
      <c r="A22" s="303" t="s">
        <v>3560</v>
      </c>
      <c r="B22" s="303" t="s">
        <v>3559</v>
      </c>
      <c r="C22" s="328">
        <v>43194</v>
      </c>
      <c r="D22" s="303" t="s">
        <v>1961</v>
      </c>
      <c r="E22" s="303" t="s">
        <v>1960</v>
      </c>
      <c r="F22" s="303" t="s">
        <v>1912</v>
      </c>
      <c r="G22" s="303" t="s">
        <v>1382</v>
      </c>
      <c r="H22" s="303" t="s">
        <v>1956</v>
      </c>
      <c r="I22" s="304">
        <v>-5875</v>
      </c>
      <c r="J22" s="303" t="s">
        <v>1958</v>
      </c>
      <c r="K22" s="303" t="s">
        <v>1957</v>
      </c>
      <c r="L22" s="303" t="s">
        <v>1956</v>
      </c>
      <c r="M22" s="303" t="s">
        <v>2022</v>
      </c>
      <c r="N22" s="303" t="s">
        <v>1987</v>
      </c>
      <c r="O22" s="303" t="s">
        <v>1986</v>
      </c>
      <c r="P22" s="328">
        <v>43194</v>
      </c>
      <c r="Q22" s="303" t="s">
        <v>1952</v>
      </c>
      <c r="R22" s="303">
        <f t="shared" si="0"/>
        <v>0</v>
      </c>
      <c r="S22" s="303">
        <v>0</v>
      </c>
      <c r="V22" s="300" t="s">
        <v>1427</v>
      </c>
      <c r="W22" s="303">
        <f t="shared" si="1"/>
        <v>0</v>
      </c>
      <c r="X22" s="303">
        <f t="shared" si="2"/>
        <v>900</v>
      </c>
    </row>
    <row r="23" spans="1:24" x14ac:dyDescent="0.2">
      <c r="A23" s="303" t="s">
        <v>3558</v>
      </c>
      <c r="B23" s="303" t="s">
        <v>3557</v>
      </c>
      <c r="C23" s="328">
        <v>43194</v>
      </c>
      <c r="D23" s="303" t="s">
        <v>1965</v>
      </c>
      <c r="E23" s="303" t="s">
        <v>1964</v>
      </c>
      <c r="F23" s="303" t="s">
        <v>1912</v>
      </c>
      <c r="G23" s="303" t="s">
        <v>1382</v>
      </c>
      <c r="H23" s="303" t="s">
        <v>1956</v>
      </c>
      <c r="I23" s="304">
        <v>25000</v>
      </c>
      <c r="J23" s="303" t="s">
        <v>1967</v>
      </c>
      <c r="K23" s="303" t="s">
        <v>1382</v>
      </c>
      <c r="L23" s="303" t="s">
        <v>1956</v>
      </c>
      <c r="M23" s="303" t="s">
        <v>2019</v>
      </c>
      <c r="N23" s="303" t="s">
        <v>1987</v>
      </c>
      <c r="O23" s="303" t="s">
        <v>1986</v>
      </c>
      <c r="P23" s="328">
        <v>43194</v>
      </c>
      <c r="Q23" s="303" t="s">
        <v>1952</v>
      </c>
      <c r="R23" s="303">
        <f t="shared" si="0"/>
        <v>0</v>
      </c>
      <c r="S23" s="303">
        <v>0</v>
      </c>
      <c r="V23" s="300" t="s">
        <v>1430</v>
      </c>
      <c r="W23" s="303">
        <f t="shared" si="1"/>
        <v>0</v>
      </c>
      <c r="X23" s="303">
        <f t="shared" si="2"/>
        <v>0</v>
      </c>
    </row>
    <row r="24" spans="1:24" x14ac:dyDescent="0.2">
      <c r="A24" s="303" t="s">
        <v>3558</v>
      </c>
      <c r="B24" s="303" t="s">
        <v>3557</v>
      </c>
      <c r="C24" s="328">
        <v>43194</v>
      </c>
      <c r="D24" s="303" t="s">
        <v>1961</v>
      </c>
      <c r="E24" s="303" t="s">
        <v>1960</v>
      </c>
      <c r="F24" s="303" t="s">
        <v>1912</v>
      </c>
      <c r="G24" s="303" t="s">
        <v>1382</v>
      </c>
      <c r="H24" s="303" t="s">
        <v>1956</v>
      </c>
      <c r="I24" s="304">
        <v>-25000</v>
      </c>
      <c r="J24" s="303" t="s">
        <v>1967</v>
      </c>
      <c r="K24" s="303" t="s">
        <v>1382</v>
      </c>
      <c r="L24" s="303" t="s">
        <v>1956</v>
      </c>
      <c r="M24" s="303" t="s">
        <v>2019</v>
      </c>
      <c r="N24" s="303" t="s">
        <v>1987</v>
      </c>
      <c r="O24" s="303" t="s">
        <v>1986</v>
      </c>
      <c r="P24" s="328">
        <v>43194</v>
      </c>
      <c r="Q24" s="303" t="s">
        <v>1952</v>
      </c>
      <c r="R24" s="303">
        <f t="shared" si="0"/>
        <v>0</v>
      </c>
      <c r="S24" s="303">
        <v>0</v>
      </c>
      <c r="V24" s="300" t="s">
        <v>1433</v>
      </c>
      <c r="W24" s="303">
        <f t="shared" si="1"/>
        <v>0</v>
      </c>
      <c r="X24" s="303">
        <f t="shared" si="2"/>
        <v>1800</v>
      </c>
    </row>
    <row r="25" spans="1:24" x14ac:dyDescent="0.2">
      <c r="A25" s="303" t="s">
        <v>3556</v>
      </c>
      <c r="B25" s="303" t="s">
        <v>3555</v>
      </c>
      <c r="C25" s="328">
        <v>43194</v>
      </c>
      <c r="D25" s="303" t="s">
        <v>1965</v>
      </c>
      <c r="E25" s="303" t="s">
        <v>1964</v>
      </c>
      <c r="F25" s="303" t="s">
        <v>1918</v>
      </c>
      <c r="G25" s="303" t="s">
        <v>2183</v>
      </c>
      <c r="H25" s="303" t="s">
        <v>1956</v>
      </c>
      <c r="I25" s="304">
        <v>170</v>
      </c>
      <c r="J25" s="303" t="s">
        <v>1890</v>
      </c>
      <c r="K25" s="303" t="s">
        <v>1409</v>
      </c>
      <c r="L25" s="303" t="s">
        <v>1956</v>
      </c>
      <c r="M25" s="303" t="s">
        <v>3554</v>
      </c>
      <c r="N25" s="303" t="s">
        <v>1987</v>
      </c>
      <c r="O25" s="303" t="s">
        <v>1986</v>
      </c>
      <c r="P25" s="328">
        <v>43194</v>
      </c>
      <c r="Q25" s="303" t="s">
        <v>1952</v>
      </c>
      <c r="R25" s="303">
        <f t="shared" si="0"/>
        <v>1</v>
      </c>
      <c r="S25" s="303">
        <v>0</v>
      </c>
      <c r="V25" s="300" t="s">
        <v>1436</v>
      </c>
      <c r="W25" s="303">
        <f t="shared" si="1"/>
        <v>-31000</v>
      </c>
      <c r="X25" s="303">
        <f t="shared" si="2"/>
        <v>90000</v>
      </c>
    </row>
    <row r="26" spans="1:24" x14ac:dyDescent="0.2">
      <c r="A26" s="303" t="s">
        <v>3556</v>
      </c>
      <c r="B26" s="303" t="s">
        <v>3555</v>
      </c>
      <c r="C26" s="328">
        <v>43194</v>
      </c>
      <c r="D26" s="303" t="s">
        <v>1961</v>
      </c>
      <c r="E26" s="303" t="s">
        <v>1960</v>
      </c>
      <c r="F26" s="303" t="s">
        <v>1918</v>
      </c>
      <c r="G26" s="303" t="s">
        <v>2183</v>
      </c>
      <c r="H26" s="303" t="s">
        <v>1956</v>
      </c>
      <c r="I26" s="304">
        <v>-170</v>
      </c>
      <c r="J26" s="303" t="s">
        <v>1890</v>
      </c>
      <c r="K26" s="303" t="s">
        <v>1409</v>
      </c>
      <c r="L26" s="303" t="s">
        <v>1956</v>
      </c>
      <c r="M26" s="303" t="s">
        <v>3554</v>
      </c>
      <c r="N26" s="303" t="s">
        <v>1987</v>
      </c>
      <c r="O26" s="303" t="s">
        <v>1986</v>
      </c>
      <c r="P26" s="328">
        <v>43194</v>
      </c>
      <c r="Q26" s="303" t="s">
        <v>1952</v>
      </c>
      <c r="R26" s="303">
        <f t="shared" si="0"/>
        <v>1</v>
      </c>
      <c r="S26" s="303">
        <v>0</v>
      </c>
      <c r="V26" s="300" t="s">
        <v>1439</v>
      </c>
      <c r="W26" s="303">
        <f t="shared" si="1"/>
        <v>-5236</v>
      </c>
      <c r="X26" s="303">
        <f t="shared" si="2"/>
        <v>0</v>
      </c>
    </row>
    <row r="27" spans="1:24" x14ac:dyDescent="0.2">
      <c r="A27" s="303" t="s">
        <v>3553</v>
      </c>
      <c r="B27" s="303" t="s">
        <v>3552</v>
      </c>
      <c r="C27" s="328">
        <v>43194</v>
      </c>
      <c r="D27" s="303" t="s">
        <v>1965</v>
      </c>
      <c r="E27" s="303" t="s">
        <v>1964</v>
      </c>
      <c r="F27" s="303" t="s">
        <v>1683</v>
      </c>
      <c r="G27" s="303" t="s">
        <v>1546</v>
      </c>
      <c r="H27" s="303" t="s">
        <v>1956</v>
      </c>
      <c r="I27" s="304">
        <v>12570</v>
      </c>
      <c r="J27" s="303" t="s">
        <v>1846</v>
      </c>
      <c r="K27" s="303" t="s">
        <v>1959</v>
      </c>
      <c r="L27" s="303" t="s">
        <v>1956</v>
      </c>
      <c r="M27" s="303" t="s">
        <v>3551</v>
      </c>
      <c r="N27" s="303" t="s">
        <v>1987</v>
      </c>
      <c r="O27" s="303" t="s">
        <v>1986</v>
      </c>
      <c r="P27" s="328">
        <v>43194</v>
      </c>
      <c r="Q27" s="303" t="s">
        <v>1952</v>
      </c>
      <c r="R27" s="303">
        <f t="shared" si="0"/>
        <v>1</v>
      </c>
      <c r="S27" s="303">
        <v>0</v>
      </c>
      <c r="V27" s="300" t="s">
        <v>1442</v>
      </c>
      <c r="W27" s="303">
        <f t="shared" si="1"/>
        <v>0</v>
      </c>
      <c r="X27" s="303">
        <f t="shared" si="2"/>
        <v>0</v>
      </c>
    </row>
    <row r="28" spans="1:24" x14ac:dyDescent="0.2">
      <c r="A28" s="303" t="s">
        <v>3553</v>
      </c>
      <c r="B28" s="303" t="s">
        <v>3552</v>
      </c>
      <c r="C28" s="328">
        <v>43194</v>
      </c>
      <c r="D28" s="303" t="s">
        <v>1961</v>
      </c>
      <c r="E28" s="303" t="s">
        <v>1960</v>
      </c>
      <c r="F28" s="303" t="s">
        <v>1683</v>
      </c>
      <c r="G28" s="303" t="s">
        <v>1546</v>
      </c>
      <c r="H28" s="303" t="s">
        <v>1956</v>
      </c>
      <c r="I28" s="304">
        <v>-12570</v>
      </c>
      <c r="J28" s="303" t="s">
        <v>1846</v>
      </c>
      <c r="K28" s="303" t="s">
        <v>1959</v>
      </c>
      <c r="L28" s="303" t="s">
        <v>1956</v>
      </c>
      <c r="M28" s="303" t="s">
        <v>3551</v>
      </c>
      <c r="N28" s="303" t="s">
        <v>1987</v>
      </c>
      <c r="O28" s="303" t="s">
        <v>1986</v>
      </c>
      <c r="P28" s="328">
        <v>43194</v>
      </c>
      <c r="Q28" s="303" t="s">
        <v>1952</v>
      </c>
      <c r="R28" s="303">
        <f t="shared" si="0"/>
        <v>1</v>
      </c>
      <c r="S28" s="303">
        <v>0</v>
      </c>
      <c r="V28" s="300" t="s">
        <v>1445</v>
      </c>
      <c r="W28" s="303">
        <f t="shared" si="1"/>
        <v>-2104</v>
      </c>
      <c r="X28" s="303">
        <f t="shared" si="2"/>
        <v>0</v>
      </c>
    </row>
    <row r="29" spans="1:24" x14ac:dyDescent="0.2">
      <c r="A29" s="303" t="s">
        <v>3550</v>
      </c>
      <c r="B29" s="303" t="s">
        <v>3549</v>
      </c>
      <c r="C29" s="328">
        <v>43194</v>
      </c>
      <c r="D29" s="303" t="s">
        <v>1965</v>
      </c>
      <c r="E29" s="303" t="s">
        <v>1964</v>
      </c>
      <c r="F29" s="303" t="s">
        <v>2014</v>
      </c>
      <c r="G29" s="303" t="s">
        <v>2072</v>
      </c>
      <c r="H29" s="303" t="s">
        <v>1956</v>
      </c>
      <c r="I29" s="304">
        <v>50000</v>
      </c>
      <c r="J29" s="303" t="s">
        <v>1753</v>
      </c>
      <c r="K29" s="303" t="s">
        <v>2112</v>
      </c>
      <c r="L29" s="303" t="s">
        <v>1956</v>
      </c>
      <c r="M29" s="303" t="s">
        <v>3548</v>
      </c>
      <c r="N29" s="303" t="s">
        <v>1987</v>
      </c>
      <c r="O29" s="303" t="s">
        <v>1986</v>
      </c>
      <c r="P29" s="328">
        <v>43194</v>
      </c>
      <c r="Q29" s="303" t="s">
        <v>1952</v>
      </c>
      <c r="R29" s="303">
        <f t="shared" si="0"/>
        <v>1</v>
      </c>
      <c r="S29" s="303">
        <v>0</v>
      </c>
      <c r="V29" s="300" t="s">
        <v>1448</v>
      </c>
      <c r="W29" s="303">
        <f t="shared" si="1"/>
        <v>0</v>
      </c>
      <c r="X29" s="303">
        <f t="shared" si="2"/>
        <v>900</v>
      </c>
    </row>
    <row r="30" spans="1:24" x14ac:dyDescent="0.2">
      <c r="A30" s="303" t="s">
        <v>3550</v>
      </c>
      <c r="B30" s="303" t="s">
        <v>3549</v>
      </c>
      <c r="C30" s="328">
        <v>43194</v>
      </c>
      <c r="D30" s="303" t="s">
        <v>1961</v>
      </c>
      <c r="E30" s="303" t="s">
        <v>1960</v>
      </c>
      <c r="F30" s="303" t="s">
        <v>2014</v>
      </c>
      <c r="G30" s="303" t="s">
        <v>2072</v>
      </c>
      <c r="H30" s="303" t="s">
        <v>1956</v>
      </c>
      <c r="I30" s="304">
        <v>-50000</v>
      </c>
      <c r="J30" s="303" t="s">
        <v>1753</v>
      </c>
      <c r="K30" s="303" t="s">
        <v>2112</v>
      </c>
      <c r="L30" s="303" t="s">
        <v>1956</v>
      </c>
      <c r="M30" s="303" t="s">
        <v>3548</v>
      </c>
      <c r="N30" s="303" t="s">
        <v>1987</v>
      </c>
      <c r="O30" s="303" t="s">
        <v>1986</v>
      </c>
      <c r="P30" s="328">
        <v>43194</v>
      </c>
      <c r="Q30" s="303" t="s">
        <v>1952</v>
      </c>
      <c r="R30" s="303">
        <f t="shared" si="0"/>
        <v>1</v>
      </c>
      <c r="S30" s="303">
        <v>0</v>
      </c>
      <c r="V30" s="300" t="s">
        <v>1451</v>
      </c>
      <c r="W30" s="303">
        <f t="shared" si="1"/>
        <v>-31997</v>
      </c>
      <c r="X30" s="303">
        <f t="shared" si="2"/>
        <v>0</v>
      </c>
    </row>
    <row r="31" spans="1:24" x14ac:dyDescent="0.2">
      <c r="A31" s="303" t="s">
        <v>3547</v>
      </c>
      <c r="B31" s="303" t="s">
        <v>3546</v>
      </c>
      <c r="C31" s="328">
        <v>43194</v>
      </c>
      <c r="D31" s="303" t="s">
        <v>1965</v>
      </c>
      <c r="E31" s="303" t="s">
        <v>1964</v>
      </c>
      <c r="F31" s="303" t="s">
        <v>1759</v>
      </c>
      <c r="G31" s="303" t="s">
        <v>2072</v>
      </c>
      <c r="H31" s="303" t="s">
        <v>1956</v>
      </c>
      <c r="I31" s="304">
        <v>55000</v>
      </c>
      <c r="J31" s="303" t="s">
        <v>1753</v>
      </c>
      <c r="K31" s="303" t="s">
        <v>2112</v>
      </c>
      <c r="L31" s="303" t="s">
        <v>1956</v>
      </c>
      <c r="M31" s="303" t="s">
        <v>3545</v>
      </c>
      <c r="N31" s="303" t="s">
        <v>1987</v>
      </c>
      <c r="O31" s="303" t="s">
        <v>1986</v>
      </c>
      <c r="P31" s="328">
        <v>43194</v>
      </c>
      <c r="Q31" s="303" t="s">
        <v>1952</v>
      </c>
      <c r="R31" s="303">
        <f t="shared" si="0"/>
        <v>1</v>
      </c>
      <c r="S31" s="303">
        <v>0</v>
      </c>
      <c r="V31" s="300" t="s">
        <v>1454</v>
      </c>
      <c r="W31" s="303">
        <f t="shared" si="1"/>
        <v>0</v>
      </c>
      <c r="X31" s="303">
        <f t="shared" si="2"/>
        <v>0</v>
      </c>
    </row>
    <row r="32" spans="1:24" x14ac:dyDescent="0.2">
      <c r="A32" s="303" t="s">
        <v>3547</v>
      </c>
      <c r="B32" s="303" t="s">
        <v>3546</v>
      </c>
      <c r="C32" s="328">
        <v>43194</v>
      </c>
      <c r="D32" s="303" t="s">
        <v>1961</v>
      </c>
      <c r="E32" s="303" t="s">
        <v>1960</v>
      </c>
      <c r="F32" s="303" t="s">
        <v>1759</v>
      </c>
      <c r="G32" s="303" t="s">
        <v>2072</v>
      </c>
      <c r="H32" s="303" t="s">
        <v>1956</v>
      </c>
      <c r="I32" s="304">
        <v>-55000</v>
      </c>
      <c r="J32" s="303" t="s">
        <v>1753</v>
      </c>
      <c r="K32" s="303" t="s">
        <v>2112</v>
      </c>
      <c r="L32" s="303" t="s">
        <v>1956</v>
      </c>
      <c r="M32" s="303" t="s">
        <v>3545</v>
      </c>
      <c r="N32" s="303" t="s">
        <v>1987</v>
      </c>
      <c r="O32" s="303" t="s">
        <v>1986</v>
      </c>
      <c r="P32" s="328">
        <v>43194</v>
      </c>
      <c r="Q32" s="303" t="s">
        <v>1952</v>
      </c>
      <c r="R32" s="303">
        <f t="shared" si="0"/>
        <v>1</v>
      </c>
      <c r="S32" s="303">
        <v>0</v>
      </c>
      <c r="V32" s="300" t="s">
        <v>1457</v>
      </c>
      <c r="W32" s="303">
        <f t="shared" si="1"/>
        <v>0</v>
      </c>
      <c r="X32" s="303">
        <f t="shared" si="2"/>
        <v>0</v>
      </c>
    </row>
    <row r="33" spans="1:24" x14ac:dyDescent="0.2">
      <c r="A33" s="303" t="s">
        <v>3544</v>
      </c>
      <c r="B33" s="303" t="s">
        <v>3543</v>
      </c>
      <c r="C33" s="328">
        <v>43194</v>
      </c>
      <c r="D33" s="303" t="s">
        <v>1965</v>
      </c>
      <c r="E33" s="303" t="s">
        <v>1964</v>
      </c>
      <c r="F33" s="303" t="s">
        <v>1822</v>
      </c>
      <c r="G33" s="303" t="s">
        <v>1433</v>
      </c>
      <c r="H33" s="303" t="s">
        <v>1956</v>
      </c>
      <c r="I33" s="304">
        <v>1200</v>
      </c>
      <c r="J33" s="303" t="s">
        <v>1791</v>
      </c>
      <c r="K33" s="303" t="s">
        <v>2331</v>
      </c>
      <c r="L33" s="303" t="s">
        <v>1956</v>
      </c>
      <c r="M33" s="303" t="s">
        <v>3540</v>
      </c>
      <c r="N33" s="303" t="s">
        <v>1987</v>
      </c>
      <c r="O33" s="303" t="s">
        <v>1986</v>
      </c>
      <c r="P33" s="328">
        <v>43194</v>
      </c>
      <c r="Q33" s="303" t="s">
        <v>1952</v>
      </c>
      <c r="R33" s="303">
        <f t="shared" si="0"/>
        <v>1</v>
      </c>
      <c r="S33" s="303">
        <v>1</v>
      </c>
      <c r="V33" s="300" t="s">
        <v>1460</v>
      </c>
      <c r="W33" s="303">
        <f t="shared" si="1"/>
        <v>0</v>
      </c>
      <c r="X33" s="303">
        <f t="shared" si="2"/>
        <v>0</v>
      </c>
    </row>
    <row r="34" spans="1:24" x14ac:dyDescent="0.2">
      <c r="A34" s="303" t="s">
        <v>3544</v>
      </c>
      <c r="B34" s="303" t="s">
        <v>3543</v>
      </c>
      <c r="C34" s="328">
        <v>43194</v>
      </c>
      <c r="D34" s="303" t="s">
        <v>1961</v>
      </c>
      <c r="E34" s="303" t="s">
        <v>1960</v>
      </c>
      <c r="F34" s="303" t="s">
        <v>1822</v>
      </c>
      <c r="G34" s="303" t="s">
        <v>1433</v>
      </c>
      <c r="H34" s="303" t="s">
        <v>1956</v>
      </c>
      <c r="I34" s="304">
        <v>-1200</v>
      </c>
      <c r="J34" s="303" t="s">
        <v>1791</v>
      </c>
      <c r="K34" s="303" t="s">
        <v>2331</v>
      </c>
      <c r="L34" s="303" t="s">
        <v>1956</v>
      </c>
      <c r="M34" s="303" t="s">
        <v>3540</v>
      </c>
      <c r="N34" s="303" t="s">
        <v>1987</v>
      </c>
      <c r="O34" s="303" t="s">
        <v>1986</v>
      </c>
      <c r="P34" s="328">
        <v>43194</v>
      </c>
      <c r="Q34" s="303" t="s">
        <v>1952</v>
      </c>
      <c r="R34" s="303">
        <f t="shared" si="0"/>
        <v>1</v>
      </c>
      <c r="S34" s="303">
        <v>1</v>
      </c>
      <c r="V34" s="300" t="s">
        <v>1463</v>
      </c>
      <c r="W34" s="303">
        <f t="shared" si="1"/>
        <v>0</v>
      </c>
      <c r="X34" s="303">
        <f t="shared" si="2"/>
        <v>0</v>
      </c>
    </row>
    <row r="35" spans="1:24" x14ac:dyDescent="0.2">
      <c r="A35" s="303" t="s">
        <v>3542</v>
      </c>
      <c r="B35" s="303" t="s">
        <v>3541</v>
      </c>
      <c r="C35" s="328">
        <v>43194</v>
      </c>
      <c r="D35" s="303" t="s">
        <v>1965</v>
      </c>
      <c r="E35" s="303" t="s">
        <v>1964</v>
      </c>
      <c r="F35" s="303" t="s">
        <v>1822</v>
      </c>
      <c r="G35" s="303" t="s">
        <v>1433</v>
      </c>
      <c r="H35" s="303" t="s">
        <v>1956</v>
      </c>
      <c r="I35" s="304">
        <v>600</v>
      </c>
      <c r="J35" s="303" t="s">
        <v>1789</v>
      </c>
      <c r="K35" s="303" t="s">
        <v>2331</v>
      </c>
      <c r="L35" s="303" t="s">
        <v>1956</v>
      </c>
      <c r="M35" s="303" t="s">
        <v>3540</v>
      </c>
      <c r="N35" s="303" t="s">
        <v>1987</v>
      </c>
      <c r="O35" s="303" t="s">
        <v>1986</v>
      </c>
      <c r="P35" s="328">
        <v>43194</v>
      </c>
      <c r="Q35" s="303" t="s">
        <v>1952</v>
      </c>
      <c r="R35" s="303">
        <f t="shared" si="0"/>
        <v>1</v>
      </c>
      <c r="S35" s="303">
        <v>1</v>
      </c>
      <c r="V35" s="300" t="s">
        <v>1466</v>
      </c>
      <c r="W35" s="303">
        <f t="shared" si="1"/>
        <v>0</v>
      </c>
      <c r="X35" s="303">
        <f t="shared" si="2"/>
        <v>0</v>
      </c>
    </row>
    <row r="36" spans="1:24" x14ac:dyDescent="0.2">
      <c r="A36" s="303" t="s">
        <v>3542</v>
      </c>
      <c r="B36" s="303" t="s">
        <v>3541</v>
      </c>
      <c r="C36" s="328">
        <v>43194</v>
      </c>
      <c r="D36" s="303" t="s">
        <v>1961</v>
      </c>
      <c r="E36" s="303" t="s">
        <v>1960</v>
      </c>
      <c r="F36" s="303" t="s">
        <v>1822</v>
      </c>
      <c r="G36" s="303" t="s">
        <v>1433</v>
      </c>
      <c r="H36" s="303" t="s">
        <v>1956</v>
      </c>
      <c r="I36" s="304">
        <v>-600</v>
      </c>
      <c r="J36" s="303" t="s">
        <v>1789</v>
      </c>
      <c r="K36" s="303" t="s">
        <v>2331</v>
      </c>
      <c r="L36" s="303" t="s">
        <v>1956</v>
      </c>
      <c r="M36" s="303" t="s">
        <v>3540</v>
      </c>
      <c r="N36" s="303" t="s">
        <v>1987</v>
      </c>
      <c r="O36" s="303" t="s">
        <v>1986</v>
      </c>
      <c r="P36" s="328">
        <v>43194</v>
      </c>
      <c r="Q36" s="303" t="s">
        <v>1952</v>
      </c>
      <c r="R36" s="303">
        <f t="shared" si="0"/>
        <v>1</v>
      </c>
      <c r="S36" s="303">
        <v>1</v>
      </c>
      <c r="V36" s="300" t="s">
        <v>1469</v>
      </c>
      <c r="W36" s="303">
        <f t="shared" si="1"/>
        <v>0</v>
      </c>
      <c r="X36" s="303">
        <f t="shared" si="2"/>
        <v>0</v>
      </c>
    </row>
    <row r="37" spans="1:24" x14ac:dyDescent="0.2">
      <c r="A37" s="303" t="s">
        <v>3539</v>
      </c>
      <c r="B37" s="303" t="s">
        <v>3538</v>
      </c>
      <c r="C37" s="328">
        <v>43194</v>
      </c>
      <c r="D37" s="303" t="s">
        <v>1965</v>
      </c>
      <c r="E37" s="303" t="s">
        <v>1964</v>
      </c>
      <c r="F37" s="303" t="s">
        <v>1958</v>
      </c>
      <c r="G37" s="303" t="s">
        <v>1957</v>
      </c>
      <c r="H37" s="303" t="s">
        <v>1956</v>
      </c>
      <c r="I37" s="304">
        <v>5875</v>
      </c>
      <c r="J37" s="303" t="s">
        <v>1615</v>
      </c>
      <c r="K37" s="303" t="s">
        <v>1603</v>
      </c>
      <c r="L37" s="303" t="s">
        <v>1956</v>
      </c>
      <c r="M37" s="303" t="s">
        <v>3537</v>
      </c>
      <c r="N37" s="303" t="s">
        <v>1987</v>
      </c>
      <c r="O37" s="303" t="s">
        <v>1986</v>
      </c>
      <c r="P37" s="328">
        <v>43194</v>
      </c>
      <c r="Q37" s="303" t="s">
        <v>1952</v>
      </c>
      <c r="R37" s="303">
        <f t="shared" si="0"/>
        <v>1</v>
      </c>
      <c r="S37" s="303">
        <v>0</v>
      </c>
      <c r="V37" s="300" t="s">
        <v>1472</v>
      </c>
      <c r="W37" s="303">
        <f t="shared" si="1"/>
        <v>0</v>
      </c>
      <c r="X37" s="303">
        <f t="shared" si="2"/>
        <v>625</v>
      </c>
    </row>
    <row r="38" spans="1:24" x14ac:dyDescent="0.2">
      <c r="A38" s="303" t="s">
        <v>3539</v>
      </c>
      <c r="B38" s="303" t="s">
        <v>3538</v>
      </c>
      <c r="C38" s="328">
        <v>43194</v>
      </c>
      <c r="D38" s="303" t="s">
        <v>1961</v>
      </c>
      <c r="E38" s="303" t="s">
        <v>1960</v>
      </c>
      <c r="F38" s="303" t="s">
        <v>1958</v>
      </c>
      <c r="G38" s="303" t="s">
        <v>1957</v>
      </c>
      <c r="H38" s="303" t="s">
        <v>1956</v>
      </c>
      <c r="I38" s="304">
        <v>-5875</v>
      </c>
      <c r="J38" s="303" t="s">
        <v>1615</v>
      </c>
      <c r="K38" s="303" t="s">
        <v>1603</v>
      </c>
      <c r="L38" s="303" t="s">
        <v>1956</v>
      </c>
      <c r="M38" s="303" t="s">
        <v>3537</v>
      </c>
      <c r="N38" s="303" t="s">
        <v>1987</v>
      </c>
      <c r="O38" s="303" t="s">
        <v>1986</v>
      </c>
      <c r="P38" s="328">
        <v>43194</v>
      </c>
      <c r="Q38" s="303" t="s">
        <v>1952</v>
      </c>
      <c r="R38" s="303">
        <f t="shared" si="0"/>
        <v>1</v>
      </c>
      <c r="S38" s="303">
        <v>0</v>
      </c>
      <c r="V38" s="300" t="s">
        <v>1475</v>
      </c>
      <c r="W38" s="303">
        <f t="shared" si="1"/>
        <v>0</v>
      </c>
      <c r="X38" s="303">
        <f t="shared" si="2"/>
        <v>875</v>
      </c>
    </row>
    <row r="39" spans="1:24" x14ac:dyDescent="0.2">
      <c r="A39" s="303" t="s">
        <v>3536</v>
      </c>
      <c r="B39" s="303" t="s">
        <v>3535</v>
      </c>
      <c r="C39" s="328">
        <v>43194</v>
      </c>
      <c r="D39" s="303" t="s">
        <v>1965</v>
      </c>
      <c r="E39" s="303" t="s">
        <v>1964</v>
      </c>
      <c r="F39" s="303" t="s">
        <v>1967</v>
      </c>
      <c r="G39" s="303" t="s">
        <v>1379</v>
      </c>
      <c r="H39" s="303" t="s">
        <v>1956</v>
      </c>
      <c r="I39" s="304">
        <v>25000</v>
      </c>
      <c r="J39" s="303" t="s">
        <v>1615</v>
      </c>
      <c r="K39" s="303" t="s">
        <v>1603</v>
      </c>
      <c r="L39" s="303" t="s">
        <v>1956</v>
      </c>
      <c r="M39" s="303" t="s">
        <v>3534</v>
      </c>
      <c r="N39" s="303" t="s">
        <v>1987</v>
      </c>
      <c r="O39" s="303" t="s">
        <v>1986</v>
      </c>
      <c r="P39" s="328">
        <v>43194</v>
      </c>
      <c r="Q39" s="303" t="s">
        <v>1952</v>
      </c>
      <c r="R39" s="303">
        <f t="shared" si="0"/>
        <v>1</v>
      </c>
      <c r="S39" s="303">
        <v>0</v>
      </c>
      <c r="V39" s="300" t="s">
        <v>1478</v>
      </c>
      <c r="W39" s="303">
        <f t="shared" si="1"/>
        <v>0</v>
      </c>
      <c r="X39" s="303">
        <f t="shared" si="2"/>
        <v>2000</v>
      </c>
    </row>
    <row r="40" spans="1:24" x14ac:dyDescent="0.2">
      <c r="A40" s="303" t="s">
        <v>3536</v>
      </c>
      <c r="B40" s="303" t="s">
        <v>3535</v>
      </c>
      <c r="C40" s="328">
        <v>43194</v>
      </c>
      <c r="D40" s="303" t="s">
        <v>1961</v>
      </c>
      <c r="E40" s="303" t="s">
        <v>1960</v>
      </c>
      <c r="F40" s="303" t="s">
        <v>1967</v>
      </c>
      <c r="G40" s="303" t="s">
        <v>1379</v>
      </c>
      <c r="H40" s="303" t="s">
        <v>1956</v>
      </c>
      <c r="I40" s="304">
        <v>-25000</v>
      </c>
      <c r="J40" s="303" t="s">
        <v>1615</v>
      </c>
      <c r="K40" s="303" t="s">
        <v>1603</v>
      </c>
      <c r="L40" s="303" t="s">
        <v>1956</v>
      </c>
      <c r="M40" s="303" t="s">
        <v>3534</v>
      </c>
      <c r="N40" s="303" t="s">
        <v>1987</v>
      </c>
      <c r="O40" s="303" t="s">
        <v>1986</v>
      </c>
      <c r="P40" s="328">
        <v>43194</v>
      </c>
      <c r="Q40" s="303" t="s">
        <v>1952</v>
      </c>
      <c r="R40" s="303">
        <f t="shared" si="0"/>
        <v>1</v>
      </c>
      <c r="S40" s="303">
        <v>0</v>
      </c>
      <c r="V40" s="300" t="s">
        <v>1481</v>
      </c>
      <c r="W40" s="303">
        <f t="shared" si="1"/>
        <v>-2662</v>
      </c>
      <c r="X40" s="303">
        <f t="shared" si="2"/>
        <v>92590</v>
      </c>
    </row>
    <row r="41" spans="1:24" x14ac:dyDescent="0.2">
      <c r="A41" s="303" t="s">
        <v>3533</v>
      </c>
      <c r="B41" s="303" t="s">
        <v>3532</v>
      </c>
      <c r="C41" s="328">
        <v>43194</v>
      </c>
      <c r="D41" s="303" t="s">
        <v>1965</v>
      </c>
      <c r="E41" s="303" t="s">
        <v>1964</v>
      </c>
      <c r="F41" s="303" t="s">
        <v>1958</v>
      </c>
      <c r="G41" s="303" t="s">
        <v>1957</v>
      </c>
      <c r="H41" s="303" t="s">
        <v>1956</v>
      </c>
      <c r="I41" s="304">
        <v>785</v>
      </c>
      <c r="J41" s="303" t="s">
        <v>1864</v>
      </c>
      <c r="K41" s="303" t="s">
        <v>2867</v>
      </c>
      <c r="L41" s="303" t="s">
        <v>1956</v>
      </c>
      <c r="M41" s="303" t="s">
        <v>2270</v>
      </c>
      <c r="N41" s="303" t="s">
        <v>1987</v>
      </c>
      <c r="O41" s="303" t="s">
        <v>1986</v>
      </c>
      <c r="P41" s="328">
        <v>43194</v>
      </c>
      <c r="Q41" s="303" t="s">
        <v>1952</v>
      </c>
      <c r="R41" s="303">
        <f t="shared" si="0"/>
        <v>0</v>
      </c>
      <c r="S41" s="303">
        <v>0</v>
      </c>
      <c r="V41" s="300" t="s">
        <v>1484</v>
      </c>
      <c r="W41" s="303">
        <f t="shared" si="1"/>
        <v>0</v>
      </c>
      <c r="X41" s="303">
        <f t="shared" si="2"/>
        <v>71570</v>
      </c>
    </row>
    <row r="42" spans="1:24" x14ac:dyDescent="0.2">
      <c r="A42" s="303" t="s">
        <v>3533</v>
      </c>
      <c r="B42" s="303" t="s">
        <v>3532</v>
      </c>
      <c r="C42" s="328">
        <v>43194</v>
      </c>
      <c r="D42" s="303" t="s">
        <v>1961</v>
      </c>
      <c r="E42" s="303" t="s">
        <v>1960</v>
      </c>
      <c r="F42" s="303" t="s">
        <v>1958</v>
      </c>
      <c r="G42" s="303" t="s">
        <v>1957</v>
      </c>
      <c r="H42" s="303" t="s">
        <v>1956</v>
      </c>
      <c r="I42" s="304">
        <v>-785</v>
      </c>
      <c r="J42" s="303" t="s">
        <v>1864</v>
      </c>
      <c r="K42" s="303" t="s">
        <v>2867</v>
      </c>
      <c r="L42" s="303" t="s">
        <v>1956</v>
      </c>
      <c r="M42" s="303" t="s">
        <v>2270</v>
      </c>
      <c r="N42" s="303" t="s">
        <v>1987</v>
      </c>
      <c r="O42" s="303" t="s">
        <v>1986</v>
      </c>
      <c r="P42" s="328">
        <v>43194</v>
      </c>
      <c r="Q42" s="303" t="s">
        <v>1952</v>
      </c>
      <c r="R42" s="303">
        <f t="shared" si="0"/>
        <v>0</v>
      </c>
      <c r="S42" s="303">
        <v>0</v>
      </c>
      <c r="V42" s="300" t="s">
        <v>1487</v>
      </c>
      <c r="W42" s="303">
        <f t="shared" si="1"/>
        <v>0</v>
      </c>
      <c r="X42" s="303">
        <f t="shared" si="2"/>
        <v>10250</v>
      </c>
    </row>
    <row r="43" spans="1:24" x14ac:dyDescent="0.2">
      <c r="A43" s="303" t="s">
        <v>3531</v>
      </c>
      <c r="B43" s="303" t="s">
        <v>3530</v>
      </c>
      <c r="C43" s="328">
        <v>43194</v>
      </c>
      <c r="D43" s="303" t="s">
        <v>1965</v>
      </c>
      <c r="E43" s="303" t="s">
        <v>1964</v>
      </c>
      <c r="F43" s="303" t="s">
        <v>1967</v>
      </c>
      <c r="G43" s="303" t="s">
        <v>2867</v>
      </c>
      <c r="H43" s="303" t="s">
        <v>1956</v>
      </c>
      <c r="I43" s="304">
        <v>3340</v>
      </c>
      <c r="J43" s="303" t="s">
        <v>1864</v>
      </c>
      <c r="K43" s="303" t="s">
        <v>2867</v>
      </c>
      <c r="L43" s="303" t="s">
        <v>1956</v>
      </c>
      <c r="M43" s="303" t="s">
        <v>2267</v>
      </c>
      <c r="N43" s="303" t="s">
        <v>1987</v>
      </c>
      <c r="O43" s="303" t="s">
        <v>1986</v>
      </c>
      <c r="P43" s="328">
        <v>43194</v>
      </c>
      <c r="Q43" s="303" t="s">
        <v>1952</v>
      </c>
      <c r="R43" s="303">
        <f t="shared" si="0"/>
        <v>0</v>
      </c>
      <c r="S43" s="303">
        <v>0</v>
      </c>
      <c r="V43" s="300" t="s">
        <v>1490</v>
      </c>
      <c r="W43" s="303">
        <f t="shared" si="1"/>
        <v>0</v>
      </c>
      <c r="X43" s="303">
        <f t="shared" si="2"/>
        <v>250</v>
      </c>
    </row>
    <row r="44" spans="1:24" x14ac:dyDescent="0.2">
      <c r="A44" s="303" t="s">
        <v>3531</v>
      </c>
      <c r="B44" s="303" t="s">
        <v>3530</v>
      </c>
      <c r="C44" s="328">
        <v>43194</v>
      </c>
      <c r="D44" s="303" t="s">
        <v>1961</v>
      </c>
      <c r="E44" s="303" t="s">
        <v>1960</v>
      </c>
      <c r="F44" s="303" t="s">
        <v>1967</v>
      </c>
      <c r="G44" s="303" t="s">
        <v>2867</v>
      </c>
      <c r="H44" s="303" t="s">
        <v>1956</v>
      </c>
      <c r="I44" s="304">
        <v>-3340</v>
      </c>
      <c r="J44" s="303" t="s">
        <v>1864</v>
      </c>
      <c r="K44" s="303" t="s">
        <v>2867</v>
      </c>
      <c r="L44" s="303" t="s">
        <v>1956</v>
      </c>
      <c r="M44" s="303" t="s">
        <v>2267</v>
      </c>
      <c r="N44" s="303" t="s">
        <v>1987</v>
      </c>
      <c r="O44" s="303" t="s">
        <v>1986</v>
      </c>
      <c r="P44" s="328">
        <v>43194</v>
      </c>
      <c r="Q44" s="303" t="s">
        <v>1952</v>
      </c>
      <c r="R44" s="303">
        <f t="shared" si="0"/>
        <v>0</v>
      </c>
      <c r="S44" s="303">
        <v>0</v>
      </c>
      <c r="V44" s="300" t="s">
        <v>1493</v>
      </c>
      <c r="W44" s="303">
        <f t="shared" si="1"/>
        <v>0</v>
      </c>
      <c r="X44" s="303">
        <f t="shared" si="2"/>
        <v>375</v>
      </c>
    </row>
    <row r="45" spans="1:24" x14ac:dyDescent="0.2">
      <c r="A45" s="303" t="s">
        <v>3529</v>
      </c>
      <c r="B45" s="303" t="s">
        <v>3528</v>
      </c>
      <c r="C45" s="328">
        <v>43194</v>
      </c>
      <c r="D45" s="303" t="s">
        <v>1965</v>
      </c>
      <c r="E45" s="303" t="s">
        <v>1964</v>
      </c>
      <c r="F45" s="303" t="s">
        <v>2014</v>
      </c>
      <c r="G45" s="303" t="s">
        <v>2054</v>
      </c>
      <c r="H45" s="303" t="s">
        <v>1956</v>
      </c>
      <c r="I45" s="304">
        <v>182835</v>
      </c>
      <c r="J45" s="303" t="s">
        <v>2014</v>
      </c>
      <c r="K45" s="303" t="s">
        <v>1959</v>
      </c>
      <c r="L45" s="303" t="s">
        <v>1956</v>
      </c>
      <c r="M45" s="303" t="s">
        <v>3517</v>
      </c>
      <c r="N45" s="303" t="s">
        <v>1987</v>
      </c>
      <c r="O45" s="303" t="s">
        <v>1986</v>
      </c>
      <c r="P45" s="328">
        <v>43194</v>
      </c>
      <c r="Q45" s="303" t="s">
        <v>1952</v>
      </c>
      <c r="R45" s="303">
        <f t="shared" si="0"/>
        <v>0</v>
      </c>
      <c r="S45" s="303">
        <v>0</v>
      </c>
      <c r="V45" s="300" t="s">
        <v>1496</v>
      </c>
      <c r="W45" s="303">
        <f t="shared" si="1"/>
        <v>0</v>
      </c>
      <c r="X45" s="303">
        <f t="shared" si="2"/>
        <v>13729</v>
      </c>
    </row>
    <row r="46" spans="1:24" x14ac:dyDescent="0.2">
      <c r="A46" s="303" t="s">
        <v>3529</v>
      </c>
      <c r="B46" s="303" t="s">
        <v>3528</v>
      </c>
      <c r="C46" s="328">
        <v>43194</v>
      </c>
      <c r="D46" s="303" t="s">
        <v>1961</v>
      </c>
      <c r="E46" s="303" t="s">
        <v>1960</v>
      </c>
      <c r="F46" s="303" t="s">
        <v>2014</v>
      </c>
      <c r="G46" s="303" t="s">
        <v>2054</v>
      </c>
      <c r="H46" s="303" t="s">
        <v>1956</v>
      </c>
      <c r="I46" s="304">
        <v>-182835</v>
      </c>
      <c r="J46" s="303" t="s">
        <v>2014</v>
      </c>
      <c r="K46" s="303" t="s">
        <v>1959</v>
      </c>
      <c r="L46" s="303" t="s">
        <v>1956</v>
      </c>
      <c r="M46" s="303" t="s">
        <v>3517</v>
      </c>
      <c r="N46" s="303" t="s">
        <v>1987</v>
      </c>
      <c r="O46" s="303" t="s">
        <v>1986</v>
      </c>
      <c r="P46" s="328">
        <v>43194</v>
      </c>
      <c r="Q46" s="303" t="s">
        <v>1952</v>
      </c>
      <c r="R46" s="303">
        <f t="shared" si="0"/>
        <v>0</v>
      </c>
      <c r="S46" s="303">
        <v>0</v>
      </c>
      <c r="V46" s="300" t="s">
        <v>1499</v>
      </c>
      <c r="W46" s="303">
        <f t="shared" si="1"/>
        <v>0</v>
      </c>
      <c r="X46" s="303">
        <f t="shared" si="2"/>
        <v>20918</v>
      </c>
    </row>
    <row r="47" spans="1:24" x14ac:dyDescent="0.2">
      <c r="A47" s="303" t="s">
        <v>3527</v>
      </c>
      <c r="B47" s="303" t="s">
        <v>3526</v>
      </c>
      <c r="C47" s="328">
        <v>43194</v>
      </c>
      <c r="D47" s="303" t="s">
        <v>1965</v>
      </c>
      <c r="E47" s="303" t="s">
        <v>1964</v>
      </c>
      <c r="F47" s="303" t="s">
        <v>2014</v>
      </c>
      <c r="G47" s="303" t="s">
        <v>2072</v>
      </c>
      <c r="H47" s="303" t="s">
        <v>1956</v>
      </c>
      <c r="I47" s="304">
        <v>74101</v>
      </c>
      <c r="J47" s="303" t="s">
        <v>2014</v>
      </c>
      <c r="K47" s="303" t="s">
        <v>1959</v>
      </c>
      <c r="L47" s="303" t="s">
        <v>1956</v>
      </c>
      <c r="M47" s="303" t="s">
        <v>3517</v>
      </c>
      <c r="N47" s="303" t="s">
        <v>1987</v>
      </c>
      <c r="O47" s="303" t="s">
        <v>1986</v>
      </c>
      <c r="P47" s="328">
        <v>43194</v>
      </c>
      <c r="Q47" s="303" t="s">
        <v>1952</v>
      </c>
      <c r="R47" s="303">
        <f t="shared" si="0"/>
        <v>0</v>
      </c>
      <c r="S47" s="303">
        <v>0</v>
      </c>
      <c r="V47" s="300" t="s">
        <v>1502</v>
      </c>
      <c r="W47" s="303">
        <f t="shared" si="1"/>
        <v>0</v>
      </c>
      <c r="X47" s="303">
        <f t="shared" si="2"/>
        <v>42703</v>
      </c>
    </row>
    <row r="48" spans="1:24" x14ac:dyDescent="0.2">
      <c r="A48" s="303" t="s">
        <v>3527</v>
      </c>
      <c r="B48" s="303" t="s">
        <v>3526</v>
      </c>
      <c r="C48" s="328">
        <v>43194</v>
      </c>
      <c r="D48" s="303" t="s">
        <v>1961</v>
      </c>
      <c r="E48" s="303" t="s">
        <v>1960</v>
      </c>
      <c r="F48" s="303" t="s">
        <v>2014</v>
      </c>
      <c r="G48" s="303" t="s">
        <v>2072</v>
      </c>
      <c r="H48" s="303" t="s">
        <v>1956</v>
      </c>
      <c r="I48" s="304">
        <v>-74101</v>
      </c>
      <c r="J48" s="303" t="s">
        <v>2014</v>
      </c>
      <c r="K48" s="303" t="s">
        <v>1959</v>
      </c>
      <c r="L48" s="303" t="s">
        <v>1956</v>
      </c>
      <c r="M48" s="303" t="s">
        <v>3517</v>
      </c>
      <c r="N48" s="303" t="s">
        <v>1987</v>
      </c>
      <c r="O48" s="303" t="s">
        <v>1986</v>
      </c>
      <c r="P48" s="328">
        <v>43194</v>
      </c>
      <c r="Q48" s="303" t="s">
        <v>1952</v>
      </c>
      <c r="R48" s="303">
        <f t="shared" si="0"/>
        <v>0</v>
      </c>
      <c r="S48" s="303">
        <v>0</v>
      </c>
      <c r="V48" s="300" t="s">
        <v>1505</v>
      </c>
      <c r="W48" s="303">
        <f t="shared" si="1"/>
        <v>0</v>
      </c>
      <c r="X48" s="303">
        <f t="shared" si="2"/>
        <v>58781</v>
      </c>
    </row>
    <row r="49" spans="1:24" x14ac:dyDescent="0.2">
      <c r="A49" s="303" t="s">
        <v>3525</v>
      </c>
      <c r="B49" s="303" t="s">
        <v>3524</v>
      </c>
      <c r="C49" s="328">
        <v>43194</v>
      </c>
      <c r="D49" s="303" t="s">
        <v>1965</v>
      </c>
      <c r="E49" s="303" t="s">
        <v>1964</v>
      </c>
      <c r="F49" s="303" t="s">
        <v>2014</v>
      </c>
      <c r="G49" s="303" t="s">
        <v>2383</v>
      </c>
      <c r="H49" s="303" t="s">
        <v>1956</v>
      </c>
      <c r="I49" s="304">
        <v>25000</v>
      </c>
      <c r="J49" s="303" t="s">
        <v>2014</v>
      </c>
      <c r="K49" s="303" t="s">
        <v>1959</v>
      </c>
      <c r="L49" s="303" t="s">
        <v>1956</v>
      </c>
      <c r="M49" s="303" t="s">
        <v>3517</v>
      </c>
      <c r="N49" s="303" t="s">
        <v>1987</v>
      </c>
      <c r="O49" s="303" t="s">
        <v>1986</v>
      </c>
      <c r="P49" s="328">
        <v>43194</v>
      </c>
      <c r="Q49" s="303" t="s">
        <v>1952</v>
      </c>
      <c r="R49" s="303">
        <f t="shared" si="0"/>
        <v>0</v>
      </c>
      <c r="S49" s="303">
        <v>0</v>
      </c>
      <c r="V49" s="300" t="s">
        <v>1508</v>
      </c>
      <c r="W49" s="303">
        <f t="shared" si="1"/>
        <v>0</v>
      </c>
      <c r="X49" s="303">
        <f t="shared" si="2"/>
        <v>45565</v>
      </c>
    </row>
    <row r="50" spans="1:24" x14ac:dyDescent="0.2">
      <c r="A50" s="303" t="s">
        <v>3525</v>
      </c>
      <c r="B50" s="303" t="s">
        <v>3524</v>
      </c>
      <c r="C50" s="328">
        <v>43194</v>
      </c>
      <c r="D50" s="303" t="s">
        <v>1961</v>
      </c>
      <c r="E50" s="303" t="s">
        <v>1960</v>
      </c>
      <c r="F50" s="303" t="s">
        <v>2014</v>
      </c>
      <c r="G50" s="303" t="s">
        <v>2383</v>
      </c>
      <c r="H50" s="303" t="s">
        <v>1956</v>
      </c>
      <c r="I50" s="304">
        <v>-25000</v>
      </c>
      <c r="J50" s="303" t="s">
        <v>2014</v>
      </c>
      <c r="K50" s="303" t="s">
        <v>1959</v>
      </c>
      <c r="L50" s="303" t="s">
        <v>1956</v>
      </c>
      <c r="M50" s="303" t="s">
        <v>3517</v>
      </c>
      <c r="N50" s="303" t="s">
        <v>1987</v>
      </c>
      <c r="O50" s="303" t="s">
        <v>1986</v>
      </c>
      <c r="P50" s="328">
        <v>43194</v>
      </c>
      <c r="Q50" s="303" t="s">
        <v>1952</v>
      </c>
      <c r="R50" s="303">
        <f t="shared" si="0"/>
        <v>0</v>
      </c>
      <c r="S50" s="303">
        <v>0</v>
      </c>
      <c r="V50" s="300" t="s">
        <v>1511</v>
      </c>
      <c r="W50" s="303">
        <f t="shared" si="1"/>
        <v>0</v>
      </c>
      <c r="X50" s="303">
        <f t="shared" si="2"/>
        <v>33584</v>
      </c>
    </row>
    <row r="51" spans="1:24" x14ac:dyDescent="0.2">
      <c r="A51" s="303" t="s">
        <v>3523</v>
      </c>
      <c r="B51" s="303" t="s">
        <v>3522</v>
      </c>
      <c r="C51" s="328">
        <v>43194</v>
      </c>
      <c r="D51" s="303" t="s">
        <v>1965</v>
      </c>
      <c r="E51" s="303" t="s">
        <v>1964</v>
      </c>
      <c r="F51" s="303" t="s">
        <v>2014</v>
      </c>
      <c r="G51" s="303" t="s">
        <v>2123</v>
      </c>
      <c r="H51" s="303" t="s">
        <v>1956</v>
      </c>
      <c r="I51" s="304">
        <v>87365</v>
      </c>
      <c r="J51" s="303" t="s">
        <v>2014</v>
      </c>
      <c r="K51" s="303" t="s">
        <v>1959</v>
      </c>
      <c r="L51" s="303" t="s">
        <v>1956</v>
      </c>
      <c r="M51" s="303" t="s">
        <v>3517</v>
      </c>
      <c r="N51" s="303" t="s">
        <v>1987</v>
      </c>
      <c r="O51" s="303" t="s">
        <v>1986</v>
      </c>
      <c r="P51" s="328">
        <v>43194</v>
      </c>
      <c r="Q51" s="303" t="s">
        <v>1952</v>
      </c>
      <c r="R51" s="303">
        <f t="shared" si="0"/>
        <v>0</v>
      </c>
      <c r="S51" s="303">
        <v>0</v>
      </c>
      <c r="V51" s="300" t="s">
        <v>1514</v>
      </c>
      <c r="W51" s="303">
        <f t="shared" si="1"/>
        <v>0</v>
      </c>
      <c r="X51" s="303">
        <f t="shared" si="2"/>
        <v>3385</v>
      </c>
    </row>
    <row r="52" spans="1:24" x14ac:dyDescent="0.2">
      <c r="A52" s="303" t="s">
        <v>3523</v>
      </c>
      <c r="B52" s="303" t="s">
        <v>3522</v>
      </c>
      <c r="C52" s="328">
        <v>43194</v>
      </c>
      <c r="D52" s="303" t="s">
        <v>1961</v>
      </c>
      <c r="E52" s="303" t="s">
        <v>1960</v>
      </c>
      <c r="F52" s="303" t="s">
        <v>2014</v>
      </c>
      <c r="G52" s="303" t="s">
        <v>2123</v>
      </c>
      <c r="H52" s="303" t="s">
        <v>1956</v>
      </c>
      <c r="I52" s="304">
        <v>-87365</v>
      </c>
      <c r="J52" s="303" t="s">
        <v>2014</v>
      </c>
      <c r="K52" s="303" t="s">
        <v>1959</v>
      </c>
      <c r="L52" s="303" t="s">
        <v>1956</v>
      </c>
      <c r="M52" s="303" t="s">
        <v>3517</v>
      </c>
      <c r="N52" s="303" t="s">
        <v>1987</v>
      </c>
      <c r="O52" s="303" t="s">
        <v>1986</v>
      </c>
      <c r="P52" s="328">
        <v>43194</v>
      </c>
      <c r="Q52" s="303" t="s">
        <v>1952</v>
      </c>
      <c r="R52" s="303">
        <f t="shared" si="0"/>
        <v>0</v>
      </c>
      <c r="S52" s="303">
        <v>0</v>
      </c>
      <c r="V52" s="322" t="s">
        <v>1517</v>
      </c>
      <c r="W52" s="303">
        <f t="shared" si="1"/>
        <v>0</v>
      </c>
      <c r="X52" s="303">
        <f t="shared" si="2"/>
        <v>10593</v>
      </c>
    </row>
    <row r="53" spans="1:24" x14ac:dyDescent="0.2">
      <c r="A53" s="303" t="s">
        <v>3521</v>
      </c>
      <c r="B53" s="303" t="s">
        <v>3520</v>
      </c>
      <c r="C53" s="328">
        <v>43194</v>
      </c>
      <c r="D53" s="303" t="s">
        <v>1965</v>
      </c>
      <c r="E53" s="303" t="s">
        <v>1964</v>
      </c>
      <c r="F53" s="303" t="s">
        <v>2014</v>
      </c>
      <c r="G53" s="303" t="s">
        <v>2161</v>
      </c>
      <c r="H53" s="303" t="s">
        <v>1956</v>
      </c>
      <c r="I53" s="304">
        <v>25000</v>
      </c>
      <c r="J53" s="303" t="s">
        <v>2014</v>
      </c>
      <c r="K53" s="303" t="s">
        <v>1959</v>
      </c>
      <c r="L53" s="303" t="s">
        <v>1956</v>
      </c>
      <c r="M53" s="303" t="s">
        <v>3517</v>
      </c>
      <c r="N53" s="303" t="s">
        <v>1987</v>
      </c>
      <c r="O53" s="303" t="s">
        <v>1986</v>
      </c>
      <c r="P53" s="328">
        <v>43194</v>
      </c>
      <c r="Q53" s="303" t="s">
        <v>1952</v>
      </c>
      <c r="R53" s="303">
        <f t="shared" si="0"/>
        <v>0</v>
      </c>
      <c r="S53" s="303">
        <v>0</v>
      </c>
      <c r="V53" s="300" t="s">
        <v>1520</v>
      </c>
      <c r="W53" s="303">
        <f t="shared" si="1"/>
        <v>0</v>
      </c>
      <c r="X53" s="303">
        <f t="shared" si="2"/>
        <v>0</v>
      </c>
    </row>
    <row r="54" spans="1:24" x14ac:dyDescent="0.2">
      <c r="A54" s="303" t="s">
        <v>3521</v>
      </c>
      <c r="B54" s="303" t="s">
        <v>3520</v>
      </c>
      <c r="C54" s="328">
        <v>43194</v>
      </c>
      <c r="D54" s="303" t="s">
        <v>1961</v>
      </c>
      <c r="E54" s="303" t="s">
        <v>1960</v>
      </c>
      <c r="F54" s="303" t="s">
        <v>2014</v>
      </c>
      <c r="G54" s="303" t="s">
        <v>2161</v>
      </c>
      <c r="H54" s="303" t="s">
        <v>1956</v>
      </c>
      <c r="I54" s="304">
        <v>-25000</v>
      </c>
      <c r="J54" s="303" t="s">
        <v>2014</v>
      </c>
      <c r="K54" s="303" t="s">
        <v>1959</v>
      </c>
      <c r="L54" s="303" t="s">
        <v>1956</v>
      </c>
      <c r="M54" s="303" t="s">
        <v>3517</v>
      </c>
      <c r="N54" s="303" t="s">
        <v>1987</v>
      </c>
      <c r="O54" s="303" t="s">
        <v>1986</v>
      </c>
      <c r="P54" s="328">
        <v>43194</v>
      </c>
      <c r="Q54" s="303" t="s">
        <v>1952</v>
      </c>
      <c r="R54" s="303">
        <f t="shared" si="0"/>
        <v>0</v>
      </c>
      <c r="S54" s="303">
        <v>0</v>
      </c>
      <c r="V54" s="300" t="s">
        <v>1523</v>
      </c>
      <c r="W54" s="303">
        <f t="shared" si="1"/>
        <v>0</v>
      </c>
      <c r="X54" s="303">
        <f t="shared" si="2"/>
        <v>0</v>
      </c>
    </row>
    <row r="55" spans="1:24" x14ac:dyDescent="0.2">
      <c r="A55" s="303" t="s">
        <v>3519</v>
      </c>
      <c r="B55" s="303" t="s">
        <v>3518</v>
      </c>
      <c r="C55" s="328">
        <v>43194</v>
      </c>
      <c r="D55" s="303" t="s">
        <v>1965</v>
      </c>
      <c r="E55" s="303" t="s">
        <v>1964</v>
      </c>
      <c r="F55" s="303" t="s">
        <v>2014</v>
      </c>
      <c r="G55" s="303" t="s">
        <v>2071</v>
      </c>
      <c r="H55" s="303" t="s">
        <v>1956</v>
      </c>
      <c r="I55" s="304">
        <v>205699</v>
      </c>
      <c r="J55" s="303" t="s">
        <v>2014</v>
      </c>
      <c r="K55" s="303" t="s">
        <v>1959</v>
      </c>
      <c r="L55" s="303" t="s">
        <v>1956</v>
      </c>
      <c r="M55" s="303" t="s">
        <v>3517</v>
      </c>
      <c r="N55" s="303" t="s">
        <v>1987</v>
      </c>
      <c r="O55" s="303" t="s">
        <v>1986</v>
      </c>
      <c r="P55" s="328">
        <v>43194</v>
      </c>
      <c r="Q55" s="303" t="s">
        <v>1952</v>
      </c>
      <c r="R55" s="303">
        <f t="shared" si="0"/>
        <v>0</v>
      </c>
      <c r="S55" s="303">
        <v>0</v>
      </c>
      <c r="V55" s="300" t="s">
        <v>1526</v>
      </c>
      <c r="W55" s="303">
        <f t="shared" si="1"/>
        <v>0</v>
      </c>
      <c r="X55" s="303">
        <f t="shared" si="2"/>
        <v>30000</v>
      </c>
    </row>
    <row r="56" spans="1:24" x14ac:dyDescent="0.2">
      <c r="A56" s="303" t="s">
        <v>3519</v>
      </c>
      <c r="B56" s="303" t="s">
        <v>3518</v>
      </c>
      <c r="C56" s="328">
        <v>43194</v>
      </c>
      <c r="D56" s="303" t="s">
        <v>1961</v>
      </c>
      <c r="E56" s="303" t="s">
        <v>1960</v>
      </c>
      <c r="F56" s="303" t="s">
        <v>2014</v>
      </c>
      <c r="G56" s="303" t="s">
        <v>2071</v>
      </c>
      <c r="H56" s="303" t="s">
        <v>1956</v>
      </c>
      <c r="I56" s="304">
        <v>-205699</v>
      </c>
      <c r="J56" s="303" t="s">
        <v>2014</v>
      </c>
      <c r="K56" s="303" t="s">
        <v>1959</v>
      </c>
      <c r="L56" s="303" t="s">
        <v>1956</v>
      </c>
      <c r="M56" s="303" t="s">
        <v>3517</v>
      </c>
      <c r="N56" s="303" t="s">
        <v>1987</v>
      </c>
      <c r="O56" s="303" t="s">
        <v>1986</v>
      </c>
      <c r="P56" s="328">
        <v>43194</v>
      </c>
      <c r="Q56" s="303" t="s">
        <v>1952</v>
      </c>
      <c r="R56" s="303">
        <f t="shared" si="0"/>
        <v>0</v>
      </c>
      <c r="S56" s="303">
        <v>0</v>
      </c>
      <c r="V56" s="300" t="s">
        <v>1529</v>
      </c>
      <c r="W56" s="303">
        <f t="shared" si="1"/>
        <v>0</v>
      </c>
      <c r="X56" s="303">
        <f t="shared" si="2"/>
        <v>0</v>
      </c>
    </row>
    <row r="57" spans="1:24" x14ac:dyDescent="0.2">
      <c r="A57" s="303" t="s">
        <v>3516</v>
      </c>
      <c r="B57" s="303" t="s">
        <v>3515</v>
      </c>
      <c r="C57" s="328">
        <v>43196</v>
      </c>
      <c r="D57" s="303" t="s">
        <v>1965</v>
      </c>
      <c r="E57" s="303" t="s">
        <v>1964</v>
      </c>
      <c r="F57" s="303" t="s">
        <v>1846</v>
      </c>
      <c r="G57" s="303" t="s">
        <v>1959</v>
      </c>
      <c r="H57" s="303" t="s">
        <v>1956</v>
      </c>
      <c r="I57" s="304">
        <v>860</v>
      </c>
      <c r="J57" s="303" t="s">
        <v>1801</v>
      </c>
      <c r="K57" s="303" t="s">
        <v>2135</v>
      </c>
      <c r="L57" s="303" t="s">
        <v>1956</v>
      </c>
      <c r="M57" s="303" t="s">
        <v>3299</v>
      </c>
      <c r="N57" s="303" t="s">
        <v>1987</v>
      </c>
      <c r="O57" s="303" t="s">
        <v>1986</v>
      </c>
      <c r="P57" s="328">
        <v>43196</v>
      </c>
      <c r="Q57" s="303" t="s">
        <v>1952</v>
      </c>
      <c r="R57" s="303">
        <f t="shared" si="0"/>
        <v>0</v>
      </c>
      <c r="S57" s="303">
        <v>0</v>
      </c>
      <c r="V57" s="300" t="s">
        <v>1532</v>
      </c>
      <c r="W57" s="303">
        <f t="shared" si="1"/>
        <v>0</v>
      </c>
      <c r="X57" s="303">
        <f t="shared" si="2"/>
        <v>0</v>
      </c>
    </row>
    <row r="58" spans="1:24" x14ac:dyDescent="0.2">
      <c r="A58" s="303" t="s">
        <v>3516</v>
      </c>
      <c r="B58" s="303" t="s">
        <v>3515</v>
      </c>
      <c r="C58" s="328">
        <v>43196</v>
      </c>
      <c r="D58" s="303" t="s">
        <v>1961</v>
      </c>
      <c r="E58" s="303" t="s">
        <v>1960</v>
      </c>
      <c r="F58" s="303" t="s">
        <v>1846</v>
      </c>
      <c r="G58" s="303" t="s">
        <v>1959</v>
      </c>
      <c r="H58" s="303" t="s">
        <v>1956</v>
      </c>
      <c r="I58" s="304">
        <v>-860</v>
      </c>
      <c r="J58" s="303" t="s">
        <v>1801</v>
      </c>
      <c r="K58" s="303" t="s">
        <v>2135</v>
      </c>
      <c r="L58" s="303" t="s">
        <v>1956</v>
      </c>
      <c r="M58" s="303" t="s">
        <v>3299</v>
      </c>
      <c r="N58" s="303" t="s">
        <v>1987</v>
      </c>
      <c r="O58" s="303" t="s">
        <v>1986</v>
      </c>
      <c r="P58" s="328">
        <v>43196</v>
      </c>
      <c r="Q58" s="303" t="s">
        <v>1952</v>
      </c>
      <c r="R58" s="303">
        <f t="shared" si="0"/>
        <v>0</v>
      </c>
      <c r="S58" s="303">
        <v>0</v>
      </c>
      <c r="V58" s="300" t="s">
        <v>1535</v>
      </c>
      <c r="W58" s="303">
        <f t="shared" si="1"/>
        <v>0</v>
      </c>
      <c r="X58" s="303">
        <f t="shared" si="2"/>
        <v>2113</v>
      </c>
    </row>
    <row r="59" spans="1:24" x14ac:dyDescent="0.2">
      <c r="A59" s="303" t="s">
        <v>3514</v>
      </c>
      <c r="B59" s="303" t="s">
        <v>3513</v>
      </c>
      <c r="C59" s="328">
        <v>43196</v>
      </c>
      <c r="D59" s="303" t="s">
        <v>1965</v>
      </c>
      <c r="E59" s="303" t="s">
        <v>1964</v>
      </c>
      <c r="F59" s="303" t="s">
        <v>1846</v>
      </c>
      <c r="G59" s="303" t="s">
        <v>1959</v>
      </c>
      <c r="H59" s="303" t="s">
        <v>1956</v>
      </c>
      <c r="I59" s="304">
        <v>900</v>
      </c>
      <c r="J59" s="303" t="s">
        <v>1803</v>
      </c>
      <c r="K59" s="303" t="s">
        <v>1451</v>
      </c>
      <c r="L59" s="303" t="s">
        <v>1956</v>
      </c>
      <c r="M59" s="303" t="s">
        <v>3299</v>
      </c>
      <c r="N59" s="303" t="s">
        <v>1987</v>
      </c>
      <c r="O59" s="303" t="s">
        <v>1986</v>
      </c>
      <c r="P59" s="328">
        <v>43196</v>
      </c>
      <c r="Q59" s="303" t="s">
        <v>1952</v>
      </c>
      <c r="R59" s="303">
        <f t="shared" si="0"/>
        <v>0</v>
      </c>
      <c r="S59" s="303">
        <v>0</v>
      </c>
      <c r="V59" s="300" t="s">
        <v>1537</v>
      </c>
      <c r="W59" s="303">
        <f t="shared" si="1"/>
        <v>0</v>
      </c>
      <c r="X59" s="303">
        <f t="shared" si="2"/>
        <v>6037</v>
      </c>
    </row>
    <row r="60" spans="1:24" x14ac:dyDescent="0.2">
      <c r="A60" s="303" t="s">
        <v>3514</v>
      </c>
      <c r="B60" s="303" t="s">
        <v>3513</v>
      </c>
      <c r="C60" s="328">
        <v>43196</v>
      </c>
      <c r="D60" s="303" t="s">
        <v>1961</v>
      </c>
      <c r="E60" s="303" t="s">
        <v>1960</v>
      </c>
      <c r="F60" s="303" t="s">
        <v>1846</v>
      </c>
      <c r="G60" s="303" t="s">
        <v>1959</v>
      </c>
      <c r="H60" s="303" t="s">
        <v>1956</v>
      </c>
      <c r="I60" s="304">
        <v>-900</v>
      </c>
      <c r="J60" s="303" t="s">
        <v>1803</v>
      </c>
      <c r="K60" s="303" t="s">
        <v>1451</v>
      </c>
      <c r="L60" s="303" t="s">
        <v>1956</v>
      </c>
      <c r="M60" s="303" t="s">
        <v>3299</v>
      </c>
      <c r="N60" s="303" t="s">
        <v>1987</v>
      </c>
      <c r="O60" s="303" t="s">
        <v>1986</v>
      </c>
      <c r="P60" s="328">
        <v>43196</v>
      </c>
      <c r="Q60" s="303" t="s">
        <v>1952</v>
      </c>
      <c r="R60" s="303">
        <f t="shared" si="0"/>
        <v>0</v>
      </c>
      <c r="S60" s="303">
        <v>0</v>
      </c>
      <c r="V60" s="300" t="s">
        <v>1540</v>
      </c>
      <c r="W60" s="303">
        <f t="shared" si="1"/>
        <v>0</v>
      </c>
      <c r="X60" s="303">
        <f t="shared" si="2"/>
        <v>0</v>
      </c>
    </row>
    <row r="61" spans="1:24" x14ac:dyDescent="0.2">
      <c r="A61" s="303" t="s">
        <v>3512</v>
      </c>
      <c r="B61" s="303" t="s">
        <v>3511</v>
      </c>
      <c r="C61" s="328">
        <v>43196</v>
      </c>
      <c r="D61" s="303" t="s">
        <v>1965</v>
      </c>
      <c r="E61" s="303" t="s">
        <v>1964</v>
      </c>
      <c r="F61" s="303" t="s">
        <v>1846</v>
      </c>
      <c r="G61" s="303" t="s">
        <v>1959</v>
      </c>
      <c r="H61" s="303" t="s">
        <v>1956</v>
      </c>
      <c r="I61" s="304">
        <v>5230</v>
      </c>
      <c r="J61" s="303" t="s">
        <v>1805</v>
      </c>
      <c r="K61" s="303" t="s">
        <v>2150</v>
      </c>
      <c r="L61" s="303" t="s">
        <v>1956</v>
      </c>
      <c r="M61" s="303" t="s">
        <v>3299</v>
      </c>
      <c r="N61" s="303" t="s">
        <v>1987</v>
      </c>
      <c r="O61" s="303" t="s">
        <v>1986</v>
      </c>
      <c r="P61" s="328">
        <v>43196</v>
      </c>
      <c r="Q61" s="303" t="s">
        <v>1952</v>
      </c>
      <c r="R61" s="303">
        <f t="shared" si="0"/>
        <v>0</v>
      </c>
      <c r="S61" s="303">
        <v>0</v>
      </c>
      <c r="V61" s="300" t="s">
        <v>1543</v>
      </c>
      <c r="W61" s="303">
        <f t="shared" si="1"/>
        <v>-8813</v>
      </c>
      <c r="X61" s="303">
        <f t="shared" si="2"/>
        <v>8000</v>
      </c>
    </row>
    <row r="62" spans="1:24" x14ac:dyDescent="0.2">
      <c r="A62" s="303" t="s">
        <v>3512</v>
      </c>
      <c r="B62" s="303" t="s">
        <v>3511</v>
      </c>
      <c r="C62" s="328">
        <v>43196</v>
      </c>
      <c r="D62" s="303" t="s">
        <v>1961</v>
      </c>
      <c r="E62" s="303" t="s">
        <v>1960</v>
      </c>
      <c r="F62" s="303" t="s">
        <v>1846</v>
      </c>
      <c r="G62" s="303" t="s">
        <v>1959</v>
      </c>
      <c r="H62" s="303" t="s">
        <v>1956</v>
      </c>
      <c r="I62" s="304">
        <v>-5230</v>
      </c>
      <c r="J62" s="303" t="s">
        <v>1805</v>
      </c>
      <c r="K62" s="303" t="s">
        <v>2150</v>
      </c>
      <c r="L62" s="303" t="s">
        <v>1956</v>
      </c>
      <c r="M62" s="303" t="s">
        <v>3299</v>
      </c>
      <c r="N62" s="303" t="s">
        <v>1987</v>
      </c>
      <c r="O62" s="303" t="s">
        <v>1986</v>
      </c>
      <c r="P62" s="328">
        <v>43196</v>
      </c>
      <c r="Q62" s="303" t="s">
        <v>1952</v>
      </c>
      <c r="R62" s="303">
        <f t="shared" si="0"/>
        <v>0</v>
      </c>
      <c r="S62" s="303">
        <v>0</v>
      </c>
      <c r="V62" s="300" t="s">
        <v>1546</v>
      </c>
      <c r="W62" s="303">
        <f t="shared" si="1"/>
        <v>0</v>
      </c>
      <c r="X62" s="303">
        <f t="shared" si="2"/>
        <v>0</v>
      </c>
    </row>
    <row r="63" spans="1:24" x14ac:dyDescent="0.2">
      <c r="A63" s="303" t="s">
        <v>3510</v>
      </c>
      <c r="B63" s="303" t="s">
        <v>3509</v>
      </c>
      <c r="C63" s="328">
        <v>43196</v>
      </c>
      <c r="D63" s="303" t="s">
        <v>1965</v>
      </c>
      <c r="E63" s="303" t="s">
        <v>1964</v>
      </c>
      <c r="F63" s="303" t="s">
        <v>1846</v>
      </c>
      <c r="G63" s="303" t="s">
        <v>1959</v>
      </c>
      <c r="H63" s="303" t="s">
        <v>1956</v>
      </c>
      <c r="I63" s="304">
        <v>28190</v>
      </c>
      <c r="J63" s="303" t="s">
        <v>1807</v>
      </c>
      <c r="K63" s="303" t="s">
        <v>1448</v>
      </c>
      <c r="L63" s="303" t="s">
        <v>1956</v>
      </c>
      <c r="M63" s="303" t="s">
        <v>3299</v>
      </c>
      <c r="N63" s="303" t="s">
        <v>1987</v>
      </c>
      <c r="O63" s="303" t="s">
        <v>1986</v>
      </c>
      <c r="P63" s="328">
        <v>43196</v>
      </c>
      <c r="Q63" s="303" t="s">
        <v>1952</v>
      </c>
      <c r="R63" s="303">
        <f t="shared" si="0"/>
        <v>0</v>
      </c>
      <c r="S63" s="303">
        <v>0</v>
      </c>
      <c r="V63" s="300" t="s">
        <v>1549</v>
      </c>
      <c r="W63" s="303">
        <f t="shared" si="1"/>
        <v>0</v>
      </c>
      <c r="X63" s="303">
        <f t="shared" si="2"/>
        <v>58860</v>
      </c>
    </row>
    <row r="64" spans="1:24" x14ac:dyDescent="0.2">
      <c r="A64" s="303" t="s">
        <v>3510</v>
      </c>
      <c r="B64" s="303" t="s">
        <v>3509</v>
      </c>
      <c r="C64" s="328">
        <v>43196</v>
      </c>
      <c r="D64" s="303" t="s">
        <v>1961</v>
      </c>
      <c r="E64" s="303" t="s">
        <v>1960</v>
      </c>
      <c r="F64" s="303" t="s">
        <v>1846</v>
      </c>
      <c r="G64" s="303" t="s">
        <v>1959</v>
      </c>
      <c r="H64" s="303" t="s">
        <v>1956</v>
      </c>
      <c r="I64" s="304">
        <v>-28190</v>
      </c>
      <c r="J64" s="303" t="s">
        <v>1807</v>
      </c>
      <c r="K64" s="303" t="s">
        <v>1448</v>
      </c>
      <c r="L64" s="303" t="s">
        <v>1956</v>
      </c>
      <c r="M64" s="303" t="s">
        <v>3299</v>
      </c>
      <c r="N64" s="303" t="s">
        <v>1987</v>
      </c>
      <c r="O64" s="303" t="s">
        <v>1986</v>
      </c>
      <c r="P64" s="328">
        <v>43196</v>
      </c>
      <c r="Q64" s="303" t="s">
        <v>1952</v>
      </c>
      <c r="R64" s="303">
        <f t="shared" si="0"/>
        <v>0</v>
      </c>
      <c r="S64" s="303">
        <v>0</v>
      </c>
      <c r="V64" s="300" t="s">
        <v>1552</v>
      </c>
      <c r="W64" s="303">
        <f t="shared" si="1"/>
        <v>0</v>
      </c>
      <c r="X64" s="303">
        <f t="shared" si="2"/>
        <v>25322</v>
      </c>
    </row>
    <row r="65" spans="1:24" x14ac:dyDescent="0.2">
      <c r="A65" s="303" t="s">
        <v>3508</v>
      </c>
      <c r="B65" s="303" t="s">
        <v>3507</v>
      </c>
      <c r="C65" s="328">
        <v>43196</v>
      </c>
      <c r="D65" s="303" t="s">
        <v>1965</v>
      </c>
      <c r="E65" s="303" t="s">
        <v>1964</v>
      </c>
      <c r="F65" s="303" t="s">
        <v>1846</v>
      </c>
      <c r="G65" s="303" t="s">
        <v>1959</v>
      </c>
      <c r="H65" s="303" t="s">
        <v>1956</v>
      </c>
      <c r="I65" s="304">
        <v>14470</v>
      </c>
      <c r="J65" s="303" t="s">
        <v>1811</v>
      </c>
      <c r="K65" s="303" t="s">
        <v>1442</v>
      </c>
      <c r="L65" s="303" t="s">
        <v>1956</v>
      </c>
      <c r="M65" s="303" t="s">
        <v>3299</v>
      </c>
      <c r="N65" s="303" t="s">
        <v>1987</v>
      </c>
      <c r="O65" s="303" t="s">
        <v>1986</v>
      </c>
      <c r="P65" s="328">
        <v>43196</v>
      </c>
      <c r="Q65" s="303" t="s">
        <v>1952</v>
      </c>
      <c r="R65" s="303">
        <f t="shared" si="0"/>
        <v>0</v>
      </c>
      <c r="S65" s="303">
        <v>0</v>
      </c>
      <c r="V65" s="300" t="s">
        <v>1555</v>
      </c>
      <c r="W65" s="303">
        <f t="shared" si="1"/>
        <v>0</v>
      </c>
      <c r="X65" s="303">
        <f t="shared" si="2"/>
        <v>0</v>
      </c>
    </row>
    <row r="66" spans="1:24" x14ac:dyDescent="0.2">
      <c r="A66" s="303" t="s">
        <v>3508</v>
      </c>
      <c r="B66" s="303" t="s">
        <v>3507</v>
      </c>
      <c r="C66" s="328">
        <v>43196</v>
      </c>
      <c r="D66" s="303" t="s">
        <v>1961</v>
      </c>
      <c r="E66" s="303" t="s">
        <v>1960</v>
      </c>
      <c r="F66" s="303" t="s">
        <v>1846</v>
      </c>
      <c r="G66" s="303" t="s">
        <v>1959</v>
      </c>
      <c r="H66" s="303" t="s">
        <v>1956</v>
      </c>
      <c r="I66" s="304">
        <v>-14470</v>
      </c>
      <c r="J66" s="303" t="s">
        <v>1811</v>
      </c>
      <c r="K66" s="303" t="s">
        <v>1442</v>
      </c>
      <c r="L66" s="303" t="s">
        <v>1956</v>
      </c>
      <c r="M66" s="303" t="s">
        <v>3299</v>
      </c>
      <c r="N66" s="303" t="s">
        <v>1987</v>
      </c>
      <c r="O66" s="303" t="s">
        <v>1986</v>
      </c>
      <c r="P66" s="328">
        <v>43196</v>
      </c>
      <c r="Q66" s="303" t="s">
        <v>1952</v>
      </c>
      <c r="R66" s="303">
        <f t="shared" si="0"/>
        <v>0</v>
      </c>
      <c r="S66" s="303">
        <v>0</v>
      </c>
      <c r="V66" s="300" t="s">
        <v>1558</v>
      </c>
      <c r="W66" s="303">
        <f t="shared" si="1"/>
        <v>0</v>
      </c>
      <c r="X66" s="303">
        <f t="shared" si="2"/>
        <v>0</v>
      </c>
    </row>
    <row r="67" spans="1:24" x14ac:dyDescent="0.2">
      <c r="A67" s="303" t="s">
        <v>3506</v>
      </c>
      <c r="B67" s="303" t="s">
        <v>3505</v>
      </c>
      <c r="C67" s="328">
        <v>43196</v>
      </c>
      <c r="D67" s="303" t="s">
        <v>1965</v>
      </c>
      <c r="E67" s="303" t="s">
        <v>1964</v>
      </c>
      <c r="F67" s="303" t="s">
        <v>1846</v>
      </c>
      <c r="G67" s="303" t="s">
        <v>1959</v>
      </c>
      <c r="H67" s="303" t="s">
        <v>1956</v>
      </c>
      <c r="I67" s="304">
        <v>33850</v>
      </c>
      <c r="J67" s="303" t="s">
        <v>1824</v>
      </c>
      <c r="K67" s="303" t="s">
        <v>1433</v>
      </c>
      <c r="L67" s="303" t="s">
        <v>1956</v>
      </c>
      <c r="M67" s="303" t="s">
        <v>3299</v>
      </c>
      <c r="N67" s="303" t="s">
        <v>1987</v>
      </c>
      <c r="O67" s="303" t="s">
        <v>1986</v>
      </c>
      <c r="P67" s="328">
        <v>43196</v>
      </c>
      <c r="Q67" s="303" t="s">
        <v>1952</v>
      </c>
      <c r="R67" s="303">
        <f t="shared" ref="R67:R130" si="3">IF(OR(M67="transfert de B vers A",M67="transfert de B vers D",M67="transfert de A vers B",M67="transfert de D vers B",M67="carryover 2017 -&gt; 2018",IF(ISERR(SEARCH("fidélité",M67)),FALSE,TRUE),M67="Fermeture STI-FORM",M67="répartition AE/AC"),0,1)</f>
        <v>0</v>
      </c>
      <c r="S67" s="303">
        <v>0</v>
      </c>
      <c r="V67" s="300" t="s">
        <v>1561</v>
      </c>
      <c r="W67" s="303">
        <f t="shared" ref="W67:W82" si="4">SUMIFS($I$2:$I$1136,$S$2:$S$1136,1,$K$2:$K$1136,$V67,$E$2:$E$1136,"Transfert émis")</f>
        <v>-13987</v>
      </c>
      <c r="X67" s="303">
        <f t="shared" ref="X67:X82" si="5">SUMIFS($I$2:$I$1136,$S$2:$S$1136,1,$G$2:$G$1136,$V67,$E$2:$E$1136,"Transfert reçu")</f>
        <v>14952</v>
      </c>
    </row>
    <row r="68" spans="1:24" x14ac:dyDescent="0.2">
      <c r="A68" s="303" t="s">
        <v>3506</v>
      </c>
      <c r="B68" s="303" t="s">
        <v>3505</v>
      </c>
      <c r="C68" s="328">
        <v>43196</v>
      </c>
      <c r="D68" s="303" t="s">
        <v>1961</v>
      </c>
      <c r="E68" s="303" t="s">
        <v>1960</v>
      </c>
      <c r="F68" s="303" t="s">
        <v>1846</v>
      </c>
      <c r="G68" s="303" t="s">
        <v>1959</v>
      </c>
      <c r="H68" s="303" t="s">
        <v>1956</v>
      </c>
      <c r="I68" s="304">
        <v>-33850</v>
      </c>
      <c r="J68" s="303" t="s">
        <v>1824</v>
      </c>
      <c r="K68" s="303" t="s">
        <v>1433</v>
      </c>
      <c r="L68" s="303" t="s">
        <v>1956</v>
      </c>
      <c r="M68" s="303" t="s">
        <v>3299</v>
      </c>
      <c r="N68" s="303" t="s">
        <v>1987</v>
      </c>
      <c r="O68" s="303" t="s">
        <v>1986</v>
      </c>
      <c r="P68" s="328">
        <v>43196</v>
      </c>
      <c r="Q68" s="303" t="s">
        <v>1952</v>
      </c>
      <c r="R68" s="303">
        <f t="shared" si="3"/>
        <v>0</v>
      </c>
      <c r="S68" s="303">
        <v>0</v>
      </c>
      <c r="V68" s="300" t="s">
        <v>1564</v>
      </c>
      <c r="W68" s="303">
        <f t="shared" si="4"/>
        <v>0</v>
      </c>
      <c r="X68" s="303">
        <f t="shared" si="5"/>
        <v>0</v>
      </c>
    </row>
    <row r="69" spans="1:24" x14ac:dyDescent="0.2">
      <c r="A69" s="303" t="s">
        <v>3504</v>
      </c>
      <c r="B69" s="303" t="s">
        <v>3503</v>
      </c>
      <c r="C69" s="328">
        <v>43196</v>
      </c>
      <c r="D69" s="303" t="s">
        <v>1965</v>
      </c>
      <c r="E69" s="303" t="s">
        <v>1964</v>
      </c>
      <c r="F69" s="303" t="s">
        <v>1846</v>
      </c>
      <c r="G69" s="303" t="s">
        <v>1959</v>
      </c>
      <c r="H69" s="303" t="s">
        <v>1956</v>
      </c>
      <c r="I69" s="304">
        <v>6790</v>
      </c>
      <c r="J69" s="303" t="s">
        <v>1832</v>
      </c>
      <c r="K69" s="303" t="s">
        <v>1427</v>
      </c>
      <c r="L69" s="303" t="s">
        <v>1956</v>
      </c>
      <c r="M69" s="303" t="s">
        <v>3299</v>
      </c>
      <c r="N69" s="303" t="s">
        <v>1987</v>
      </c>
      <c r="O69" s="303" t="s">
        <v>1986</v>
      </c>
      <c r="P69" s="328">
        <v>43196</v>
      </c>
      <c r="Q69" s="303" t="s">
        <v>1952</v>
      </c>
      <c r="R69" s="303">
        <f t="shared" si="3"/>
        <v>0</v>
      </c>
      <c r="S69" s="303">
        <v>0</v>
      </c>
      <c r="V69" s="300" t="s">
        <v>1567</v>
      </c>
      <c r="W69" s="303">
        <f t="shared" si="4"/>
        <v>0</v>
      </c>
      <c r="X69" s="303">
        <f t="shared" si="5"/>
        <v>0</v>
      </c>
    </row>
    <row r="70" spans="1:24" x14ac:dyDescent="0.2">
      <c r="A70" s="303" t="s">
        <v>3504</v>
      </c>
      <c r="B70" s="303" t="s">
        <v>3503</v>
      </c>
      <c r="C70" s="328">
        <v>43196</v>
      </c>
      <c r="D70" s="303" t="s">
        <v>1961</v>
      </c>
      <c r="E70" s="303" t="s">
        <v>1960</v>
      </c>
      <c r="F70" s="303" t="s">
        <v>1846</v>
      </c>
      <c r="G70" s="303" t="s">
        <v>1959</v>
      </c>
      <c r="H70" s="303" t="s">
        <v>1956</v>
      </c>
      <c r="I70" s="304">
        <v>-6790</v>
      </c>
      <c r="J70" s="303" t="s">
        <v>1832</v>
      </c>
      <c r="K70" s="303" t="s">
        <v>1427</v>
      </c>
      <c r="L70" s="303" t="s">
        <v>1956</v>
      </c>
      <c r="M70" s="303" t="s">
        <v>3299</v>
      </c>
      <c r="N70" s="303" t="s">
        <v>1987</v>
      </c>
      <c r="O70" s="303" t="s">
        <v>1986</v>
      </c>
      <c r="P70" s="328">
        <v>43196</v>
      </c>
      <c r="Q70" s="303" t="s">
        <v>1952</v>
      </c>
      <c r="R70" s="303">
        <f t="shared" si="3"/>
        <v>0</v>
      </c>
      <c r="S70" s="303">
        <v>0</v>
      </c>
      <c r="V70" s="300" t="s">
        <v>1570</v>
      </c>
      <c r="W70" s="303">
        <f t="shared" si="4"/>
        <v>0</v>
      </c>
      <c r="X70" s="303">
        <f t="shared" si="5"/>
        <v>0</v>
      </c>
    </row>
    <row r="71" spans="1:24" x14ac:dyDescent="0.2">
      <c r="A71" s="303" t="s">
        <v>3502</v>
      </c>
      <c r="B71" s="303" t="s">
        <v>3501</v>
      </c>
      <c r="C71" s="328">
        <v>43196</v>
      </c>
      <c r="D71" s="303" t="s">
        <v>1965</v>
      </c>
      <c r="E71" s="303" t="s">
        <v>1964</v>
      </c>
      <c r="F71" s="303" t="s">
        <v>1846</v>
      </c>
      <c r="G71" s="303" t="s">
        <v>1959</v>
      </c>
      <c r="H71" s="303" t="s">
        <v>1956</v>
      </c>
      <c r="I71" s="304">
        <v>7360</v>
      </c>
      <c r="J71" s="303" t="s">
        <v>1836</v>
      </c>
      <c r="K71" s="303" t="s">
        <v>1424</v>
      </c>
      <c r="L71" s="303" t="s">
        <v>1956</v>
      </c>
      <c r="M71" s="303" t="s">
        <v>3299</v>
      </c>
      <c r="N71" s="303" t="s">
        <v>1987</v>
      </c>
      <c r="O71" s="303" t="s">
        <v>1986</v>
      </c>
      <c r="P71" s="328">
        <v>43196</v>
      </c>
      <c r="Q71" s="303" t="s">
        <v>1952</v>
      </c>
      <c r="R71" s="303">
        <f t="shared" si="3"/>
        <v>0</v>
      </c>
      <c r="S71" s="303">
        <v>0</v>
      </c>
      <c r="V71" s="300" t="s">
        <v>1573</v>
      </c>
      <c r="W71" s="303">
        <f t="shared" si="4"/>
        <v>0</v>
      </c>
      <c r="X71" s="303">
        <f t="shared" si="5"/>
        <v>0</v>
      </c>
    </row>
    <row r="72" spans="1:24" x14ac:dyDescent="0.2">
      <c r="A72" s="303" t="s">
        <v>3502</v>
      </c>
      <c r="B72" s="303" t="s">
        <v>3501</v>
      </c>
      <c r="C72" s="328">
        <v>43196</v>
      </c>
      <c r="D72" s="303" t="s">
        <v>1961</v>
      </c>
      <c r="E72" s="303" t="s">
        <v>1960</v>
      </c>
      <c r="F72" s="303" t="s">
        <v>1846</v>
      </c>
      <c r="G72" s="303" t="s">
        <v>1959</v>
      </c>
      <c r="H72" s="303" t="s">
        <v>1956</v>
      </c>
      <c r="I72" s="304">
        <v>-7360</v>
      </c>
      <c r="J72" s="303" t="s">
        <v>1836</v>
      </c>
      <c r="K72" s="303" t="s">
        <v>1424</v>
      </c>
      <c r="L72" s="303" t="s">
        <v>1956</v>
      </c>
      <c r="M72" s="303" t="s">
        <v>3299</v>
      </c>
      <c r="N72" s="303" t="s">
        <v>1987</v>
      </c>
      <c r="O72" s="303" t="s">
        <v>1986</v>
      </c>
      <c r="P72" s="328">
        <v>43196</v>
      </c>
      <c r="Q72" s="303" t="s">
        <v>1952</v>
      </c>
      <c r="R72" s="303">
        <f t="shared" si="3"/>
        <v>0</v>
      </c>
      <c r="S72" s="303">
        <v>0</v>
      </c>
      <c r="V72" s="300" t="s">
        <v>1576</v>
      </c>
      <c r="W72" s="303">
        <f t="shared" si="4"/>
        <v>0</v>
      </c>
      <c r="X72" s="303">
        <f t="shared" si="5"/>
        <v>11475</v>
      </c>
    </row>
    <row r="73" spans="1:24" x14ac:dyDescent="0.2">
      <c r="A73" s="303" t="s">
        <v>3500</v>
      </c>
      <c r="B73" s="303" t="s">
        <v>3499</v>
      </c>
      <c r="C73" s="328">
        <v>43196</v>
      </c>
      <c r="D73" s="303" t="s">
        <v>1965</v>
      </c>
      <c r="E73" s="303" t="s">
        <v>1964</v>
      </c>
      <c r="F73" s="303" t="s">
        <v>1846</v>
      </c>
      <c r="G73" s="303" t="s">
        <v>1959</v>
      </c>
      <c r="H73" s="303" t="s">
        <v>1956</v>
      </c>
      <c r="I73" s="304">
        <v>1320</v>
      </c>
      <c r="J73" s="303" t="s">
        <v>1854</v>
      </c>
      <c r="K73" s="303" t="s">
        <v>2172</v>
      </c>
      <c r="L73" s="303" t="s">
        <v>1956</v>
      </c>
      <c r="M73" s="303" t="s">
        <v>3299</v>
      </c>
      <c r="N73" s="303" t="s">
        <v>1987</v>
      </c>
      <c r="O73" s="303" t="s">
        <v>1986</v>
      </c>
      <c r="P73" s="328">
        <v>43196</v>
      </c>
      <c r="Q73" s="303" t="s">
        <v>1952</v>
      </c>
      <c r="R73" s="303">
        <f t="shared" si="3"/>
        <v>0</v>
      </c>
      <c r="S73" s="303">
        <v>0</v>
      </c>
      <c r="V73" s="300" t="s">
        <v>1579</v>
      </c>
      <c r="W73" s="303">
        <f t="shared" si="4"/>
        <v>0</v>
      </c>
      <c r="X73" s="303">
        <f t="shared" si="5"/>
        <v>0</v>
      </c>
    </row>
    <row r="74" spans="1:24" x14ac:dyDescent="0.2">
      <c r="A74" s="303" t="s">
        <v>3500</v>
      </c>
      <c r="B74" s="303" t="s">
        <v>3499</v>
      </c>
      <c r="C74" s="328">
        <v>43196</v>
      </c>
      <c r="D74" s="303" t="s">
        <v>1961</v>
      </c>
      <c r="E74" s="303" t="s">
        <v>1960</v>
      </c>
      <c r="F74" s="303" t="s">
        <v>1846</v>
      </c>
      <c r="G74" s="303" t="s">
        <v>1959</v>
      </c>
      <c r="H74" s="303" t="s">
        <v>1956</v>
      </c>
      <c r="I74" s="304">
        <v>-1320</v>
      </c>
      <c r="J74" s="303" t="s">
        <v>1854</v>
      </c>
      <c r="K74" s="303" t="s">
        <v>2172</v>
      </c>
      <c r="L74" s="303" t="s">
        <v>1956</v>
      </c>
      <c r="M74" s="303" t="s">
        <v>3299</v>
      </c>
      <c r="N74" s="303" t="s">
        <v>1987</v>
      </c>
      <c r="O74" s="303" t="s">
        <v>1986</v>
      </c>
      <c r="P74" s="328">
        <v>43196</v>
      </c>
      <c r="Q74" s="303" t="s">
        <v>1952</v>
      </c>
      <c r="R74" s="303">
        <f t="shared" si="3"/>
        <v>0</v>
      </c>
      <c r="S74" s="303">
        <v>0</v>
      </c>
      <c r="V74" s="322" t="s">
        <v>1582</v>
      </c>
      <c r="W74" s="303">
        <f t="shared" si="4"/>
        <v>0</v>
      </c>
      <c r="X74" s="303">
        <f t="shared" si="5"/>
        <v>0</v>
      </c>
    </row>
    <row r="75" spans="1:24" x14ac:dyDescent="0.2">
      <c r="A75" s="303" t="s">
        <v>3498</v>
      </c>
      <c r="B75" s="303" t="s">
        <v>3497</v>
      </c>
      <c r="C75" s="328">
        <v>43196</v>
      </c>
      <c r="D75" s="303" t="s">
        <v>1965</v>
      </c>
      <c r="E75" s="303" t="s">
        <v>1964</v>
      </c>
      <c r="F75" s="303" t="s">
        <v>1846</v>
      </c>
      <c r="G75" s="303" t="s">
        <v>1959</v>
      </c>
      <c r="H75" s="303" t="s">
        <v>1956</v>
      </c>
      <c r="I75" s="304">
        <v>65550</v>
      </c>
      <c r="J75" s="303" t="s">
        <v>1856</v>
      </c>
      <c r="K75" s="303" t="s">
        <v>1421</v>
      </c>
      <c r="L75" s="303" t="s">
        <v>1956</v>
      </c>
      <c r="M75" s="303" t="s">
        <v>3299</v>
      </c>
      <c r="N75" s="303" t="s">
        <v>1987</v>
      </c>
      <c r="O75" s="303" t="s">
        <v>1986</v>
      </c>
      <c r="P75" s="328">
        <v>43196</v>
      </c>
      <c r="Q75" s="303" t="s">
        <v>1952</v>
      </c>
      <c r="R75" s="303">
        <f t="shared" si="3"/>
        <v>0</v>
      </c>
      <c r="S75" s="303">
        <v>0</v>
      </c>
      <c r="V75" s="300" t="s">
        <v>1585</v>
      </c>
      <c r="W75" s="303">
        <f t="shared" si="4"/>
        <v>0</v>
      </c>
      <c r="X75" s="303">
        <f t="shared" si="5"/>
        <v>0</v>
      </c>
    </row>
    <row r="76" spans="1:24" x14ac:dyDescent="0.2">
      <c r="A76" s="303" t="s">
        <v>3498</v>
      </c>
      <c r="B76" s="303" t="s">
        <v>3497</v>
      </c>
      <c r="C76" s="328">
        <v>43196</v>
      </c>
      <c r="D76" s="303" t="s">
        <v>1961</v>
      </c>
      <c r="E76" s="303" t="s">
        <v>1960</v>
      </c>
      <c r="F76" s="303" t="s">
        <v>1846</v>
      </c>
      <c r="G76" s="303" t="s">
        <v>1959</v>
      </c>
      <c r="H76" s="303" t="s">
        <v>1956</v>
      </c>
      <c r="I76" s="304">
        <v>-65550</v>
      </c>
      <c r="J76" s="303" t="s">
        <v>1856</v>
      </c>
      <c r="K76" s="303" t="s">
        <v>1421</v>
      </c>
      <c r="L76" s="303" t="s">
        <v>1956</v>
      </c>
      <c r="M76" s="303" t="s">
        <v>3299</v>
      </c>
      <c r="N76" s="303" t="s">
        <v>1987</v>
      </c>
      <c r="O76" s="303" t="s">
        <v>1986</v>
      </c>
      <c r="P76" s="328">
        <v>43196</v>
      </c>
      <c r="Q76" s="303" t="s">
        <v>1952</v>
      </c>
      <c r="R76" s="303">
        <f t="shared" si="3"/>
        <v>0</v>
      </c>
      <c r="S76" s="303">
        <v>0</v>
      </c>
      <c r="V76" s="300" t="s">
        <v>1588</v>
      </c>
      <c r="W76" s="303">
        <f t="shared" si="4"/>
        <v>0</v>
      </c>
      <c r="X76" s="303">
        <f t="shared" si="5"/>
        <v>0</v>
      </c>
    </row>
    <row r="77" spans="1:24" x14ac:dyDescent="0.2">
      <c r="A77" s="303" t="s">
        <v>3496</v>
      </c>
      <c r="B77" s="303" t="s">
        <v>3495</v>
      </c>
      <c r="C77" s="328">
        <v>43196</v>
      </c>
      <c r="D77" s="303" t="s">
        <v>1965</v>
      </c>
      <c r="E77" s="303" t="s">
        <v>1964</v>
      </c>
      <c r="F77" s="303" t="s">
        <v>1846</v>
      </c>
      <c r="G77" s="303" t="s">
        <v>1959</v>
      </c>
      <c r="H77" s="303" t="s">
        <v>1956</v>
      </c>
      <c r="I77" s="304">
        <v>2080</v>
      </c>
      <c r="J77" s="303" t="s">
        <v>1862</v>
      </c>
      <c r="K77" s="303" t="s">
        <v>3494</v>
      </c>
      <c r="L77" s="303" t="s">
        <v>1956</v>
      </c>
      <c r="M77" s="303" t="s">
        <v>3299</v>
      </c>
      <c r="N77" s="303" t="s">
        <v>1987</v>
      </c>
      <c r="O77" s="303" t="s">
        <v>1986</v>
      </c>
      <c r="P77" s="328">
        <v>43196</v>
      </c>
      <c r="Q77" s="303" t="s">
        <v>1952</v>
      </c>
      <c r="R77" s="303">
        <f t="shared" si="3"/>
        <v>0</v>
      </c>
      <c r="S77" s="303">
        <v>0</v>
      </c>
      <c r="V77" s="300" t="s">
        <v>1591</v>
      </c>
      <c r="W77" s="303">
        <f t="shared" si="4"/>
        <v>0</v>
      </c>
      <c r="X77" s="303">
        <f t="shared" si="5"/>
        <v>0</v>
      </c>
    </row>
    <row r="78" spans="1:24" x14ac:dyDescent="0.2">
      <c r="A78" s="303" t="s">
        <v>3496</v>
      </c>
      <c r="B78" s="303" t="s">
        <v>3495</v>
      </c>
      <c r="C78" s="328">
        <v>43196</v>
      </c>
      <c r="D78" s="303" t="s">
        <v>1961</v>
      </c>
      <c r="E78" s="303" t="s">
        <v>1960</v>
      </c>
      <c r="F78" s="303" t="s">
        <v>1846</v>
      </c>
      <c r="G78" s="303" t="s">
        <v>1959</v>
      </c>
      <c r="H78" s="303" t="s">
        <v>1956</v>
      </c>
      <c r="I78" s="304">
        <v>-2080</v>
      </c>
      <c r="J78" s="303" t="s">
        <v>1862</v>
      </c>
      <c r="K78" s="303" t="s">
        <v>3494</v>
      </c>
      <c r="L78" s="303" t="s">
        <v>1956</v>
      </c>
      <c r="M78" s="303" t="s">
        <v>3299</v>
      </c>
      <c r="N78" s="303" t="s">
        <v>1987</v>
      </c>
      <c r="O78" s="303" t="s">
        <v>1986</v>
      </c>
      <c r="P78" s="328">
        <v>43196</v>
      </c>
      <c r="Q78" s="303" t="s">
        <v>1952</v>
      </c>
      <c r="R78" s="303">
        <f t="shared" si="3"/>
        <v>0</v>
      </c>
      <c r="S78" s="303">
        <v>0</v>
      </c>
      <c r="V78" s="300" t="s">
        <v>1594</v>
      </c>
      <c r="W78" s="303">
        <f t="shared" si="4"/>
        <v>0</v>
      </c>
      <c r="X78" s="303">
        <f t="shared" si="5"/>
        <v>18313</v>
      </c>
    </row>
    <row r="79" spans="1:24" x14ac:dyDescent="0.2">
      <c r="A79" s="303" t="s">
        <v>3493</v>
      </c>
      <c r="B79" s="303" t="s">
        <v>3492</v>
      </c>
      <c r="C79" s="328">
        <v>43196</v>
      </c>
      <c r="D79" s="303" t="s">
        <v>1965</v>
      </c>
      <c r="E79" s="303" t="s">
        <v>1964</v>
      </c>
      <c r="F79" s="303" t="s">
        <v>1846</v>
      </c>
      <c r="G79" s="303" t="s">
        <v>1959</v>
      </c>
      <c r="H79" s="303" t="s">
        <v>1956</v>
      </c>
      <c r="I79" s="304">
        <v>7000</v>
      </c>
      <c r="J79" s="303" t="s">
        <v>1866</v>
      </c>
      <c r="K79" s="303" t="s">
        <v>2232</v>
      </c>
      <c r="L79" s="303" t="s">
        <v>1956</v>
      </c>
      <c r="M79" s="303" t="s">
        <v>3299</v>
      </c>
      <c r="N79" s="303" t="s">
        <v>1987</v>
      </c>
      <c r="O79" s="303" t="s">
        <v>1986</v>
      </c>
      <c r="P79" s="328">
        <v>43196</v>
      </c>
      <c r="Q79" s="303" t="s">
        <v>1952</v>
      </c>
      <c r="R79" s="303">
        <f t="shared" si="3"/>
        <v>0</v>
      </c>
      <c r="S79" s="303">
        <v>0</v>
      </c>
      <c r="V79" s="300" t="s">
        <v>1597</v>
      </c>
      <c r="W79" s="303">
        <f t="shared" si="4"/>
        <v>0</v>
      </c>
      <c r="X79" s="303">
        <f t="shared" si="5"/>
        <v>48457</v>
      </c>
    </row>
    <row r="80" spans="1:24" x14ac:dyDescent="0.2">
      <c r="A80" s="303" t="s">
        <v>3493</v>
      </c>
      <c r="B80" s="303" t="s">
        <v>3492</v>
      </c>
      <c r="C80" s="328">
        <v>43196</v>
      </c>
      <c r="D80" s="303" t="s">
        <v>1961</v>
      </c>
      <c r="E80" s="303" t="s">
        <v>1960</v>
      </c>
      <c r="F80" s="303" t="s">
        <v>1846</v>
      </c>
      <c r="G80" s="303" t="s">
        <v>1959</v>
      </c>
      <c r="H80" s="303" t="s">
        <v>1956</v>
      </c>
      <c r="I80" s="304">
        <v>-7000</v>
      </c>
      <c r="J80" s="303" t="s">
        <v>1866</v>
      </c>
      <c r="K80" s="303" t="s">
        <v>2232</v>
      </c>
      <c r="L80" s="303" t="s">
        <v>1956</v>
      </c>
      <c r="M80" s="303" t="s">
        <v>3299</v>
      </c>
      <c r="N80" s="303" t="s">
        <v>1987</v>
      </c>
      <c r="O80" s="303" t="s">
        <v>1986</v>
      </c>
      <c r="P80" s="328">
        <v>43196</v>
      </c>
      <c r="Q80" s="303" t="s">
        <v>1952</v>
      </c>
      <c r="R80" s="303">
        <f t="shared" si="3"/>
        <v>0</v>
      </c>
      <c r="S80" s="303">
        <v>0</v>
      </c>
      <c r="V80" s="300" t="s">
        <v>1600</v>
      </c>
      <c r="W80" s="303">
        <f t="shared" si="4"/>
        <v>-13000</v>
      </c>
      <c r="X80" s="303">
        <f t="shared" si="5"/>
        <v>500</v>
      </c>
    </row>
    <row r="81" spans="1:24" x14ac:dyDescent="0.2">
      <c r="A81" s="303" t="s">
        <v>3491</v>
      </c>
      <c r="B81" s="303" t="s">
        <v>3490</v>
      </c>
      <c r="C81" s="328">
        <v>43196</v>
      </c>
      <c r="D81" s="303" t="s">
        <v>1965</v>
      </c>
      <c r="E81" s="303" t="s">
        <v>1964</v>
      </c>
      <c r="F81" s="303" t="s">
        <v>1846</v>
      </c>
      <c r="G81" s="303" t="s">
        <v>1959</v>
      </c>
      <c r="H81" s="303" t="s">
        <v>1956</v>
      </c>
      <c r="I81" s="304">
        <v>580</v>
      </c>
      <c r="J81" s="303" t="s">
        <v>1876</v>
      </c>
      <c r="K81" s="303" t="s">
        <v>2578</v>
      </c>
      <c r="L81" s="303" t="s">
        <v>1956</v>
      </c>
      <c r="M81" s="303" t="s">
        <v>3299</v>
      </c>
      <c r="N81" s="303" t="s">
        <v>1987</v>
      </c>
      <c r="O81" s="303" t="s">
        <v>1986</v>
      </c>
      <c r="P81" s="328">
        <v>43196</v>
      </c>
      <c r="Q81" s="303" t="s">
        <v>1952</v>
      </c>
      <c r="R81" s="303">
        <f t="shared" si="3"/>
        <v>0</v>
      </c>
      <c r="S81" s="303">
        <v>0</v>
      </c>
      <c r="V81" s="300" t="s">
        <v>1603</v>
      </c>
      <c r="W81" s="303">
        <f t="shared" si="4"/>
        <v>0</v>
      </c>
      <c r="X81" s="303">
        <f t="shared" si="5"/>
        <v>0</v>
      </c>
    </row>
    <row r="82" spans="1:24" x14ac:dyDescent="0.2">
      <c r="A82" s="303" t="s">
        <v>3491</v>
      </c>
      <c r="B82" s="303" t="s">
        <v>3490</v>
      </c>
      <c r="C82" s="328">
        <v>43196</v>
      </c>
      <c r="D82" s="303" t="s">
        <v>1961</v>
      </c>
      <c r="E82" s="303" t="s">
        <v>1960</v>
      </c>
      <c r="F82" s="303" t="s">
        <v>1846</v>
      </c>
      <c r="G82" s="303" t="s">
        <v>1959</v>
      </c>
      <c r="H82" s="303" t="s">
        <v>1956</v>
      </c>
      <c r="I82" s="304">
        <v>-580</v>
      </c>
      <c r="J82" s="303" t="s">
        <v>1876</v>
      </c>
      <c r="K82" s="303" t="s">
        <v>2578</v>
      </c>
      <c r="L82" s="303" t="s">
        <v>1956</v>
      </c>
      <c r="M82" s="303" t="s">
        <v>3299</v>
      </c>
      <c r="N82" s="303" t="s">
        <v>1987</v>
      </c>
      <c r="O82" s="303" t="s">
        <v>1986</v>
      </c>
      <c r="P82" s="328">
        <v>43196</v>
      </c>
      <c r="Q82" s="303" t="s">
        <v>1952</v>
      </c>
      <c r="R82" s="303">
        <f t="shared" si="3"/>
        <v>0</v>
      </c>
      <c r="S82" s="303">
        <v>0</v>
      </c>
      <c r="V82" s="300" t="s">
        <v>1606</v>
      </c>
      <c r="W82" s="303">
        <f t="shared" si="4"/>
        <v>0</v>
      </c>
      <c r="X82" s="303">
        <f t="shared" si="5"/>
        <v>3760</v>
      </c>
    </row>
    <row r="83" spans="1:24" x14ac:dyDescent="0.25">
      <c r="A83" s="303" t="s">
        <v>3489</v>
      </c>
      <c r="B83" s="303" t="s">
        <v>3488</v>
      </c>
      <c r="C83" s="328">
        <v>43196</v>
      </c>
      <c r="D83" s="303" t="s">
        <v>1965</v>
      </c>
      <c r="E83" s="303" t="s">
        <v>1964</v>
      </c>
      <c r="F83" s="303" t="s">
        <v>1846</v>
      </c>
      <c r="G83" s="303" t="s">
        <v>1959</v>
      </c>
      <c r="H83" s="303" t="s">
        <v>1956</v>
      </c>
      <c r="I83" s="304">
        <v>1300</v>
      </c>
      <c r="J83" s="303" t="s">
        <v>1878</v>
      </c>
      <c r="K83" s="303" t="s">
        <v>2544</v>
      </c>
      <c r="L83" s="303" t="s">
        <v>1956</v>
      </c>
      <c r="M83" s="303" t="s">
        <v>3299</v>
      </c>
      <c r="N83" s="303" t="s">
        <v>1987</v>
      </c>
      <c r="O83" s="303" t="s">
        <v>1986</v>
      </c>
      <c r="P83" s="328">
        <v>43196</v>
      </c>
      <c r="Q83" s="303" t="s">
        <v>1952</v>
      </c>
      <c r="R83" s="303">
        <f t="shared" si="3"/>
        <v>0</v>
      </c>
      <c r="S83" s="303">
        <v>0</v>
      </c>
    </row>
    <row r="84" spans="1:24" x14ac:dyDescent="0.25">
      <c r="A84" s="303" t="s">
        <v>3489</v>
      </c>
      <c r="B84" s="303" t="s">
        <v>3488</v>
      </c>
      <c r="C84" s="328">
        <v>43196</v>
      </c>
      <c r="D84" s="303" t="s">
        <v>1961</v>
      </c>
      <c r="E84" s="303" t="s">
        <v>1960</v>
      </c>
      <c r="F84" s="303" t="s">
        <v>1846</v>
      </c>
      <c r="G84" s="303" t="s">
        <v>1959</v>
      </c>
      <c r="H84" s="303" t="s">
        <v>1956</v>
      </c>
      <c r="I84" s="304">
        <v>-1300</v>
      </c>
      <c r="J84" s="303" t="s">
        <v>1878</v>
      </c>
      <c r="K84" s="303" t="s">
        <v>2544</v>
      </c>
      <c r="L84" s="303" t="s">
        <v>1956</v>
      </c>
      <c r="M84" s="303" t="s">
        <v>3299</v>
      </c>
      <c r="N84" s="303" t="s">
        <v>1987</v>
      </c>
      <c r="O84" s="303" t="s">
        <v>1986</v>
      </c>
      <c r="P84" s="328">
        <v>43196</v>
      </c>
      <c r="Q84" s="303" t="s">
        <v>1952</v>
      </c>
      <c r="R84" s="303">
        <f t="shared" si="3"/>
        <v>0</v>
      </c>
      <c r="S84" s="303">
        <v>0</v>
      </c>
    </row>
    <row r="85" spans="1:24" x14ac:dyDescent="0.25">
      <c r="A85" s="303" t="s">
        <v>3487</v>
      </c>
      <c r="B85" s="303" t="s">
        <v>3486</v>
      </c>
      <c r="C85" s="328">
        <v>43196</v>
      </c>
      <c r="D85" s="303" t="s">
        <v>1965</v>
      </c>
      <c r="E85" s="303" t="s">
        <v>1964</v>
      </c>
      <c r="F85" s="303" t="s">
        <v>1846</v>
      </c>
      <c r="G85" s="303" t="s">
        <v>1959</v>
      </c>
      <c r="H85" s="303" t="s">
        <v>1956</v>
      </c>
      <c r="I85" s="304">
        <v>1420</v>
      </c>
      <c r="J85" s="303" t="s">
        <v>1880</v>
      </c>
      <c r="K85" s="303" t="s">
        <v>1415</v>
      </c>
      <c r="L85" s="303" t="s">
        <v>1956</v>
      </c>
      <c r="M85" s="303" t="s">
        <v>3299</v>
      </c>
      <c r="N85" s="303" t="s">
        <v>1987</v>
      </c>
      <c r="O85" s="303" t="s">
        <v>1986</v>
      </c>
      <c r="P85" s="328">
        <v>43196</v>
      </c>
      <c r="Q85" s="303" t="s">
        <v>1952</v>
      </c>
      <c r="R85" s="303">
        <f t="shared" si="3"/>
        <v>0</v>
      </c>
      <c r="S85" s="303">
        <v>0</v>
      </c>
    </row>
    <row r="86" spans="1:24" x14ac:dyDescent="0.25">
      <c r="A86" s="303" t="s">
        <v>3487</v>
      </c>
      <c r="B86" s="303" t="s">
        <v>3486</v>
      </c>
      <c r="C86" s="328">
        <v>43196</v>
      </c>
      <c r="D86" s="303" t="s">
        <v>1961</v>
      </c>
      <c r="E86" s="303" t="s">
        <v>1960</v>
      </c>
      <c r="F86" s="303" t="s">
        <v>1846</v>
      </c>
      <c r="G86" s="303" t="s">
        <v>1959</v>
      </c>
      <c r="H86" s="303" t="s">
        <v>1956</v>
      </c>
      <c r="I86" s="304">
        <v>-1420</v>
      </c>
      <c r="J86" s="303" t="s">
        <v>1880</v>
      </c>
      <c r="K86" s="303" t="s">
        <v>1415</v>
      </c>
      <c r="L86" s="303" t="s">
        <v>1956</v>
      </c>
      <c r="M86" s="303" t="s">
        <v>3299</v>
      </c>
      <c r="N86" s="303" t="s">
        <v>1987</v>
      </c>
      <c r="O86" s="303" t="s">
        <v>1986</v>
      </c>
      <c r="P86" s="328">
        <v>43196</v>
      </c>
      <c r="Q86" s="303" t="s">
        <v>1952</v>
      </c>
      <c r="R86" s="303">
        <f t="shared" si="3"/>
        <v>0</v>
      </c>
      <c r="S86" s="303">
        <v>0</v>
      </c>
    </row>
    <row r="87" spans="1:24" x14ac:dyDescent="0.25">
      <c r="A87" s="303" t="s">
        <v>3485</v>
      </c>
      <c r="B87" s="303" t="s">
        <v>3484</v>
      </c>
      <c r="C87" s="328">
        <v>43196</v>
      </c>
      <c r="D87" s="303" t="s">
        <v>1965</v>
      </c>
      <c r="E87" s="303" t="s">
        <v>1964</v>
      </c>
      <c r="F87" s="303" t="s">
        <v>1846</v>
      </c>
      <c r="G87" s="303" t="s">
        <v>1959</v>
      </c>
      <c r="H87" s="303" t="s">
        <v>1956</v>
      </c>
      <c r="I87" s="304">
        <v>2040</v>
      </c>
      <c r="J87" s="303" t="s">
        <v>1884</v>
      </c>
      <c r="K87" s="303" t="s">
        <v>2665</v>
      </c>
      <c r="L87" s="303" t="s">
        <v>1956</v>
      </c>
      <c r="M87" s="303" t="s">
        <v>3299</v>
      </c>
      <c r="N87" s="303" t="s">
        <v>1987</v>
      </c>
      <c r="O87" s="303" t="s">
        <v>1986</v>
      </c>
      <c r="P87" s="328">
        <v>43196</v>
      </c>
      <c r="Q87" s="303" t="s">
        <v>1952</v>
      </c>
      <c r="R87" s="303">
        <f t="shared" si="3"/>
        <v>0</v>
      </c>
      <c r="S87" s="303">
        <v>0</v>
      </c>
    </row>
    <row r="88" spans="1:24" x14ac:dyDescent="0.25">
      <c r="A88" s="303" t="s">
        <v>3485</v>
      </c>
      <c r="B88" s="303" t="s">
        <v>3484</v>
      </c>
      <c r="C88" s="328">
        <v>43196</v>
      </c>
      <c r="D88" s="303" t="s">
        <v>1961</v>
      </c>
      <c r="E88" s="303" t="s">
        <v>1960</v>
      </c>
      <c r="F88" s="303" t="s">
        <v>1846</v>
      </c>
      <c r="G88" s="303" t="s">
        <v>1959</v>
      </c>
      <c r="H88" s="303" t="s">
        <v>1956</v>
      </c>
      <c r="I88" s="304">
        <v>-2040</v>
      </c>
      <c r="J88" s="303" t="s">
        <v>1884</v>
      </c>
      <c r="K88" s="303" t="s">
        <v>2665</v>
      </c>
      <c r="L88" s="303" t="s">
        <v>1956</v>
      </c>
      <c r="M88" s="303" t="s">
        <v>3299</v>
      </c>
      <c r="N88" s="303" t="s">
        <v>1987</v>
      </c>
      <c r="O88" s="303" t="s">
        <v>1986</v>
      </c>
      <c r="P88" s="328">
        <v>43196</v>
      </c>
      <c r="Q88" s="303" t="s">
        <v>1952</v>
      </c>
      <c r="R88" s="303">
        <f t="shared" si="3"/>
        <v>0</v>
      </c>
      <c r="S88" s="303">
        <v>0</v>
      </c>
    </row>
    <row r="89" spans="1:24" x14ac:dyDescent="0.25">
      <c r="A89" s="303" t="s">
        <v>3483</v>
      </c>
      <c r="B89" s="303" t="s">
        <v>3482</v>
      </c>
      <c r="C89" s="328">
        <v>43196</v>
      </c>
      <c r="D89" s="303" t="s">
        <v>1965</v>
      </c>
      <c r="E89" s="303" t="s">
        <v>1964</v>
      </c>
      <c r="F89" s="303" t="s">
        <v>1846</v>
      </c>
      <c r="G89" s="303" t="s">
        <v>1959</v>
      </c>
      <c r="H89" s="303" t="s">
        <v>1956</v>
      </c>
      <c r="I89" s="304">
        <v>2630</v>
      </c>
      <c r="J89" s="303" t="s">
        <v>1886</v>
      </c>
      <c r="K89" s="303" t="s">
        <v>2462</v>
      </c>
      <c r="L89" s="303" t="s">
        <v>1956</v>
      </c>
      <c r="M89" s="303" t="s">
        <v>3299</v>
      </c>
      <c r="N89" s="303" t="s">
        <v>1987</v>
      </c>
      <c r="O89" s="303" t="s">
        <v>1986</v>
      </c>
      <c r="P89" s="328">
        <v>43196</v>
      </c>
      <c r="Q89" s="303" t="s">
        <v>1952</v>
      </c>
      <c r="R89" s="303">
        <f t="shared" si="3"/>
        <v>0</v>
      </c>
      <c r="S89" s="303">
        <v>0</v>
      </c>
    </row>
    <row r="90" spans="1:24" x14ac:dyDescent="0.25">
      <c r="A90" s="303" t="s">
        <v>3483</v>
      </c>
      <c r="B90" s="303" t="s">
        <v>3482</v>
      </c>
      <c r="C90" s="328">
        <v>43196</v>
      </c>
      <c r="D90" s="303" t="s">
        <v>1961</v>
      </c>
      <c r="E90" s="303" t="s">
        <v>1960</v>
      </c>
      <c r="F90" s="303" t="s">
        <v>1846</v>
      </c>
      <c r="G90" s="303" t="s">
        <v>1959</v>
      </c>
      <c r="H90" s="303" t="s">
        <v>1956</v>
      </c>
      <c r="I90" s="304">
        <v>-2630</v>
      </c>
      <c r="J90" s="303" t="s">
        <v>1886</v>
      </c>
      <c r="K90" s="303" t="s">
        <v>2462</v>
      </c>
      <c r="L90" s="303" t="s">
        <v>1956</v>
      </c>
      <c r="M90" s="303" t="s">
        <v>3299</v>
      </c>
      <c r="N90" s="303" t="s">
        <v>1987</v>
      </c>
      <c r="O90" s="303" t="s">
        <v>1986</v>
      </c>
      <c r="P90" s="328">
        <v>43196</v>
      </c>
      <c r="Q90" s="303" t="s">
        <v>1952</v>
      </c>
      <c r="R90" s="303">
        <f t="shared" si="3"/>
        <v>0</v>
      </c>
      <c r="S90" s="303">
        <v>0</v>
      </c>
    </row>
    <row r="91" spans="1:24" x14ac:dyDescent="0.25">
      <c r="A91" s="303" t="s">
        <v>3481</v>
      </c>
      <c r="B91" s="303" t="s">
        <v>3480</v>
      </c>
      <c r="C91" s="328">
        <v>43196</v>
      </c>
      <c r="D91" s="303" t="s">
        <v>1965</v>
      </c>
      <c r="E91" s="303" t="s">
        <v>1964</v>
      </c>
      <c r="F91" s="303" t="s">
        <v>1846</v>
      </c>
      <c r="G91" s="303" t="s">
        <v>1959</v>
      </c>
      <c r="H91" s="303" t="s">
        <v>1956</v>
      </c>
      <c r="I91" s="304">
        <v>1920</v>
      </c>
      <c r="J91" s="303" t="s">
        <v>1890</v>
      </c>
      <c r="K91" s="303" t="s">
        <v>1409</v>
      </c>
      <c r="L91" s="303" t="s">
        <v>1956</v>
      </c>
      <c r="M91" s="303" t="s">
        <v>3299</v>
      </c>
      <c r="N91" s="303" t="s">
        <v>1987</v>
      </c>
      <c r="O91" s="303" t="s">
        <v>1986</v>
      </c>
      <c r="P91" s="328">
        <v>43196</v>
      </c>
      <c r="Q91" s="303" t="s">
        <v>1952</v>
      </c>
      <c r="R91" s="303">
        <f t="shared" si="3"/>
        <v>0</v>
      </c>
      <c r="S91" s="303">
        <v>0</v>
      </c>
    </row>
    <row r="92" spans="1:24" x14ac:dyDescent="0.25">
      <c r="A92" s="303" t="s">
        <v>3481</v>
      </c>
      <c r="B92" s="303" t="s">
        <v>3480</v>
      </c>
      <c r="C92" s="328">
        <v>43196</v>
      </c>
      <c r="D92" s="303" t="s">
        <v>1961</v>
      </c>
      <c r="E92" s="303" t="s">
        <v>1960</v>
      </c>
      <c r="F92" s="303" t="s">
        <v>1846</v>
      </c>
      <c r="G92" s="303" t="s">
        <v>1959</v>
      </c>
      <c r="H92" s="303" t="s">
        <v>1956</v>
      </c>
      <c r="I92" s="304">
        <v>-1920</v>
      </c>
      <c r="J92" s="303" t="s">
        <v>1890</v>
      </c>
      <c r="K92" s="303" t="s">
        <v>1409</v>
      </c>
      <c r="L92" s="303" t="s">
        <v>1956</v>
      </c>
      <c r="M92" s="303" t="s">
        <v>3299</v>
      </c>
      <c r="N92" s="303" t="s">
        <v>1987</v>
      </c>
      <c r="O92" s="303" t="s">
        <v>1986</v>
      </c>
      <c r="P92" s="328">
        <v>43196</v>
      </c>
      <c r="Q92" s="303" t="s">
        <v>1952</v>
      </c>
      <c r="R92" s="303">
        <f t="shared" si="3"/>
        <v>0</v>
      </c>
      <c r="S92" s="303">
        <v>0</v>
      </c>
    </row>
    <row r="93" spans="1:24" x14ac:dyDescent="0.25">
      <c r="A93" s="303" t="s">
        <v>3479</v>
      </c>
      <c r="B93" s="303" t="s">
        <v>3478</v>
      </c>
      <c r="C93" s="328">
        <v>43196</v>
      </c>
      <c r="D93" s="303" t="s">
        <v>1965</v>
      </c>
      <c r="E93" s="303" t="s">
        <v>1964</v>
      </c>
      <c r="F93" s="303" t="s">
        <v>1846</v>
      </c>
      <c r="G93" s="303" t="s">
        <v>1959</v>
      </c>
      <c r="H93" s="303" t="s">
        <v>1956</v>
      </c>
      <c r="I93" s="304">
        <v>3830</v>
      </c>
      <c r="J93" s="303" t="s">
        <v>1896</v>
      </c>
      <c r="K93" s="303" t="s">
        <v>1400</v>
      </c>
      <c r="L93" s="303" t="s">
        <v>1956</v>
      </c>
      <c r="M93" s="303" t="s">
        <v>3299</v>
      </c>
      <c r="N93" s="303" t="s">
        <v>1987</v>
      </c>
      <c r="O93" s="303" t="s">
        <v>1986</v>
      </c>
      <c r="P93" s="328">
        <v>43196</v>
      </c>
      <c r="Q93" s="303" t="s">
        <v>1952</v>
      </c>
      <c r="R93" s="303">
        <f t="shared" si="3"/>
        <v>0</v>
      </c>
      <c r="S93" s="303">
        <v>0</v>
      </c>
    </row>
    <row r="94" spans="1:24" x14ac:dyDescent="0.25">
      <c r="A94" s="303" t="s">
        <v>3479</v>
      </c>
      <c r="B94" s="303" t="s">
        <v>3478</v>
      </c>
      <c r="C94" s="328">
        <v>43196</v>
      </c>
      <c r="D94" s="303" t="s">
        <v>1961</v>
      </c>
      <c r="E94" s="303" t="s">
        <v>1960</v>
      </c>
      <c r="F94" s="303" t="s">
        <v>1846</v>
      </c>
      <c r="G94" s="303" t="s">
        <v>1959</v>
      </c>
      <c r="H94" s="303" t="s">
        <v>1956</v>
      </c>
      <c r="I94" s="304">
        <v>-3830</v>
      </c>
      <c r="J94" s="303" t="s">
        <v>1896</v>
      </c>
      <c r="K94" s="303" t="s">
        <v>1400</v>
      </c>
      <c r="L94" s="303" t="s">
        <v>1956</v>
      </c>
      <c r="M94" s="303" t="s">
        <v>3299</v>
      </c>
      <c r="N94" s="303" t="s">
        <v>1987</v>
      </c>
      <c r="O94" s="303" t="s">
        <v>1986</v>
      </c>
      <c r="P94" s="328">
        <v>43196</v>
      </c>
      <c r="Q94" s="303" t="s">
        <v>1952</v>
      </c>
      <c r="R94" s="303">
        <f t="shared" si="3"/>
        <v>0</v>
      </c>
      <c r="S94" s="303">
        <v>0</v>
      </c>
    </row>
    <row r="95" spans="1:24" x14ac:dyDescent="0.25">
      <c r="A95" s="303" t="s">
        <v>3477</v>
      </c>
      <c r="B95" s="303" t="s">
        <v>3476</v>
      </c>
      <c r="C95" s="328">
        <v>43196</v>
      </c>
      <c r="D95" s="303" t="s">
        <v>1965</v>
      </c>
      <c r="E95" s="303" t="s">
        <v>1964</v>
      </c>
      <c r="F95" s="303" t="s">
        <v>1846</v>
      </c>
      <c r="G95" s="303" t="s">
        <v>1959</v>
      </c>
      <c r="H95" s="303" t="s">
        <v>1956</v>
      </c>
      <c r="I95" s="304">
        <v>980</v>
      </c>
      <c r="J95" s="303" t="s">
        <v>1898</v>
      </c>
      <c r="K95" s="303" t="s">
        <v>1397</v>
      </c>
      <c r="L95" s="303" t="s">
        <v>1956</v>
      </c>
      <c r="M95" s="303" t="s">
        <v>3299</v>
      </c>
      <c r="N95" s="303" t="s">
        <v>1987</v>
      </c>
      <c r="O95" s="303" t="s">
        <v>1986</v>
      </c>
      <c r="P95" s="328">
        <v>43196</v>
      </c>
      <c r="Q95" s="303" t="s">
        <v>1952</v>
      </c>
      <c r="R95" s="303">
        <f t="shared" si="3"/>
        <v>0</v>
      </c>
      <c r="S95" s="303">
        <v>0</v>
      </c>
    </row>
    <row r="96" spans="1:24" x14ac:dyDescent="0.25">
      <c r="A96" s="303" t="s">
        <v>3477</v>
      </c>
      <c r="B96" s="303" t="s">
        <v>3476</v>
      </c>
      <c r="C96" s="328">
        <v>43196</v>
      </c>
      <c r="D96" s="303" t="s">
        <v>1961</v>
      </c>
      <c r="E96" s="303" t="s">
        <v>1960</v>
      </c>
      <c r="F96" s="303" t="s">
        <v>1846</v>
      </c>
      <c r="G96" s="303" t="s">
        <v>1959</v>
      </c>
      <c r="H96" s="303" t="s">
        <v>1956</v>
      </c>
      <c r="I96" s="304">
        <v>-980</v>
      </c>
      <c r="J96" s="303" t="s">
        <v>1898</v>
      </c>
      <c r="K96" s="303" t="s">
        <v>1397</v>
      </c>
      <c r="L96" s="303" t="s">
        <v>1956</v>
      </c>
      <c r="M96" s="303" t="s">
        <v>3299</v>
      </c>
      <c r="N96" s="303" t="s">
        <v>1987</v>
      </c>
      <c r="O96" s="303" t="s">
        <v>1986</v>
      </c>
      <c r="P96" s="328">
        <v>43196</v>
      </c>
      <c r="Q96" s="303" t="s">
        <v>1952</v>
      </c>
      <c r="R96" s="303">
        <f t="shared" si="3"/>
        <v>0</v>
      </c>
      <c r="S96" s="303">
        <v>0</v>
      </c>
    </row>
    <row r="97" spans="1:19" x14ac:dyDescent="0.25">
      <c r="A97" s="303" t="s">
        <v>3475</v>
      </c>
      <c r="B97" s="303" t="s">
        <v>3474</v>
      </c>
      <c r="C97" s="328">
        <v>43196</v>
      </c>
      <c r="D97" s="303" t="s">
        <v>1965</v>
      </c>
      <c r="E97" s="303" t="s">
        <v>1964</v>
      </c>
      <c r="F97" s="303" t="s">
        <v>1846</v>
      </c>
      <c r="G97" s="303" t="s">
        <v>1959</v>
      </c>
      <c r="H97" s="303" t="s">
        <v>1956</v>
      </c>
      <c r="I97" s="304">
        <v>7980</v>
      </c>
      <c r="J97" s="303" t="s">
        <v>1906</v>
      </c>
      <c r="K97" s="303" t="s">
        <v>1391</v>
      </c>
      <c r="L97" s="303" t="s">
        <v>1956</v>
      </c>
      <c r="M97" s="303" t="s">
        <v>3299</v>
      </c>
      <c r="N97" s="303" t="s">
        <v>1987</v>
      </c>
      <c r="O97" s="303" t="s">
        <v>1986</v>
      </c>
      <c r="P97" s="328">
        <v>43196</v>
      </c>
      <c r="Q97" s="303" t="s">
        <v>1952</v>
      </c>
      <c r="R97" s="303">
        <f t="shared" si="3"/>
        <v>0</v>
      </c>
      <c r="S97" s="303">
        <v>0</v>
      </c>
    </row>
    <row r="98" spans="1:19" x14ac:dyDescent="0.25">
      <c r="A98" s="303" t="s">
        <v>3475</v>
      </c>
      <c r="B98" s="303" t="s">
        <v>3474</v>
      </c>
      <c r="C98" s="328">
        <v>43196</v>
      </c>
      <c r="D98" s="303" t="s">
        <v>1961</v>
      </c>
      <c r="E98" s="303" t="s">
        <v>1960</v>
      </c>
      <c r="F98" s="303" t="s">
        <v>1846</v>
      </c>
      <c r="G98" s="303" t="s">
        <v>1959</v>
      </c>
      <c r="H98" s="303" t="s">
        <v>1956</v>
      </c>
      <c r="I98" s="304">
        <v>-7980</v>
      </c>
      <c r="J98" s="303" t="s">
        <v>1906</v>
      </c>
      <c r="K98" s="303" t="s">
        <v>1391</v>
      </c>
      <c r="L98" s="303" t="s">
        <v>1956</v>
      </c>
      <c r="M98" s="303" t="s">
        <v>3299</v>
      </c>
      <c r="N98" s="303" t="s">
        <v>1987</v>
      </c>
      <c r="O98" s="303" t="s">
        <v>1986</v>
      </c>
      <c r="P98" s="328">
        <v>43196</v>
      </c>
      <c r="Q98" s="303" t="s">
        <v>1952</v>
      </c>
      <c r="R98" s="303">
        <f t="shared" si="3"/>
        <v>0</v>
      </c>
      <c r="S98" s="303">
        <v>0</v>
      </c>
    </row>
    <row r="99" spans="1:19" x14ac:dyDescent="0.25">
      <c r="A99" s="303" t="s">
        <v>3473</v>
      </c>
      <c r="B99" s="303" t="s">
        <v>3472</v>
      </c>
      <c r="C99" s="328">
        <v>43196</v>
      </c>
      <c r="D99" s="303" t="s">
        <v>1965</v>
      </c>
      <c r="E99" s="303" t="s">
        <v>1964</v>
      </c>
      <c r="F99" s="303" t="s">
        <v>1846</v>
      </c>
      <c r="G99" s="303" t="s">
        <v>1959</v>
      </c>
      <c r="H99" s="303" t="s">
        <v>1956</v>
      </c>
      <c r="I99" s="304">
        <v>4310</v>
      </c>
      <c r="J99" s="303" t="s">
        <v>1908</v>
      </c>
      <c r="K99" s="303" t="s">
        <v>1388</v>
      </c>
      <c r="L99" s="303" t="s">
        <v>1956</v>
      </c>
      <c r="M99" s="303" t="s">
        <v>3299</v>
      </c>
      <c r="N99" s="303" t="s">
        <v>1987</v>
      </c>
      <c r="O99" s="303" t="s">
        <v>1986</v>
      </c>
      <c r="P99" s="328">
        <v>43196</v>
      </c>
      <c r="Q99" s="303" t="s">
        <v>1952</v>
      </c>
      <c r="R99" s="303">
        <f t="shared" si="3"/>
        <v>0</v>
      </c>
      <c r="S99" s="303">
        <v>0</v>
      </c>
    </row>
    <row r="100" spans="1:19" x14ac:dyDescent="0.25">
      <c r="A100" s="303" t="s">
        <v>3473</v>
      </c>
      <c r="B100" s="303" t="s">
        <v>3472</v>
      </c>
      <c r="C100" s="328">
        <v>43196</v>
      </c>
      <c r="D100" s="303" t="s">
        <v>1961</v>
      </c>
      <c r="E100" s="303" t="s">
        <v>1960</v>
      </c>
      <c r="F100" s="303" t="s">
        <v>1846</v>
      </c>
      <c r="G100" s="303" t="s">
        <v>1959</v>
      </c>
      <c r="H100" s="303" t="s">
        <v>1956</v>
      </c>
      <c r="I100" s="304">
        <v>-4310</v>
      </c>
      <c r="J100" s="303" t="s">
        <v>1908</v>
      </c>
      <c r="K100" s="303" t="s">
        <v>1388</v>
      </c>
      <c r="L100" s="303" t="s">
        <v>1956</v>
      </c>
      <c r="M100" s="303" t="s">
        <v>3299</v>
      </c>
      <c r="N100" s="303" t="s">
        <v>1987</v>
      </c>
      <c r="O100" s="303" t="s">
        <v>1986</v>
      </c>
      <c r="P100" s="328">
        <v>43196</v>
      </c>
      <c r="Q100" s="303" t="s">
        <v>1952</v>
      </c>
      <c r="R100" s="303">
        <f t="shared" si="3"/>
        <v>0</v>
      </c>
      <c r="S100" s="303">
        <v>0</v>
      </c>
    </row>
    <row r="101" spans="1:19" x14ac:dyDescent="0.25">
      <c r="A101" s="303" t="s">
        <v>3471</v>
      </c>
      <c r="B101" s="303" t="s">
        <v>3470</v>
      </c>
      <c r="C101" s="328">
        <v>43196</v>
      </c>
      <c r="D101" s="303" t="s">
        <v>1965</v>
      </c>
      <c r="E101" s="303" t="s">
        <v>1964</v>
      </c>
      <c r="F101" s="303" t="s">
        <v>1846</v>
      </c>
      <c r="G101" s="303" t="s">
        <v>1959</v>
      </c>
      <c r="H101" s="303" t="s">
        <v>1956</v>
      </c>
      <c r="I101" s="304">
        <v>3860</v>
      </c>
      <c r="J101" s="303" t="s">
        <v>1912</v>
      </c>
      <c r="K101" s="303" t="s">
        <v>1382</v>
      </c>
      <c r="L101" s="303" t="s">
        <v>1956</v>
      </c>
      <c r="M101" s="303" t="s">
        <v>3299</v>
      </c>
      <c r="N101" s="303" t="s">
        <v>1987</v>
      </c>
      <c r="O101" s="303" t="s">
        <v>1986</v>
      </c>
      <c r="P101" s="328">
        <v>43196</v>
      </c>
      <c r="Q101" s="303" t="s">
        <v>1952</v>
      </c>
      <c r="R101" s="303">
        <f t="shared" si="3"/>
        <v>0</v>
      </c>
      <c r="S101" s="303">
        <v>0</v>
      </c>
    </row>
    <row r="102" spans="1:19" x14ac:dyDescent="0.25">
      <c r="A102" s="303" t="s">
        <v>3471</v>
      </c>
      <c r="B102" s="303" t="s">
        <v>3470</v>
      </c>
      <c r="C102" s="328">
        <v>43196</v>
      </c>
      <c r="D102" s="303" t="s">
        <v>1961</v>
      </c>
      <c r="E102" s="303" t="s">
        <v>1960</v>
      </c>
      <c r="F102" s="303" t="s">
        <v>1846</v>
      </c>
      <c r="G102" s="303" t="s">
        <v>1959</v>
      </c>
      <c r="H102" s="303" t="s">
        <v>1956</v>
      </c>
      <c r="I102" s="304">
        <v>-3860</v>
      </c>
      <c r="J102" s="303" t="s">
        <v>1912</v>
      </c>
      <c r="K102" s="303" t="s">
        <v>1382</v>
      </c>
      <c r="L102" s="303" t="s">
        <v>1956</v>
      </c>
      <c r="M102" s="303" t="s">
        <v>3299</v>
      </c>
      <c r="N102" s="303" t="s">
        <v>1987</v>
      </c>
      <c r="O102" s="303" t="s">
        <v>1986</v>
      </c>
      <c r="P102" s="328">
        <v>43196</v>
      </c>
      <c r="Q102" s="303" t="s">
        <v>1952</v>
      </c>
      <c r="R102" s="303">
        <f t="shared" si="3"/>
        <v>0</v>
      </c>
      <c r="S102" s="303">
        <v>0</v>
      </c>
    </row>
    <row r="103" spans="1:19" x14ac:dyDescent="0.25">
      <c r="A103" s="303" t="s">
        <v>3469</v>
      </c>
      <c r="B103" s="303" t="s">
        <v>3468</v>
      </c>
      <c r="C103" s="328">
        <v>43196</v>
      </c>
      <c r="D103" s="303" t="s">
        <v>1965</v>
      </c>
      <c r="E103" s="303" t="s">
        <v>1964</v>
      </c>
      <c r="F103" s="303" t="s">
        <v>1846</v>
      </c>
      <c r="G103" s="303" t="s">
        <v>1959</v>
      </c>
      <c r="H103" s="303" t="s">
        <v>1956</v>
      </c>
      <c r="I103" s="304">
        <v>1040</v>
      </c>
      <c r="J103" s="303" t="s">
        <v>1916</v>
      </c>
      <c r="K103" s="303" t="s">
        <v>3467</v>
      </c>
      <c r="L103" s="303" t="s">
        <v>1956</v>
      </c>
      <c r="M103" s="303" t="s">
        <v>3299</v>
      </c>
      <c r="N103" s="303" t="s">
        <v>1987</v>
      </c>
      <c r="O103" s="303" t="s">
        <v>1986</v>
      </c>
      <c r="P103" s="328">
        <v>43196</v>
      </c>
      <c r="Q103" s="303" t="s">
        <v>1952</v>
      </c>
      <c r="R103" s="303">
        <f t="shared" si="3"/>
        <v>0</v>
      </c>
      <c r="S103" s="303">
        <v>0</v>
      </c>
    </row>
    <row r="104" spans="1:19" x14ac:dyDescent="0.25">
      <c r="A104" s="303" t="s">
        <v>3469</v>
      </c>
      <c r="B104" s="303" t="s">
        <v>3468</v>
      </c>
      <c r="C104" s="328">
        <v>43196</v>
      </c>
      <c r="D104" s="303" t="s">
        <v>1961</v>
      </c>
      <c r="E104" s="303" t="s">
        <v>1960</v>
      </c>
      <c r="F104" s="303" t="s">
        <v>1846</v>
      </c>
      <c r="G104" s="303" t="s">
        <v>1959</v>
      </c>
      <c r="H104" s="303" t="s">
        <v>1956</v>
      </c>
      <c r="I104" s="304">
        <v>-1040</v>
      </c>
      <c r="J104" s="303" t="s">
        <v>1916</v>
      </c>
      <c r="K104" s="303" t="s">
        <v>3467</v>
      </c>
      <c r="L104" s="303" t="s">
        <v>1956</v>
      </c>
      <c r="M104" s="303" t="s">
        <v>3299</v>
      </c>
      <c r="N104" s="303" t="s">
        <v>1987</v>
      </c>
      <c r="O104" s="303" t="s">
        <v>1986</v>
      </c>
      <c r="P104" s="328">
        <v>43196</v>
      </c>
      <c r="Q104" s="303" t="s">
        <v>1952</v>
      </c>
      <c r="R104" s="303">
        <f t="shared" si="3"/>
        <v>0</v>
      </c>
      <c r="S104" s="303">
        <v>0</v>
      </c>
    </row>
    <row r="105" spans="1:19" x14ac:dyDescent="0.25">
      <c r="A105" s="303" t="s">
        <v>3466</v>
      </c>
      <c r="B105" s="303" t="s">
        <v>3465</v>
      </c>
      <c r="C105" s="328">
        <v>43196</v>
      </c>
      <c r="D105" s="303" t="s">
        <v>1965</v>
      </c>
      <c r="E105" s="303" t="s">
        <v>1964</v>
      </c>
      <c r="F105" s="303" t="s">
        <v>1846</v>
      </c>
      <c r="G105" s="303" t="s">
        <v>1959</v>
      </c>
      <c r="H105" s="303" t="s">
        <v>1956</v>
      </c>
      <c r="I105" s="304">
        <v>740</v>
      </c>
      <c r="J105" s="303" t="s">
        <v>1779</v>
      </c>
      <c r="K105" s="303" t="s">
        <v>2309</v>
      </c>
      <c r="L105" s="303" t="s">
        <v>1956</v>
      </c>
      <c r="M105" s="303" t="s">
        <v>3299</v>
      </c>
      <c r="N105" s="303" t="s">
        <v>1987</v>
      </c>
      <c r="O105" s="303" t="s">
        <v>1986</v>
      </c>
      <c r="P105" s="328">
        <v>43196</v>
      </c>
      <c r="Q105" s="303" t="s">
        <v>1952</v>
      </c>
      <c r="R105" s="303">
        <f t="shared" si="3"/>
        <v>0</v>
      </c>
      <c r="S105" s="303">
        <v>0</v>
      </c>
    </row>
    <row r="106" spans="1:19" x14ac:dyDescent="0.25">
      <c r="A106" s="303" t="s">
        <v>3466</v>
      </c>
      <c r="B106" s="303" t="s">
        <v>3465</v>
      </c>
      <c r="C106" s="328">
        <v>43196</v>
      </c>
      <c r="D106" s="303" t="s">
        <v>1961</v>
      </c>
      <c r="E106" s="303" t="s">
        <v>1960</v>
      </c>
      <c r="F106" s="303" t="s">
        <v>1846</v>
      </c>
      <c r="G106" s="303" t="s">
        <v>1959</v>
      </c>
      <c r="H106" s="303" t="s">
        <v>1956</v>
      </c>
      <c r="I106" s="304">
        <v>-740</v>
      </c>
      <c r="J106" s="303" t="s">
        <v>1779</v>
      </c>
      <c r="K106" s="303" t="s">
        <v>2309</v>
      </c>
      <c r="L106" s="303" t="s">
        <v>1956</v>
      </c>
      <c r="M106" s="303" t="s">
        <v>3299</v>
      </c>
      <c r="N106" s="303" t="s">
        <v>1987</v>
      </c>
      <c r="O106" s="303" t="s">
        <v>1986</v>
      </c>
      <c r="P106" s="328">
        <v>43196</v>
      </c>
      <c r="Q106" s="303" t="s">
        <v>1952</v>
      </c>
      <c r="R106" s="303">
        <f t="shared" si="3"/>
        <v>0</v>
      </c>
      <c r="S106" s="303">
        <v>0</v>
      </c>
    </row>
    <row r="107" spans="1:19" x14ac:dyDescent="0.25">
      <c r="A107" s="303" t="s">
        <v>3464</v>
      </c>
      <c r="B107" s="303" t="s">
        <v>3463</v>
      </c>
      <c r="C107" s="328">
        <v>43196</v>
      </c>
      <c r="D107" s="303" t="s">
        <v>1965</v>
      </c>
      <c r="E107" s="303" t="s">
        <v>1964</v>
      </c>
      <c r="F107" s="303" t="s">
        <v>1846</v>
      </c>
      <c r="G107" s="303" t="s">
        <v>1959</v>
      </c>
      <c r="H107" s="303" t="s">
        <v>1956</v>
      </c>
      <c r="I107" s="304">
        <v>2980</v>
      </c>
      <c r="J107" s="303" t="s">
        <v>1783</v>
      </c>
      <c r="K107" s="303" t="s">
        <v>1469</v>
      </c>
      <c r="L107" s="303" t="s">
        <v>1956</v>
      </c>
      <c r="M107" s="303" t="s">
        <v>3299</v>
      </c>
      <c r="N107" s="303" t="s">
        <v>1987</v>
      </c>
      <c r="O107" s="303" t="s">
        <v>1986</v>
      </c>
      <c r="P107" s="328">
        <v>43196</v>
      </c>
      <c r="Q107" s="303" t="s">
        <v>1952</v>
      </c>
      <c r="R107" s="303">
        <f t="shared" si="3"/>
        <v>0</v>
      </c>
      <c r="S107" s="303">
        <v>0</v>
      </c>
    </row>
    <row r="108" spans="1:19" x14ac:dyDescent="0.25">
      <c r="A108" s="303" t="s">
        <v>3464</v>
      </c>
      <c r="B108" s="303" t="s">
        <v>3463</v>
      </c>
      <c r="C108" s="328">
        <v>43196</v>
      </c>
      <c r="D108" s="303" t="s">
        <v>1961</v>
      </c>
      <c r="E108" s="303" t="s">
        <v>1960</v>
      </c>
      <c r="F108" s="303" t="s">
        <v>1846</v>
      </c>
      <c r="G108" s="303" t="s">
        <v>1959</v>
      </c>
      <c r="H108" s="303" t="s">
        <v>1956</v>
      </c>
      <c r="I108" s="304">
        <v>-2980</v>
      </c>
      <c r="J108" s="303" t="s">
        <v>1783</v>
      </c>
      <c r="K108" s="303" t="s">
        <v>1469</v>
      </c>
      <c r="L108" s="303" t="s">
        <v>1956</v>
      </c>
      <c r="M108" s="303" t="s">
        <v>3299</v>
      </c>
      <c r="N108" s="303" t="s">
        <v>1987</v>
      </c>
      <c r="O108" s="303" t="s">
        <v>1986</v>
      </c>
      <c r="P108" s="328">
        <v>43196</v>
      </c>
      <c r="Q108" s="303" t="s">
        <v>1952</v>
      </c>
      <c r="R108" s="303">
        <f t="shared" si="3"/>
        <v>0</v>
      </c>
      <c r="S108" s="303">
        <v>0</v>
      </c>
    </row>
    <row r="109" spans="1:19" x14ac:dyDescent="0.25">
      <c r="A109" s="303" t="s">
        <v>3462</v>
      </c>
      <c r="B109" s="303" t="s">
        <v>3461</v>
      </c>
      <c r="C109" s="328">
        <v>43196</v>
      </c>
      <c r="D109" s="303" t="s">
        <v>1965</v>
      </c>
      <c r="E109" s="303" t="s">
        <v>1964</v>
      </c>
      <c r="F109" s="303" t="s">
        <v>1846</v>
      </c>
      <c r="G109" s="303" t="s">
        <v>1959</v>
      </c>
      <c r="H109" s="303" t="s">
        <v>1956</v>
      </c>
      <c r="I109" s="304">
        <v>1780</v>
      </c>
      <c r="J109" s="303" t="s">
        <v>1785</v>
      </c>
      <c r="K109" s="303" t="s">
        <v>2130</v>
      </c>
      <c r="L109" s="303" t="s">
        <v>1956</v>
      </c>
      <c r="M109" s="303" t="s">
        <v>3299</v>
      </c>
      <c r="N109" s="303" t="s">
        <v>1987</v>
      </c>
      <c r="O109" s="303" t="s">
        <v>1986</v>
      </c>
      <c r="P109" s="328">
        <v>43196</v>
      </c>
      <c r="Q109" s="303" t="s">
        <v>1952</v>
      </c>
      <c r="R109" s="303">
        <f t="shared" si="3"/>
        <v>0</v>
      </c>
      <c r="S109" s="303">
        <v>0</v>
      </c>
    </row>
    <row r="110" spans="1:19" x14ac:dyDescent="0.25">
      <c r="A110" s="303" t="s">
        <v>3462</v>
      </c>
      <c r="B110" s="303" t="s">
        <v>3461</v>
      </c>
      <c r="C110" s="328">
        <v>43196</v>
      </c>
      <c r="D110" s="303" t="s">
        <v>1961</v>
      </c>
      <c r="E110" s="303" t="s">
        <v>1960</v>
      </c>
      <c r="F110" s="303" t="s">
        <v>1846</v>
      </c>
      <c r="G110" s="303" t="s">
        <v>1959</v>
      </c>
      <c r="H110" s="303" t="s">
        <v>1956</v>
      </c>
      <c r="I110" s="304">
        <v>-1780</v>
      </c>
      <c r="J110" s="303" t="s">
        <v>1785</v>
      </c>
      <c r="K110" s="303" t="s">
        <v>2130</v>
      </c>
      <c r="L110" s="303" t="s">
        <v>1956</v>
      </c>
      <c r="M110" s="303" t="s">
        <v>3299</v>
      </c>
      <c r="N110" s="303" t="s">
        <v>1987</v>
      </c>
      <c r="O110" s="303" t="s">
        <v>1986</v>
      </c>
      <c r="P110" s="328">
        <v>43196</v>
      </c>
      <c r="Q110" s="303" t="s">
        <v>1952</v>
      </c>
      <c r="R110" s="303">
        <f t="shared" si="3"/>
        <v>0</v>
      </c>
      <c r="S110" s="303">
        <v>0</v>
      </c>
    </row>
    <row r="111" spans="1:19" x14ac:dyDescent="0.25">
      <c r="A111" s="303" t="s">
        <v>3460</v>
      </c>
      <c r="B111" s="303" t="s">
        <v>3459</v>
      </c>
      <c r="C111" s="328">
        <v>43196</v>
      </c>
      <c r="D111" s="303" t="s">
        <v>1965</v>
      </c>
      <c r="E111" s="303" t="s">
        <v>1964</v>
      </c>
      <c r="F111" s="303" t="s">
        <v>1846</v>
      </c>
      <c r="G111" s="303" t="s">
        <v>1959</v>
      </c>
      <c r="H111" s="303" t="s">
        <v>1956</v>
      </c>
      <c r="I111" s="304">
        <v>33930</v>
      </c>
      <c r="J111" s="303" t="s">
        <v>1787</v>
      </c>
      <c r="K111" s="303" t="s">
        <v>1466</v>
      </c>
      <c r="L111" s="303" t="s">
        <v>1956</v>
      </c>
      <c r="M111" s="303" t="s">
        <v>3299</v>
      </c>
      <c r="N111" s="303" t="s">
        <v>1987</v>
      </c>
      <c r="O111" s="303" t="s">
        <v>1986</v>
      </c>
      <c r="P111" s="328">
        <v>43196</v>
      </c>
      <c r="Q111" s="303" t="s">
        <v>1952</v>
      </c>
      <c r="R111" s="303">
        <f t="shared" si="3"/>
        <v>0</v>
      </c>
      <c r="S111" s="303">
        <v>0</v>
      </c>
    </row>
    <row r="112" spans="1:19" x14ac:dyDescent="0.25">
      <c r="A112" s="303" t="s">
        <v>3460</v>
      </c>
      <c r="B112" s="303" t="s">
        <v>3459</v>
      </c>
      <c r="C112" s="328">
        <v>43196</v>
      </c>
      <c r="D112" s="303" t="s">
        <v>1961</v>
      </c>
      <c r="E112" s="303" t="s">
        <v>1960</v>
      </c>
      <c r="F112" s="303" t="s">
        <v>1846</v>
      </c>
      <c r="G112" s="303" t="s">
        <v>1959</v>
      </c>
      <c r="H112" s="303" t="s">
        <v>1956</v>
      </c>
      <c r="I112" s="304">
        <v>-33930</v>
      </c>
      <c r="J112" s="303" t="s">
        <v>1787</v>
      </c>
      <c r="K112" s="303" t="s">
        <v>1466</v>
      </c>
      <c r="L112" s="303" t="s">
        <v>1956</v>
      </c>
      <c r="M112" s="303" t="s">
        <v>3299</v>
      </c>
      <c r="N112" s="303" t="s">
        <v>1987</v>
      </c>
      <c r="O112" s="303" t="s">
        <v>1986</v>
      </c>
      <c r="P112" s="328">
        <v>43196</v>
      </c>
      <c r="Q112" s="303" t="s">
        <v>1952</v>
      </c>
      <c r="R112" s="303">
        <f t="shared" si="3"/>
        <v>0</v>
      </c>
      <c r="S112" s="303">
        <v>0</v>
      </c>
    </row>
    <row r="113" spans="1:19" x14ac:dyDescent="0.25">
      <c r="A113" s="303" t="s">
        <v>3458</v>
      </c>
      <c r="B113" s="303" t="s">
        <v>3457</v>
      </c>
      <c r="C113" s="328">
        <v>43196</v>
      </c>
      <c r="D113" s="303" t="s">
        <v>1965</v>
      </c>
      <c r="E113" s="303" t="s">
        <v>1964</v>
      </c>
      <c r="F113" s="303" t="s">
        <v>1846</v>
      </c>
      <c r="G113" s="303" t="s">
        <v>1959</v>
      </c>
      <c r="H113" s="303" t="s">
        <v>1956</v>
      </c>
      <c r="I113" s="304">
        <v>2750</v>
      </c>
      <c r="J113" s="303" t="s">
        <v>1739</v>
      </c>
      <c r="K113" s="303" t="s">
        <v>1487</v>
      </c>
      <c r="L113" s="303" t="s">
        <v>1956</v>
      </c>
      <c r="M113" s="303" t="s">
        <v>3299</v>
      </c>
      <c r="N113" s="303" t="s">
        <v>1987</v>
      </c>
      <c r="O113" s="303" t="s">
        <v>1986</v>
      </c>
      <c r="P113" s="328">
        <v>43196</v>
      </c>
      <c r="Q113" s="303" t="s">
        <v>1952</v>
      </c>
      <c r="R113" s="303">
        <f t="shared" si="3"/>
        <v>0</v>
      </c>
      <c r="S113" s="303">
        <v>0</v>
      </c>
    </row>
    <row r="114" spans="1:19" x14ac:dyDescent="0.25">
      <c r="A114" s="303" t="s">
        <v>3458</v>
      </c>
      <c r="B114" s="303" t="s">
        <v>3457</v>
      </c>
      <c r="C114" s="328">
        <v>43196</v>
      </c>
      <c r="D114" s="303" t="s">
        <v>1961</v>
      </c>
      <c r="E114" s="303" t="s">
        <v>1960</v>
      </c>
      <c r="F114" s="303" t="s">
        <v>1846</v>
      </c>
      <c r="G114" s="303" t="s">
        <v>1959</v>
      </c>
      <c r="H114" s="303" t="s">
        <v>1956</v>
      </c>
      <c r="I114" s="304">
        <v>-2750</v>
      </c>
      <c r="J114" s="303" t="s">
        <v>1739</v>
      </c>
      <c r="K114" s="303" t="s">
        <v>1487</v>
      </c>
      <c r="L114" s="303" t="s">
        <v>1956</v>
      </c>
      <c r="M114" s="303" t="s">
        <v>3299</v>
      </c>
      <c r="N114" s="303" t="s">
        <v>1987</v>
      </c>
      <c r="O114" s="303" t="s">
        <v>1986</v>
      </c>
      <c r="P114" s="328">
        <v>43196</v>
      </c>
      <c r="Q114" s="303" t="s">
        <v>1952</v>
      </c>
      <c r="R114" s="303">
        <f t="shared" si="3"/>
        <v>0</v>
      </c>
      <c r="S114" s="303">
        <v>0</v>
      </c>
    </row>
    <row r="115" spans="1:19" x14ac:dyDescent="0.25">
      <c r="A115" s="303" t="s">
        <v>3456</v>
      </c>
      <c r="B115" s="303" t="s">
        <v>3455</v>
      </c>
      <c r="C115" s="328">
        <v>43196</v>
      </c>
      <c r="D115" s="303" t="s">
        <v>1965</v>
      </c>
      <c r="E115" s="303" t="s">
        <v>1964</v>
      </c>
      <c r="F115" s="303" t="s">
        <v>1846</v>
      </c>
      <c r="G115" s="303" t="s">
        <v>1959</v>
      </c>
      <c r="H115" s="303" t="s">
        <v>1956</v>
      </c>
      <c r="I115" s="304">
        <v>2730</v>
      </c>
      <c r="J115" s="303" t="s">
        <v>1741</v>
      </c>
      <c r="K115" s="303" t="s">
        <v>1484</v>
      </c>
      <c r="L115" s="303" t="s">
        <v>1956</v>
      </c>
      <c r="M115" s="303" t="s">
        <v>3299</v>
      </c>
      <c r="N115" s="303" t="s">
        <v>1987</v>
      </c>
      <c r="O115" s="303" t="s">
        <v>1986</v>
      </c>
      <c r="P115" s="328">
        <v>43196</v>
      </c>
      <c r="Q115" s="303" t="s">
        <v>1952</v>
      </c>
      <c r="R115" s="303">
        <f t="shared" si="3"/>
        <v>0</v>
      </c>
      <c r="S115" s="303">
        <v>0</v>
      </c>
    </row>
    <row r="116" spans="1:19" x14ac:dyDescent="0.25">
      <c r="A116" s="303" t="s">
        <v>3456</v>
      </c>
      <c r="B116" s="303" t="s">
        <v>3455</v>
      </c>
      <c r="C116" s="328">
        <v>43196</v>
      </c>
      <c r="D116" s="303" t="s">
        <v>1961</v>
      </c>
      <c r="E116" s="303" t="s">
        <v>1960</v>
      </c>
      <c r="F116" s="303" t="s">
        <v>1846</v>
      </c>
      <c r="G116" s="303" t="s">
        <v>1959</v>
      </c>
      <c r="H116" s="303" t="s">
        <v>1956</v>
      </c>
      <c r="I116" s="304">
        <v>-2730</v>
      </c>
      <c r="J116" s="303" t="s">
        <v>1741</v>
      </c>
      <c r="K116" s="303" t="s">
        <v>1484</v>
      </c>
      <c r="L116" s="303" t="s">
        <v>1956</v>
      </c>
      <c r="M116" s="303" t="s">
        <v>3299</v>
      </c>
      <c r="N116" s="303" t="s">
        <v>1987</v>
      </c>
      <c r="O116" s="303" t="s">
        <v>1986</v>
      </c>
      <c r="P116" s="328">
        <v>43196</v>
      </c>
      <c r="Q116" s="303" t="s">
        <v>1952</v>
      </c>
      <c r="R116" s="303">
        <f t="shared" si="3"/>
        <v>0</v>
      </c>
      <c r="S116" s="303">
        <v>0</v>
      </c>
    </row>
    <row r="117" spans="1:19" x14ac:dyDescent="0.25">
      <c r="A117" s="303" t="s">
        <v>3454</v>
      </c>
      <c r="B117" s="303" t="s">
        <v>3453</v>
      </c>
      <c r="C117" s="328">
        <v>43196</v>
      </c>
      <c r="D117" s="303" t="s">
        <v>1965</v>
      </c>
      <c r="E117" s="303" t="s">
        <v>1964</v>
      </c>
      <c r="F117" s="303" t="s">
        <v>1846</v>
      </c>
      <c r="G117" s="303" t="s">
        <v>1959</v>
      </c>
      <c r="H117" s="303" t="s">
        <v>1956</v>
      </c>
      <c r="I117" s="304">
        <v>1500</v>
      </c>
      <c r="J117" s="303" t="s">
        <v>1743</v>
      </c>
      <c r="K117" s="303" t="s">
        <v>1481</v>
      </c>
      <c r="L117" s="303" t="s">
        <v>1956</v>
      </c>
      <c r="M117" s="303" t="s">
        <v>3299</v>
      </c>
      <c r="N117" s="303" t="s">
        <v>1987</v>
      </c>
      <c r="O117" s="303" t="s">
        <v>1986</v>
      </c>
      <c r="P117" s="328">
        <v>43196</v>
      </c>
      <c r="Q117" s="303" t="s">
        <v>1952</v>
      </c>
      <c r="R117" s="303">
        <f t="shared" si="3"/>
        <v>0</v>
      </c>
      <c r="S117" s="303">
        <v>0</v>
      </c>
    </row>
    <row r="118" spans="1:19" x14ac:dyDescent="0.25">
      <c r="A118" s="303" t="s">
        <v>3454</v>
      </c>
      <c r="B118" s="303" t="s">
        <v>3453</v>
      </c>
      <c r="C118" s="328">
        <v>43196</v>
      </c>
      <c r="D118" s="303" t="s">
        <v>1961</v>
      </c>
      <c r="E118" s="303" t="s">
        <v>1960</v>
      </c>
      <c r="F118" s="303" t="s">
        <v>1846</v>
      </c>
      <c r="G118" s="303" t="s">
        <v>1959</v>
      </c>
      <c r="H118" s="303" t="s">
        <v>1956</v>
      </c>
      <c r="I118" s="304">
        <v>-1500</v>
      </c>
      <c r="J118" s="303" t="s">
        <v>1743</v>
      </c>
      <c r="K118" s="303" t="s">
        <v>1481</v>
      </c>
      <c r="L118" s="303" t="s">
        <v>1956</v>
      </c>
      <c r="M118" s="303" t="s">
        <v>3299</v>
      </c>
      <c r="N118" s="303" t="s">
        <v>1987</v>
      </c>
      <c r="O118" s="303" t="s">
        <v>1986</v>
      </c>
      <c r="P118" s="328">
        <v>43196</v>
      </c>
      <c r="Q118" s="303" t="s">
        <v>1952</v>
      </c>
      <c r="R118" s="303">
        <f t="shared" si="3"/>
        <v>0</v>
      </c>
      <c r="S118" s="303">
        <v>0</v>
      </c>
    </row>
    <row r="119" spans="1:19" x14ac:dyDescent="0.25">
      <c r="A119" s="303" t="s">
        <v>3452</v>
      </c>
      <c r="B119" s="303" t="s">
        <v>3451</v>
      </c>
      <c r="C119" s="328">
        <v>43196</v>
      </c>
      <c r="D119" s="303" t="s">
        <v>1965</v>
      </c>
      <c r="E119" s="303" t="s">
        <v>1964</v>
      </c>
      <c r="F119" s="303" t="s">
        <v>1846</v>
      </c>
      <c r="G119" s="303" t="s">
        <v>1959</v>
      </c>
      <c r="H119" s="303" t="s">
        <v>1956</v>
      </c>
      <c r="I119" s="304">
        <v>5200</v>
      </c>
      <c r="J119" s="303" t="s">
        <v>1745</v>
      </c>
      <c r="K119" s="303" t="s">
        <v>1478</v>
      </c>
      <c r="L119" s="303" t="s">
        <v>1956</v>
      </c>
      <c r="M119" s="303" t="s">
        <v>3299</v>
      </c>
      <c r="N119" s="303" t="s">
        <v>1987</v>
      </c>
      <c r="O119" s="303" t="s">
        <v>1986</v>
      </c>
      <c r="P119" s="328">
        <v>43196</v>
      </c>
      <c r="Q119" s="303" t="s">
        <v>1952</v>
      </c>
      <c r="R119" s="303">
        <f t="shared" si="3"/>
        <v>0</v>
      </c>
      <c r="S119" s="303">
        <v>0</v>
      </c>
    </row>
    <row r="120" spans="1:19" x14ac:dyDescent="0.25">
      <c r="A120" s="303" t="s">
        <v>3452</v>
      </c>
      <c r="B120" s="303" t="s">
        <v>3451</v>
      </c>
      <c r="C120" s="328">
        <v>43196</v>
      </c>
      <c r="D120" s="303" t="s">
        <v>1961</v>
      </c>
      <c r="E120" s="303" t="s">
        <v>1960</v>
      </c>
      <c r="F120" s="303" t="s">
        <v>1846</v>
      </c>
      <c r="G120" s="303" t="s">
        <v>1959</v>
      </c>
      <c r="H120" s="303" t="s">
        <v>1956</v>
      </c>
      <c r="I120" s="304">
        <v>-5200</v>
      </c>
      <c r="J120" s="303" t="s">
        <v>1745</v>
      </c>
      <c r="K120" s="303" t="s">
        <v>1478</v>
      </c>
      <c r="L120" s="303" t="s">
        <v>1956</v>
      </c>
      <c r="M120" s="303" t="s">
        <v>3299</v>
      </c>
      <c r="N120" s="303" t="s">
        <v>1987</v>
      </c>
      <c r="O120" s="303" t="s">
        <v>1986</v>
      </c>
      <c r="P120" s="328">
        <v>43196</v>
      </c>
      <c r="Q120" s="303" t="s">
        <v>1952</v>
      </c>
      <c r="R120" s="303">
        <f t="shared" si="3"/>
        <v>0</v>
      </c>
      <c r="S120" s="303">
        <v>0</v>
      </c>
    </row>
    <row r="121" spans="1:19" x14ac:dyDescent="0.25">
      <c r="A121" s="303" t="s">
        <v>3450</v>
      </c>
      <c r="B121" s="303" t="s">
        <v>3449</v>
      </c>
      <c r="C121" s="328">
        <v>43196</v>
      </c>
      <c r="D121" s="303" t="s">
        <v>1965</v>
      </c>
      <c r="E121" s="303" t="s">
        <v>1964</v>
      </c>
      <c r="F121" s="303" t="s">
        <v>1846</v>
      </c>
      <c r="G121" s="303" t="s">
        <v>1959</v>
      </c>
      <c r="H121" s="303" t="s">
        <v>1956</v>
      </c>
      <c r="I121" s="304">
        <v>4600</v>
      </c>
      <c r="J121" s="303" t="s">
        <v>1727</v>
      </c>
      <c r="K121" s="303" t="s">
        <v>1502</v>
      </c>
      <c r="L121" s="303" t="s">
        <v>1956</v>
      </c>
      <c r="M121" s="303" t="s">
        <v>3299</v>
      </c>
      <c r="N121" s="303" t="s">
        <v>1987</v>
      </c>
      <c r="O121" s="303" t="s">
        <v>1986</v>
      </c>
      <c r="P121" s="328">
        <v>43196</v>
      </c>
      <c r="Q121" s="303" t="s">
        <v>1952</v>
      </c>
      <c r="R121" s="303">
        <f t="shared" si="3"/>
        <v>0</v>
      </c>
      <c r="S121" s="303">
        <v>0</v>
      </c>
    </row>
    <row r="122" spans="1:19" x14ac:dyDescent="0.25">
      <c r="A122" s="303" t="s">
        <v>3450</v>
      </c>
      <c r="B122" s="303" t="s">
        <v>3449</v>
      </c>
      <c r="C122" s="328">
        <v>43196</v>
      </c>
      <c r="D122" s="303" t="s">
        <v>1961</v>
      </c>
      <c r="E122" s="303" t="s">
        <v>1960</v>
      </c>
      <c r="F122" s="303" t="s">
        <v>1846</v>
      </c>
      <c r="G122" s="303" t="s">
        <v>1959</v>
      </c>
      <c r="H122" s="303" t="s">
        <v>1956</v>
      </c>
      <c r="I122" s="304">
        <v>-4600</v>
      </c>
      <c r="J122" s="303" t="s">
        <v>1727</v>
      </c>
      <c r="K122" s="303" t="s">
        <v>1502</v>
      </c>
      <c r="L122" s="303" t="s">
        <v>1956</v>
      </c>
      <c r="M122" s="303" t="s">
        <v>3299</v>
      </c>
      <c r="N122" s="303" t="s">
        <v>1987</v>
      </c>
      <c r="O122" s="303" t="s">
        <v>1986</v>
      </c>
      <c r="P122" s="328">
        <v>43196</v>
      </c>
      <c r="Q122" s="303" t="s">
        <v>1952</v>
      </c>
      <c r="R122" s="303">
        <f t="shared" si="3"/>
        <v>0</v>
      </c>
      <c r="S122" s="303">
        <v>0</v>
      </c>
    </row>
    <row r="123" spans="1:19" x14ac:dyDescent="0.25">
      <c r="A123" s="303" t="s">
        <v>3448</v>
      </c>
      <c r="B123" s="303" t="s">
        <v>3447</v>
      </c>
      <c r="C123" s="328">
        <v>43196</v>
      </c>
      <c r="D123" s="303" t="s">
        <v>1965</v>
      </c>
      <c r="E123" s="303" t="s">
        <v>1964</v>
      </c>
      <c r="F123" s="303" t="s">
        <v>1846</v>
      </c>
      <c r="G123" s="303" t="s">
        <v>1959</v>
      </c>
      <c r="H123" s="303" t="s">
        <v>1956</v>
      </c>
      <c r="I123" s="304">
        <v>3100</v>
      </c>
      <c r="J123" s="303" t="s">
        <v>1707</v>
      </c>
      <c r="K123" s="303" t="s">
        <v>1523</v>
      </c>
      <c r="L123" s="303" t="s">
        <v>1956</v>
      </c>
      <c r="M123" s="303" t="s">
        <v>3299</v>
      </c>
      <c r="N123" s="303" t="s">
        <v>1987</v>
      </c>
      <c r="O123" s="303" t="s">
        <v>1986</v>
      </c>
      <c r="P123" s="328">
        <v>43196</v>
      </c>
      <c r="Q123" s="303" t="s">
        <v>1952</v>
      </c>
      <c r="R123" s="303">
        <f t="shared" si="3"/>
        <v>0</v>
      </c>
      <c r="S123" s="303">
        <v>0</v>
      </c>
    </row>
    <row r="124" spans="1:19" x14ac:dyDescent="0.25">
      <c r="A124" s="303" t="s">
        <v>3448</v>
      </c>
      <c r="B124" s="303" t="s">
        <v>3447</v>
      </c>
      <c r="C124" s="328">
        <v>43196</v>
      </c>
      <c r="D124" s="303" t="s">
        <v>1961</v>
      </c>
      <c r="E124" s="303" t="s">
        <v>1960</v>
      </c>
      <c r="F124" s="303" t="s">
        <v>1846</v>
      </c>
      <c r="G124" s="303" t="s">
        <v>1959</v>
      </c>
      <c r="H124" s="303" t="s">
        <v>1956</v>
      </c>
      <c r="I124" s="304">
        <v>-3100</v>
      </c>
      <c r="J124" s="303" t="s">
        <v>1707</v>
      </c>
      <c r="K124" s="303" t="s">
        <v>1523</v>
      </c>
      <c r="L124" s="303" t="s">
        <v>1956</v>
      </c>
      <c r="M124" s="303" t="s">
        <v>3299</v>
      </c>
      <c r="N124" s="303" t="s">
        <v>1987</v>
      </c>
      <c r="O124" s="303" t="s">
        <v>1986</v>
      </c>
      <c r="P124" s="328">
        <v>43196</v>
      </c>
      <c r="Q124" s="303" t="s">
        <v>1952</v>
      </c>
      <c r="R124" s="303">
        <f t="shared" si="3"/>
        <v>0</v>
      </c>
      <c r="S124" s="303">
        <v>0</v>
      </c>
    </row>
    <row r="125" spans="1:19" x14ac:dyDescent="0.25">
      <c r="A125" s="303" t="s">
        <v>3446</v>
      </c>
      <c r="B125" s="303" t="s">
        <v>3445</v>
      </c>
      <c r="C125" s="328">
        <v>43196</v>
      </c>
      <c r="D125" s="303" t="s">
        <v>1965</v>
      </c>
      <c r="E125" s="303" t="s">
        <v>1964</v>
      </c>
      <c r="F125" s="303" t="s">
        <v>1846</v>
      </c>
      <c r="G125" s="303" t="s">
        <v>1959</v>
      </c>
      <c r="H125" s="303" t="s">
        <v>1956</v>
      </c>
      <c r="I125" s="304">
        <v>7070</v>
      </c>
      <c r="J125" s="303" t="s">
        <v>1713</v>
      </c>
      <c r="K125" s="303" t="s">
        <v>1517</v>
      </c>
      <c r="L125" s="303" t="s">
        <v>1956</v>
      </c>
      <c r="M125" s="303" t="s">
        <v>3299</v>
      </c>
      <c r="N125" s="303" t="s">
        <v>1987</v>
      </c>
      <c r="O125" s="303" t="s">
        <v>1986</v>
      </c>
      <c r="P125" s="328">
        <v>43196</v>
      </c>
      <c r="Q125" s="303" t="s">
        <v>1952</v>
      </c>
      <c r="R125" s="303">
        <f t="shared" si="3"/>
        <v>0</v>
      </c>
      <c r="S125" s="303">
        <v>0</v>
      </c>
    </row>
    <row r="126" spans="1:19" x14ac:dyDescent="0.25">
      <c r="A126" s="303" t="s">
        <v>3446</v>
      </c>
      <c r="B126" s="303" t="s">
        <v>3445</v>
      </c>
      <c r="C126" s="328">
        <v>43196</v>
      </c>
      <c r="D126" s="303" t="s">
        <v>1961</v>
      </c>
      <c r="E126" s="303" t="s">
        <v>1960</v>
      </c>
      <c r="F126" s="303" t="s">
        <v>1846</v>
      </c>
      <c r="G126" s="303" t="s">
        <v>1959</v>
      </c>
      <c r="H126" s="303" t="s">
        <v>1956</v>
      </c>
      <c r="I126" s="304">
        <v>-7070</v>
      </c>
      <c r="J126" s="303" t="s">
        <v>1713</v>
      </c>
      <c r="K126" s="303" t="s">
        <v>1517</v>
      </c>
      <c r="L126" s="303" t="s">
        <v>1956</v>
      </c>
      <c r="M126" s="303" t="s">
        <v>3299</v>
      </c>
      <c r="N126" s="303" t="s">
        <v>1987</v>
      </c>
      <c r="O126" s="303" t="s">
        <v>1986</v>
      </c>
      <c r="P126" s="328">
        <v>43196</v>
      </c>
      <c r="Q126" s="303" t="s">
        <v>1952</v>
      </c>
      <c r="R126" s="303">
        <f t="shared" si="3"/>
        <v>0</v>
      </c>
      <c r="S126" s="303">
        <v>0</v>
      </c>
    </row>
    <row r="127" spans="1:19" x14ac:dyDescent="0.25">
      <c r="A127" s="303" t="s">
        <v>3444</v>
      </c>
      <c r="B127" s="303" t="s">
        <v>3443</v>
      </c>
      <c r="C127" s="328">
        <v>43196</v>
      </c>
      <c r="D127" s="303" t="s">
        <v>1965</v>
      </c>
      <c r="E127" s="303" t="s">
        <v>1964</v>
      </c>
      <c r="F127" s="303" t="s">
        <v>1846</v>
      </c>
      <c r="G127" s="303" t="s">
        <v>1959</v>
      </c>
      <c r="H127" s="303" t="s">
        <v>1956</v>
      </c>
      <c r="I127" s="304">
        <v>3690</v>
      </c>
      <c r="J127" s="303" t="s">
        <v>1695</v>
      </c>
      <c r="K127" s="303" t="s">
        <v>1532</v>
      </c>
      <c r="L127" s="303" t="s">
        <v>1956</v>
      </c>
      <c r="M127" s="303" t="s">
        <v>3299</v>
      </c>
      <c r="N127" s="303" t="s">
        <v>1987</v>
      </c>
      <c r="O127" s="303" t="s">
        <v>1986</v>
      </c>
      <c r="P127" s="328">
        <v>43196</v>
      </c>
      <c r="Q127" s="303" t="s">
        <v>1952</v>
      </c>
      <c r="R127" s="303">
        <f t="shared" si="3"/>
        <v>0</v>
      </c>
      <c r="S127" s="303">
        <v>0</v>
      </c>
    </row>
    <row r="128" spans="1:19" x14ac:dyDescent="0.25">
      <c r="A128" s="303" t="s">
        <v>3444</v>
      </c>
      <c r="B128" s="303" t="s">
        <v>3443</v>
      </c>
      <c r="C128" s="328">
        <v>43196</v>
      </c>
      <c r="D128" s="303" t="s">
        <v>1961</v>
      </c>
      <c r="E128" s="303" t="s">
        <v>1960</v>
      </c>
      <c r="F128" s="303" t="s">
        <v>1846</v>
      </c>
      <c r="G128" s="303" t="s">
        <v>1959</v>
      </c>
      <c r="H128" s="303" t="s">
        <v>1956</v>
      </c>
      <c r="I128" s="304">
        <v>-3690</v>
      </c>
      <c r="J128" s="303" t="s">
        <v>1695</v>
      </c>
      <c r="K128" s="303" t="s">
        <v>1532</v>
      </c>
      <c r="L128" s="303" t="s">
        <v>1956</v>
      </c>
      <c r="M128" s="303" t="s">
        <v>3299</v>
      </c>
      <c r="N128" s="303" t="s">
        <v>1987</v>
      </c>
      <c r="O128" s="303" t="s">
        <v>1986</v>
      </c>
      <c r="P128" s="328">
        <v>43196</v>
      </c>
      <c r="Q128" s="303" t="s">
        <v>1952</v>
      </c>
      <c r="R128" s="303">
        <f t="shared" si="3"/>
        <v>0</v>
      </c>
      <c r="S128" s="303">
        <v>0</v>
      </c>
    </row>
    <row r="129" spans="1:19" x14ac:dyDescent="0.25">
      <c r="A129" s="303" t="s">
        <v>3442</v>
      </c>
      <c r="B129" s="303" t="s">
        <v>3441</v>
      </c>
      <c r="C129" s="328">
        <v>43196</v>
      </c>
      <c r="D129" s="303" t="s">
        <v>1965</v>
      </c>
      <c r="E129" s="303" t="s">
        <v>1964</v>
      </c>
      <c r="F129" s="303" t="s">
        <v>1846</v>
      </c>
      <c r="G129" s="303" t="s">
        <v>1959</v>
      </c>
      <c r="H129" s="303" t="s">
        <v>1956</v>
      </c>
      <c r="I129" s="304">
        <v>1620</v>
      </c>
      <c r="J129" s="303" t="s">
        <v>1697</v>
      </c>
      <c r="K129" s="303" t="s">
        <v>1529</v>
      </c>
      <c r="L129" s="303" t="s">
        <v>1956</v>
      </c>
      <c r="M129" s="303" t="s">
        <v>3299</v>
      </c>
      <c r="N129" s="303" t="s">
        <v>1987</v>
      </c>
      <c r="O129" s="303" t="s">
        <v>1986</v>
      </c>
      <c r="P129" s="328">
        <v>43196</v>
      </c>
      <c r="Q129" s="303" t="s">
        <v>1952</v>
      </c>
      <c r="R129" s="303">
        <f t="shared" si="3"/>
        <v>0</v>
      </c>
      <c r="S129" s="303">
        <v>0</v>
      </c>
    </row>
    <row r="130" spans="1:19" x14ac:dyDescent="0.25">
      <c r="A130" s="303" t="s">
        <v>3442</v>
      </c>
      <c r="B130" s="303" t="s">
        <v>3441</v>
      </c>
      <c r="C130" s="328">
        <v>43196</v>
      </c>
      <c r="D130" s="303" t="s">
        <v>1961</v>
      </c>
      <c r="E130" s="303" t="s">
        <v>1960</v>
      </c>
      <c r="F130" s="303" t="s">
        <v>1846</v>
      </c>
      <c r="G130" s="303" t="s">
        <v>1959</v>
      </c>
      <c r="H130" s="303" t="s">
        <v>1956</v>
      </c>
      <c r="I130" s="304">
        <v>-1620</v>
      </c>
      <c r="J130" s="303" t="s">
        <v>1697</v>
      </c>
      <c r="K130" s="303" t="s">
        <v>1529</v>
      </c>
      <c r="L130" s="303" t="s">
        <v>1956</v>
      </c>
      <c r="M130" s="303" t="s">
        <v>3299</v>
      </c>
      <c r="N130" s="303" t="s">
        <v>1987</v>
      </c>
      <c r="O130" s="303" t="s">
        <v>1986</v>
      </c>
      <c r="P130" s="328">
        <v>43196</v>
      </c>
      <c r="Q130" s="303" t="s">
        <v>1952</v>
      </c>
      <c r="R130" s="303">
        <f t="shared" si="3"/>
        <v>0</v>
      </c>
      <c r="S130" s="303">
        <v>0</v>
      </c>
    </row>
    <row r="131" spans="1:19" x14ac:dyDescent="0.25">
      <c r="A131" s="303" t="s">
        <v>3440</v>
      </c>
      <c r="B131" s="303" t="s">
        <v>3439</v>
      </c>
      <c r="C131" s="328">
        <v>43196</v>
      </c>
      <c r="D131" s="303" t="s">
        <v>1965</v>
      </c>
      <c r="E131" s="303" t="s">
        <v>1964</v>
      </c>
      <c r="F131" s="303" t="s">
        <v>1846</v>
      </c>
      <c r="G131" s="303" t="s">
        <v>1959</v>
      </c>
      <c r="H131" s="303" t="s">
        <v>1956</v>
      </c>
      <c r="I131" s="304">
        <v>26720</v>
      </c>
      <c r="J131" s="303" t="s">
        <v>1683</v>
      </c>
      <c r="K131" s="303" t="s">
        <v>1546</v>
      </c>
      <c r="L131" s="303" t="s">
        <v>1956</v>
      </c>
      <c r="M131" s="303" t="s">
        <v>3299</v>
      </c>
      <c r="N131" s="303" t="s">
        <v>1987</v>
      </c>
      <c r="O131" s="303" t="s">
        <v>1986</v>
      </c>
      <c r="P131" s="328">
        <v>43196</v>
      </c>
      <c r="Q131" s="303" t="s">
        <v>1952</v>
      </c>
      <c r="R131" s="303">
        <f t="shared" ref="R131:R194" si="6">IF(OR(M131="transfert de B vers A",M131="transfert de B vers D",M131="transfert de A vers B",M131="transfert de D vers B",M131="carryover 2017 -&gt; 2018",IF(ISERR(SEARCH("fidélité",M131)),FALSE,TRUE),M131="Fermeture STI-FORM",M131="répartition AE/AC"),0,1)</f>
        <v>0</v>
      </c>
      <c r="S131" s="303">
        <v>0</v>
      </c>
    </row>
    <row r="132" spans="1:19" x14ac:dyDescent="0.25">
      <c r="A132" s="303" t="s">
        <v>3440</v>
      </c>
      <c r="B132" s="303" t="s">
        <v>3439</v>
      </c>
      <c r="C132" s="328">
        <v>43196</v>
      </c>
      <c r="D132" s="303" t="s">
        <v>1961</v>
      </c>
      <c r="E132" s="303" t="s">
        <v>1960</v>
      </c>
      <c r="F132" s="303" t="s">
        <v>1846</v>
      </c>
      <c r="G132" s="303" t="s">
        <v>1959</v>
      </c>
      <c r="H132" s="303" t="s">
        <v>1956</v>
      </c>
      <c r="I132" s="304">
        <v>-26720</v>
      </c>
      <c r="J132" s="303" t="s">
        <v>1683</v>
      </c>
      <c r="K132" s="303" t="s">
        <v>1546</v>
      </c>
      <c r="L132" s="303" t="s">
        <v>1956</v>
      </c>
      <c r="M132" s="303" t="s">
        <v>3299</v>
      </c>
      <c r="N132" s="303" t="s">
        <v>1987</v>
      </c>
      <c r="O132" s="303" t="s">
        <v>1986</v>
      </c>
      <c r="P132" s="328">
        <v>43196</v>
      </c>
      <c r="Q132" s="303" t="s">
        <v>1952</v>
      </c>
      <c r="R132" s="303">
        <f t="shared" si="6"/>
        <v>0</v>
      </c>
      <c r="S132" s="303">
        <v>0</v>
      </c>
    </row>
    <row r="133" spans="1:19" x14ac:dyDescent="0.25">
      <c r="A133" s="303" t="s">
        <v>3438</v>
      </c>
      <c r="B133" s="303" t="s">
        <v>3437</v>
      </c>
      <c r="C133" s="328">
        <v>43196</v>
      </c>
      <c r="D133" s="303" t="s">
        <v>1965</v>
      </c>
      <c r="E133" s="303" t="s">
        <v>1964</v>
      </c>
      <c r="F133" s="303" t="s">
        <v>1846</v>
      </c>
      <c r="G133" s="303" t="s">
        <v>1959</v>
      </c>
      <c r="H133" s="303" t="s">
        <v>1956</v>
      </c>
      <c r="I133" s="304">
        <v>2790</v>
      </c>
      <c r="J133" s="303" t="s">
        <v>1687</v>
      </c>
      <c r="K133" s="303" t="s">
        <v>1540</v>
      </c>
      <c r="L133" s="303" t="s">
        <v>1956</v>
      </c>
      <c r="M133" s="303" t="s">
        <v>3299</v>
      </c>
      <c r="N133" s="303" t="s">
        <v>1987</v>
      </c>
      <c r="O133" s="303" t="s">
        <v>1986</v>
      </c>
      <c r="P133" s="328">
        <v>43196</v>
      </c>
      <c r="Q133" s="303" t="s">
        <v>1952</v>
      </c>
      <c r="R133" s="303">
        <f t="shared" si="6"/>
        <v>0</v>
      </c>
      <c r="S133" s="303">
        <v>0</v>
      </c>
    </row>
    <row r="134" spans="1:19" x14ac:dyDescent="0.25">
      <c r="A134" s="303" t="s">
        <v>3438</v>
      </c>
      <c r="B134" s="303" t="s">
        <v>3437</v>
      </c>
      <c r="C134" s="328">
        <v>43196</v>
      </c>
      <c r="D134" s="303" t="s">
        <v>1961</v>
      </c>
      <c r="E134" s="303" t="s">
        <v>1960</v>
      </c>
      <c r="F134" s="303" t="s">
        <v>1846</v>
      </c>
      <c r="G134" s="303" t="s">
        <v>1959</v>
      </c>
      <c r="H134" s="303" t="s">
        <v>1956</v>
      </c>
      <c r="I134" s="304">
        <v>-2790</v>
      </c>
      <c r="J134" s="303" t="s">
        <v>1687</v>
      </c>
      <c r="K134" s="303" t="s">
        <v>1540</v>
      </c>
      <c r="L134" s="303" t="s">
        <v>1956</v>
      </c>
      <c r="M134" s="303" t="s">
        <v>3299</v>
      </c>
      <c r="N134" s="303" t="s">
        <v>1987</v>
      </c>
      <c r="O134" s="303" t="s">
        <v>1986</v>
      </c>
      <c r="P134" s="328">
        <v>43196</v>
      </c>
      <c r="Q134" s="303" t="s">
        <v>1952</v>
      </c>
      <c r="R134" s="303">
        <f t="shared" si="6"/>
        <v>0</v>
      </c>
      <c r="S134" s="303">
        <v>0</v>
      </c>
    </row>
    <row r="135" spans="1:19" x14ac:dyDescent="0.25">
      <c r="A135" s="303" t="s">
        <v>3436</v>
      </c>
      <c r="B135" s="303" t="s">
        <v>3435</v>
      </c>
      <c r="C135" s="328">
        <v>43196</v>
      </c>
      <c r="D135" s="303" t="s">
        <v>1965</v>
      </c>
      <c r="E135" s="303" t="s">
        <v>1964</v>
      </c>
      <c r="F135" s="303" t="s">
        <v>1846</v>
      </c>
      <c r="G135" s="303" t="s">
        <v>1959</v>
      </c>
      <c r="H135" s="303" t="s">
        <v>1956</v>
      </c>
      <c r="I135" s="304">
        <v>38220</v>
      </c>
      <c r="J135" s="303" t="s">
        <v>1655</v>
      </c>
      <c r="K135" s="303" t="s">
        <v>1561</v>
      </c>
      <c r="L135" s="303" t="s">
        <v>1956</v>
      </c>
      <c r="M135" s="303" t="s">
        <v>3299</v>
      </c>
      <c r="N135" s="303" t="s">
        <v>1987</v>
      </c>
      <c r="O135" s="303" t="s">
        <v>1986</v>
      </c>
      <c r="P135" s="328">
        <v>43196</v>
      </c>
      <c r="Q135" s="303" t="s">
        <v>1952</v>
      </c>
      <c r="R135" s="303">
        <f t="shared" si="6"/>
        <v>0</v>
      </c>
      <c r="S135" s="303">
        <v>0</v>
      </c>
    </row>
    <row r="136" spans="1:19" x14ac:dyDescent="0.25">
      <c r="A136" s="303" t="s">
        <v>3436</v>
      </c>
      <c r="B136" s="303" t="s">
        <v>3435</v>
      </c>
      <c r="C136" s="328">
        <v>43196</v>
      </c>
      <c r="D136" s="303" t="s">
        <v>1961</v>
      </c>
      <c r="E136" s="303" t="s">
        <v>1960</v>
      </c>
      <c r="F136" s="303" t="s">
        <v>1846</v>
      </c>
      <c r="G136" s="303" t="s">
        <v>1959</v>
      </c>
      <c r="H136" s="303" t="s">
        <v>1956</v>
      </c>
      <c r="I136" s="304">
        <v>-38220</v>
      </c>
      <c r="J136" s="303" t="s">
        <v>1655</v>
      </c>
      <c r="K136" s="303" t="s">
        <v>1561</v>
      </c>
      <c r="L136" s="303" t="s">
        <v>1956</v>
      </c>
      <c r="M136" s="303" t="s">
        <v>3299</v>
      </c>
      <c r="N136" s="303" t="s">
        <v>1987</v>
      </c>
      <c r="O136" s="303" t="s">
        <v>1986</v>
      </c>
      <c r="P136" s="328">
        <v>43196</v>
      </c>
      <c r="Q136" s="303" t="s">
        <v>1952</v>
      </c>
      <c r="R136" s="303">
        <f t="shared" si="6"/>
        <v>0</v>
      </c>
      <c r="S136" s="303">
        <v>0</v>
      </c>
    </row>
    <row r="137" spans="1:19" x14ac:dyDescent="0.25">
      <c r="A137" s="303" t="s">
        <v>3434</v>
      </c>
      <c r="B137" s="303" t="s">
        <v>3433</v>
      </c>
      <c r="C137" s="328">
        <v>43196</v>
      </c>
      <c r="D137" s="303" t="s">
        <v>1965</v>
      </c>
      <c r="E137" s="303" t="s">
        <v>1964</v>
      </c>
      <c r="F137" s="303" t="s">
        <v>1846</v>
      </c>
      <c r="G137" s="303" t="s">
        <v>1959</v>
      </c>
      <c r="H137" s="303" t="s">
        <v>1956</v>
      </c>
      <c r="I137" s="304">
        <v>55800</v>
      </c>
      <c r="J137" s="303" t="s">
        <v>1671</v>
      </c>
      <c r="K137" s="303" t="s">
        <v>2036</v>
      </c>
      <c r="L137" s="303" t="s">
        <v>1956</v>
      </c>
      <c r="M137" s="303" t="s">
        <v>3299</v>
      </c>
      <c r="N137" s="303" t="s">
        <v>1987</v>
      </c>
      <c r="O137" s="303" t="s">
        <v>1986</v>
      </c>
      <c r="P137" s="328">
        <v>43196</v>
      </c>
      <c r="Q137" s="303" t="s">
        <v>1952</v>
      </c>
      <c r="R137" s="303">
        <f t="shared" si="6"/>
        <v>0</v>
      </c>
      <c r="S137" s="303">
        <v>0</v>
      </c>
    </row>
    <row r="138" spans="1:19" x14ac:dyDescent="0.25">
      <c r="A138" s="303" t="s">
        <v>3434</v>
      </c>
      <c r="B138" s="303" t="s">
        <v>3433</v>
      </c>
      <c r="C138" s="328">
        <v>43196</v>
      </c>
      <c r="D138" s="303" t="s">
        <v>1961</v>
      </c>
      <c r="E138" s="303" t="s">
        <v>1960</v>
      </c>
      <c r="F138" s="303" t="s">
        <v>1846</v>
      </c>
      <c r="G138" s="303" t="s">
        <v>1959</v>
      </c>
      <c r="H138" s="303" t="s">
        <v>1956</v>
      </c>
      <c r="I138" s="304">
        <v>-55800</v>
      </c>
      <c r="J138" s="303" t="s">
        <v>1671</v>
      </c>
      <c r="K138" s="303" t="s">
        <v>2036</v>
      </c>
      <c r="L138" s="303" t="s">
        <v>1956</v>
      </c>
      <c r="M138" s="303" t="s">
        <v>3299</v>
      </c>
      <c r="N138" s="303" t="s">
        <v>1987</v>
      </c>
      <c r="O138" s="303" t="s">
        <v>1986</v>
      </c>
      <c r="P138" s="328">
        <v>43196</v>
      </c>
      <c r="Q138" s="303" t="s">
        <v>1952</v>
      </c>
      <c r="R138" s="303">
        <f t="shared" si="6"/>
        <v>0</v>
      </c>
      <c r="S138" s="303">
        <v>0</v>
      </c>
    </row>
    <row r="139" spans="1:19" x14ac:dyDescent="0.25">
      <c r="A139" s="303" t="s">
        <v>3432</v>
      </c>
      <c r="B139" s="303" t="s">
        <v>3431</v>
      </c>
      <c r="C139" s="328">
        <v>43196</v>
      </c>
      <c r="D139" s="303" t="s">
        <v>1965</v>
      </c>
      <c r="E139" s="303" t="s">
        <v>1964</v>
      </c>
      <c r="F139" s="303" t="s">
        <v>1846</v>
      </c>
      <c r="G139" s="303" t="s">
        <v>1959</v>
      </c>
      <c r="H139" s="303" t="s">
        <v>1956</v>
      </c>
      <c r="I139" s="304">
        <v>1990</v>
      </c>
      <c r="J139" s="303" t="s">
        <v>1673</v>
      </c>
      <c r="K139" s="303" t="s">
        <v>2316</v>
      </c>
      <c r="L139" s="303" t="s">
        <v>1956</v>
      </c>
      <c r="M139" s="303" t="s">
        <v>3299</v>
      </c>
      <c r="N139" s="303" t="s">
        <v>1987</v>
      </c>
      <c r="O139" s="303" t="s">
        <v>1986</v>
      </c>
      <c r="P139" s="328">
        <v>43196</v>
      </c>
      <c r="Q139" s="303" t="s">
        <v>1952</v>
      </c>
      <c r="R139" s="303">
        <f t="shared" si="6"/>
        <v>0</v>
      </c>
      <c r="S139" s="303">
        <v>0</v>
      </c>
    </row>
    <row r="140" spans="1:19" x14ac:dyDescent="0.25">
      <c r="A140" s="303" t="s">
        <v>3432</v>
      </c>
      <c r="B140" s="303" t="s">
        <v>3431</v>
      </c>
      <c r="C140" s="328">
        <v>43196</v>
      </c>
      <c r="D140" s="303" t="s">
        <v>1961</v>
      </c>
      <c r="E140" s="303" t="s">
        <v>1960</v>
      </c>
      <c r="F140" s="303" t="s">
        <v>1846</v>
      </c>
      <c r="G140" s="303" t="s">
        <v>1959</v>
      </c>
      <c r="H140" s="303" t="s">
        <v>1956</v>
      </c>
      <c r="I140" s="304">
        <v>-1990</v>
      </c>
      <c r="J140" s="303" t="s">
        <v>1673</v>
      </c>
      <c r="K140" s="303" t="s">
        <v>2316</v>
      </c>
      <c r="L140" s="303" t="s">
        <v>1956</v>
      </c>
      <c r="M140" s="303" t="s">
        <v>3299</v>
      </c>
      <c r="N140" s="303" t="s">
        <v>1987</v>
      </c>
      <c r="O140" s="303" t="s">
        <v>1986</v>
      </c>
      <c r="P140" s="328">
        <v>43196</v>
      </c>
      <c r="Q140" s="303" t="s">
        <v>1952</v>
      </c>
      <c r="R140" s="303">
        <f t="shared" si="6"/>
        <v>0</v>
      </c>
      <c r="S140" s="303">
        <v>0</v>
      </c>
    </row>
    <row r="141" spans="1:19" x14ac:dyDescent="0.25">
      <c r="A141" s="303" t="s">
        <v>3430</v>
      </c>
      <c r="B141" s="303" t="s">
        <v>3429</v>
      </c>
      <c r="C141" s="328">
        <v>43196</v>
      </c>
      <c r="D141" s="303" t="s">
        <v>1965</v>
      </c>
      <c r="E141" s="303" t="s">
        <v>1964</v>
      </c>
      <c r="F141" s="303" t="s">
        <v>1846</v>
      </c>
      <c r="G141" s="303" t="s">
        <v>1959</v>
      </c>
      <c r="H141" s="303" t="s">
        <v>1956</v>
      </c>
      <c r="I141" s="304">
        <v>20370</v>
      </c>
      <c r="J141" s="303" t="s">
        <v>2395</v>
      </c>
      <c r="K141" s="303" t="s">
        <v>2061</v>
      </c>
      <c r="L141" s="303" t="s">
        <v>1956</v>
      </c>
      <c r="M141" s="303" t="s">
        <v>3299</v>
      </c>
      <c r="N141" s="303" t="s">
        <v>1987</v>
      </c>
      <c r="O141" s="303" t="s">
        <v>1986</v>
      </c>
      <c r="P141" s="328">
        <v>43196</v>
      </c>
      <c r="Q141" s="303" t="s">
        <v>1952</v>
      </c>
      <c r="R141" s="303">
        <f t="shared" si="6"/>
        <v>0</v>
      </c>
      <c r="S141" s="303">
        <v>0</v>
      </c>
    </row>
    <row r="142" spans="1:19" x14ac:dyDescent="0.25">
      <c r="A142" s="303" t="s">
        <v>3430</v>
      </c>
      <c r="B142" s="303" t="s">
        <v>3429</v>
      </c>
      <c r="C142" s="328">
        <v>43196</v>
      </c>
      <c r="D142" s="303" t="s">
        <v>1961</v>
      </c>
      <c r="E142" s="303" t="s">
        <v>1960</v>
      </c>
      <c r="F142" s="303" t="s">
        <v>1846</v>
      </c>
      <c r="G142" s="303" t="s">
        <v>1959</v>
      </c>
      <c r="H142" s="303" t="s">
        <v>1956</v>
      </c>
      <c r="I142" s="304">
        <v>-20370</v>
      </c>
      <c r="J142" s="303" t="s">
        <v>2395</v>
      </c>
      <c r="K142" s="303" t="s">
        <v>2061</v>
      </c>
      <c r="L142" s="303" t="s">
        <v>1956</v>
      </c>
      <c r="M142" s="303" t="s">
        <v>3299</v>
      </c>
      <c r="N142" s="303" t="s">
        <v>1987</v>
      </c>
      <c r="O142" s="303" t="s">
        <v>1986</v>
      </c>
      <c r="P142" s="328">
        <v>43196</v>
      </c>
      <c r="Q142" s="303" t="s">
        <v>1952</v>
      </c>
      <c r="R142" s="303">
        <f t="shared" si="6"/>
        <v>0</v>
      </c>
      <c r="S142" s="303">
        <v>0</v>
      </c>
    </row>
    <row r="143" spans="1:19" x14ac:dyDescent="0.25">
      <c r="A143" s="303" t="s">
        <v>3428</v>
      </c>
      <c r="B143" s="303" t="s">
        <v>3427</v>
      </c>
      <c r="C143" s="328">
        <v>43196</v>
      </c>
      <c r="D143" s="303" t="s">
        <v>1965</v>
      </c>
      <c r="E143" s="303" t="s">
        <v>1964</v>
      </c>
      <c r="F143" s="303" t="s">
        <v>1846</v>
      </c>
      <c r="G143" s="303" t="s">
        <v>1959</v>
      </c>
      <c r="H143" s="303" t="s">
        <v>1956</v>
      </c>
      <c r="I143" s="304">
        <v>810</v>
      </c>
      <c r="J143" s="303" t="s">
        <v>1611</v>
      </c>
      <c r="K143" s="303" t="s">
        <v>2081</v>
      </c>
      <c r="L143" s="303" t="s">
        <v>1956</v>
      </c>
      <c r="M143" s="303" t="s">
        <v>3299</v>
      </c>
      <c r="N143" s="303" t="s">
        <v>1987</v>
      </c>
      <c r="O143" s="303" t="s">
        <v>1986</v>
      </c>
      <c r="P143" s="328">
        <v>43196</v>
      </c>
      <c r="Q143" s="303" t="s">
        <v>1952</v>
      </c>
      <c r="R143" s="303">
        <f t="shared" si="6"/>
        <v>0</v>
      </c>
      <c r="S143" s="303">
        <v>0</v>
      </c>
    </row>
    <row r="144" spans="1:19" x14ac:dyDescent="0.25">
      <c r="A144" s="303" t="s">
        <v>3428</v>
      </c>
      <c r="B144" s="303" t="s">
        <v>3427</v>
      </c>
      <c r="C144" s="328">
        <v>43196</v>
      </c>
      <c r="D144" s="303" t="s">
        <v>1961</v>
      </c>
      <c r="E144" s="303" t="s">
        <v>1960</v>
      </c>
      <c r="F144" s="303" t="s">
        <v>1846</v>
      </c>
      <c r="G144" s="303" t="s">
        <v>1959</v>
      </c>
      <c r="H144" s="303" t="s">
        <v>1956</v>
      </c>
      <c r="I144" s="304">
        <v>-810</v>
      </c>
      <c r="J144" s="303" t="s">
        <v>1611</v>
      </c>
      <c r="K144" s="303" t="s">
        <v>2081</v>
      </c>
      <c r="L144" s="303" t="s">
        <v>1956</v>
      </c>
      <c r="M144" s="303" t="s">
        <v>3299</v>
      </c>
      <c r="N144" s="303" t="s">
        <v>1987</v>
      </c>
      <c r="O144" s="303" t="s">
        <v>1986</v>
      </c>
      <c r="P144" s="328">
        <v>43196</v>
      </c>
      <c r="Q144" s="303" t="s">
        <v>1952</v>
      </c>
      <c r="R144" s="303">
        <f t="shared" si="6"/>
        <v>0</v>
      </c>
      <c r="S144" s="303">
        <v>0</v>
      </c>
    </row>
    <row r="145" spans="1:19" x14ac:dyDescent="0.25">
      <c r="A145" s="303" t="s">
        <v>3426</v>
      </c>
      <c r="B145" s="303" t="s">
        <v>3425</v>
      </c>
      <c r="C145" s="328">
        <v>43196</v>
      </c>
      <c r="D145" s="303" t="s">
        <v>1965</v>
      </c>
      <c r="E145" s="303" t="s">
        <v>1964</v>
      </c>
      <c r="F145" s="303" t="s">
        <v>1846</v>
      </c>
      <c r="G145" s="303" t="s">
        <v>1959</v>
      </c>
      <c r="H145" s="303" t="s">
        <v>1956</v>
      </c>
      <c r="I145" s="304">
        <v>8150</v>
      </c>
      <c r="J145" s="303" t="s">
        <v>1625</v>
      </c>
      <c r="K145" s="303" t="s">
        <v>1594</v>
      </c>
      <c r="L145" s="303" t="s">
        <v>1956</v>
      </c>
      <c r="M145" s="303" t="s">
        <v>3299</v>
      </c>
      <c r="N145" s="303" t="s">
        <v>1987</v>
      </c>
      <c r="O145" s="303" t="s">
        <v>1986</v>
      </c>
      <c r="P145" s="328">
        <v>43196</v>
      </c>
      <c r="Q145" s="303" t="s">
        <v>1952</v>
      </c>
      <c r="R145" s="303">
        <f t="shared" si="6"/>
        <v>0</v>
      </c>
      <c r="S145" s="303">
        <v>0</v>
      </c>
    </row>
    <row r="146" spans="1:19" x14ac:dyDescent="0.25">
      <c r="A146" s="303" t="s">
        <v>3426</v>
      </c>
      <c r="B146" s="303" t="s">
        <v>3425</v>
      </c>
      <c r="C146" s="328">
        <v>43196</v>
      </c>
      <c r="D146" s="303" t="s">
        <v>1961</v>
      </c>
      <c r="E146" s="303" t="s">
        <v>1960</v>
      </c>
      <c r="F146" s="303" t="s">
        <v>1846</v>
      </c>
      <c r="G146" s="303" t="s">
        <v>1959</v>
      </c>
      <c r="H146" s="303" t="s">
        <v>1956</v>
      </c>
      <c r="I146" s="304">
        <v>-8150</v>
      </c>
      <c r="J146" s="303" t="s">
        <v>1625</v>
      </c>
      <c r="K146" s="303" t="s">
        <v>1594</v>
      </c>
      <c r="L146" s="303" t="s">
        <v>1956</v>
      </c>
      <c r="M146" s="303" t="s">
        <v>3299</v>
      </c>
      <c r="N146" s="303" t="s">
        <v>1987</v>
      </c>
      <c r="O146" s="303" t="s">
        <v>1986</v>
      </c>
      <c r="P146" s="328">
        <v>43196</v>
      </c>
      <c r="Q146" s="303" t="s">
        <v>1952</v>
      </c>
      <c r="R146" s="303">
        <f t="shared" si="6"/>
        <v>0</v>
      </c>
      <c r="S146" s="303">
        <v>0</v>
      </c>
    </row>
    <row r="147" spans="1:19" x14ac:dyDescent="0.25">
      <c r="A147" s="303" t="s">
        <v>3424</v>
      </c>
      <c r="B147" s="303" t="s">
        <v>3423</v>
      </c>
      <c r="C147" s="328">
        <v>43196</v>
      </c>
      <c r="D147" s="303" t="s">
        <v>1965</v>
      </c>
      <c r="E147" s="303" t="s">
        <v>1964</v>
      </c>
      <c r="F147" s="303" t="s">
        <v>1967</v>
      </c>
      <c r="G147" s="303" t="s">
        <v>1959</v>
      </c>
      <c r="H147" s="303" t="s">
        <v>1956</v>
      </c>
      <c r="I147" s="304">
        <v>16790</v>
      </c>
      <c r="J147" s="303" t="s">
        <v>1967</v>
      </c>
      <c r="K147" s="303" t="s">
        <v>1594</v>
      </c>
      <c r="L147" s="303" t="s">
        <v>1956</v>
      </c>
      <c r="M147" s="303" t="s">
        <v>3299</v>
      </c>
      <c r="N147" s="303" t="s">
        <v>1987</v>
      </c>
      <c r="O147" s="303" t="s">
        <v>1986</v>
      </c>
      <c r="P147" s="328">
        <v>43196</v>
      </c>
      <c r="Q147" s="303" t="s">
        <v>1952</v>
      </c>
      <c r="R147" s="303">
        <f t="shared" si="6"/>
        <v>0</v>
      </c>
      <c r="S147" s="303">
        <v>0</v>
      </c>
    </row>
    <row r="148" spans="1:19" x14ac:dyDescent="0.25">
      <c r="A148" s="303" t="s">
        <v>3424</v>
      </c>
      <c r="B148" s="303" t="s">
        <v>3423</v>
      </c>
      <c r="C148" s="328">
        <v>43196</v>
      </c>
      <c r="D148" s="303" t="s">
        <v>1961</v>
      </c>
      <c r="E148" s="303" t="s">
        <v>1960</v>
      </c>
      <c r="F148" s="303" t="s">
        <v>1967</v>
      </c>
      <c r="G148" s="303" t="s">
        <v>1959</v>
      </c>
      <c r="H148" s="303" t="s">
        <v>1956</v>
      </c>
      <c r="I148" s="304">
        <v>-16790</v>
      </c>
      <c r="J148" s="303" t="s">
        <v>1967</v>
      </c>
      <c r="K148" s="303" t="s">
        <v>1594</v>
      </c>
      <c r="L148" s="303" t="s">
        <v>1956</v>
      </c>
      <c r="M148" s="303" t="s">
        <v>3299</v>
      </c>
      <c r="N148" s="303" t="s">
        <v>1987</v>
      </c>
      <c r="O148" s="303" t="s">
        <v>1986</v>
      </c>
      <c r="P148" s="328">
        <v>43196</v>
      </c>
      <c r="Q148" s="303" t="s">
        <v>1952</v>
      </c>
      <c r="R148" s="303">
        <f t="shared" si="6"/>
        <v>0</v>
      </c>
      <c r="S148" s="303">
        <v>0</v>
      </c>
    </row>
    <row r="149" spans="1:19" x14ac:dyDescent="0.25">
      <c r="A149" s="303" t="s">
        <v>3422</v>
      </c>
      <c r="B149" s="303" t="s">
        <v>3421</v>
      </c>
      <c r="C149" s="328">
        <v>43196</v>
      </c>
      <c r="D149" s="303" t="s">
        <v>1965</v>
      </c>
      <c r="E149" s="303" t="s">
        <v>1964</v>
      </c>
      <c r="F149" s="303" t="s">
        <v>1967</v>
      </c>
      <c r="G149" s="303" t="s">
        <v>1959</v>
      </c>
      <c r="H149" s="303" t="s">
        <v>1956</v>
      </c>
      <c r="I149" s="304">
        <v>820</v>
      </c>
      <c r="J149" s="303" t="s">
        <v>1967</v>
      </c>
      <c r="K149" s="303" t="s">
        <v>1567</v>
      </c>
      <c r="L149" s="303" t="s">
        <v>1956</v>
      </c>
      <c r="M149" s="303" t="s">
        <v>3299</v>
      </c>
      <c r="N149" s="303" t="s">
        <v>1987</v>
      </c>
      <c r="O149" s="303" t="s">
        <v>1986</v>
      </c>
      <c r="P149" s="328">
        <v>43196</v>
      </c>
      <c r="Q149" s="303" t="s">
        <v>1952</v>
      </c>
      <c r="R149" s="303">
        <f t="shared" si="6"/>
        <v>0</v>
      </c>
      <c r="S149" s="303">
        <v>0</v>
      </c>
    </row>
    <row r="150" spans="1:19" x14ac:dyDescent="0.25">
      <c r="A150" s="303" t="s">
        <v>3422</v>
      </c>
      <c r="B150" s="303" t="s">
        <v>3421</v>
      </c>
      <c r="C150" s="328">
        <v>43196</v>
      </c>
      <c r="D150" s="303" t="s">
        <v>1961</v>
      </c>
      <c r="E150" s="303" t="s">
        <v>1960</v>
      </c>
      <c r="F150" s="303" t="s">
        <v>1967</v>
      </c>
      <c r="G150" s="303" t="s">
        <v>1959</v>
      </c>
      <c r="H150" s="303" t="s">
        <v>1956</v>
      </c>
      <c r="I150" s="304">
        <v>-820</v>
      </c>
      <c r="J150" s="303" t="s">
        <v>1967</v>
      </c>
      <c r="K150" s="303" t="s">
        <v>1567</v>
      </c>
      <c r="L150" s="303" t="s">
        <v>1956</v>
      </c>
      <c r="M150" s="303" t="s">
        <v>3299</v>
      </c>
      <c r="N150" s="303" t="s">
        <v>1987</v>
      </c>
      <c r="O150" s="303" t="s">
        <v>1986</v>
      </c>
      <c r="P150" s="328">
        <v>43196</v>
      </c>
      <c r="Q150" s="303" t="s">
        <v>1952</v>
      </c>
      <c r="R150" s="303">
        <f t="shared" si="6"/>
        <v>0</v>
      </c>
      <c r="S150" s="303">
        <v>0</v>
      </c>
    </row>
    <row r="151" spans="1:19" x14ac:dyDescent="0.25">
      <c r="A151" s="303" t="s">
        <v>3420</v>
      </c>
      <c r="B151" s="303" t="s">
        <v>3419</v>
      </c>
      <c r="C151" s="328">
        <v>43196</v>
      </c>
      <c r="D151" s="303" t="s">
        <v>1965</v>
      </c>
      <c r="E151" s="303" t="s">
        <v>1964</v>
      </c>
      <c r="F151" s="303" t="s">
        <v>1967</v>
      </c>
      <c r="G151" s="303" t="s">
        <v>1959</v>
      </c>
      <c r="H151" s="303" t="s">
        <v>1956</v>
      </c>
      <c r="I151" s="304">
        <v>7160</v>
      </c>
      <c r="J151" s="303" t="s">
        <v>1967</v>
      </c>
      <c r="K151" s="303" t="s">
        <v>1561</v>
      </c>
      <c r="L151" s="303" t="s">
        <v>1956</v>
      </c>
      <c r="M151" s="303" t="s">
        <v>3299</v>
      </c>
      <c r="N151" s="303" t="s">
        <v>1987</v>
      </c>
      <c r="O151" s="303" t="s">
        <v>1986</v>
      </c>
      <c r="P151" s="328">
        <v>43196</v>
      </c>
      <c r="Q151" s="303" t="s">
        <v>1952</v>
      </c>
      <c r="R151" s="303">
        <f t="shared" si="6"/>
        <v>0</v>
      </c>
      <c r="S151" s="303">
        <v>0</v>
      </c>
    </row>
    <row r="152" spans="1:19" x14ac:dyDescent="0.25">
      <c r="A152" s="303" t="s">
        <v>3420</v>
      </c>
      <c r="B152" s="303" t="s">
        <v>3419</v>
      </c>
      <c r="C152" s="328">
        <v>43196</v>
      </c>
      <c r="D152" s="303" t="s">
        <v>1961</v>
      </c>
      <c r="E152" s="303" t="s">
        <v>1960</v>
      </c>
      <c r="F152" s="303" t="s">
        <v>1967</v>
      </c>
      <c r="G152" s="303" t="s">
        <v>1959</v>
      </c>
      <c r="H152" s="303" t="s">
        <v>1956</v>
      </c>
      <c r="I152" s="304">
        <v>-7160</v>
      </c>
      <c r="J152" s="303" t="s">
        <v>1967</v>
      </c>
      <c r="K152" s="303" t="s">
        <v>1561</v>
      </c>
      <c r="L152" s="303" t="s">
        <v>1956</v>
      </c>
      <c r="M152" s="303" t="s">
        <v>3299</v>
      </c>
      <c r="N152" s="303" t="s">
        <v>1987</v>
      </c>
      <c r="O152" s="303" t="s">
        <v>1986</v>
      </c>
      <c r="P152" s="328">
        <v>43196</v>
      </c>
      <c r="Q152" s="303" t="s">
        <v>1952</v>
      </c>
      <c r="R152" s="303">
        <f t="shared" si="6"/>
        <v>0</v>
      </c>
      <c r="S152" s="303">
        <v>0</v>
      </c>
    </row>
    <row r="153" spans="1:19" x14ac:dyDescent="0.25">
      <c r="A153" s="303" t="s">
        <v>3418</v>
      </c>
      <c r="B153" s="303" t="s">
        <v>3417</v>
      </c>
      <c r="C153" s="328">
        <v>43196</v>
      </c>
      <c r="D153" s="303" t="s">
        <v>1965</v>
      </c>
      <c r="E153" s="303" t="s">
        <v>1964</v>
      </c>
      <c r="F153" s="303" t="s">
        <v>1967</v>
      </c>
      <c r="G153" s="303" t="s">
        <v>1959</v>
      </c>
      <c r="H153" s="303" t="s">
        <v>1956</v>
      </c>
      <c r="I153" s="304">
        <v>8940</v>
      </c>
      <c r="J153" s="303" t="s">
        <v>1967</v>
      </c>
      <c r="K153" s="303" t="s">
        <v>1549</v>
      </c>
      <c r="L153" s="303" t="s">
        <v>1956</v>
      </c>
      <c r="M153" s="303" t="s">
        <v>3299</v>
      </c>
      <c r="N153" s="303" t="s">
        <v>1987</v>
      </c>
      <c r="O153" s="303" t="s">
        <v>1986</v>
      </c>
      <c r="P153" s="328">
        <v>43196</v>
      </c>
      <c r="Q153" s="303" t="s">
        <v>1952</v>
      </c>
      <c r="R153" s="303">
        <f t="shared" si="6"/>
        <v>0</v>
      </c>
      <c r="S153" s="303">
        <v>0</v>
      </c>
    </row>
    <row r="154" spans="1:19" x14ac:dyDescent="0.25">
      <c r="A154" s="303" t="s">
        <v>3418</v>
      </c>
      <c r="B154" s="303" t="s">
        <v>3417</v>
      </c>
      <c r="C154" s="328">
        <v>43196</v>
      </c>
      <c r="D154" s="303" t="s">
        <v>1961</v>
      </c>
      <c r="E154" s="303" t="s">
        <v>1960</v>
      </c>
      <c r="F154" s="303" t="s">
        <v>1967</v>
      </c>
      <c r="G154" s="303" t="s">
        <v>1959</v>
      </c>
      <c r="H154" s="303" t="s">
        <v>1956</v>
      </c>
      <c r="I154" s="304">
        <v>-8940</v>
      </c>
      <c r="J154" s="303" t="s">
        <v>1967</v>
      </c>
      <c r="K154" s="303" t="s">
        <v>1549</v>
      </c>
      <c r="L154" s="303" t="s">
        <v>1956</v>
      </c>
      <c r="M154" s="303" t="s">
        <v>3299</v>
      </c>
      <c r="N154" s="303" t="s">
        <v>1987</v>
      </c>
      <c r="O154" s="303" t="s">
        <v>1986</v>
      </c>
      <c r="P154" s="328">
        <v>43196</v>
      </c>
      <c r="Q154" s="303" t="s">
        <v>1952</v>
      </c>
      <c r="R154" s="303">
        <f t="shared" si="6"/>
        <v>0</v>
      </c>
      <c r="S154" s="303">
        <v>0</v>
      </c>
    </row>
    <row r="155" spans="1:19" x14ac:dyDescent="0.25">
      <c r="A155" s="303" t="s">
        <v>3416</v>
      </c>
      <c r="B155" s="303" t="s">
        <v>3415</v>
      </c>
      <c r="C155" s="328">
        <v>43196</v>
      </c>
      <c r="D155" s="303" t="s">
        <v>1965</v>
      </c>
      <c r="E155" s="303" t="s">
        <v>1964</v>
      </c>
      <c r="F155" s="303" t="s">
        <v>1967</v>
      </c>
      <c r="G155" s="303" t="s">
        <v>1959</v>
      </c>
      <c r="H155" s="303" t="s">
        <v>1956</v>
      </c>
      <c r="I155" s="304">
        <v>10550</v>
      </c>
      <c r="J155" s="303" t="s">
        <v>1967</v>
      </c>
      <c r="K155" s="303" t="s">
        <v>1523</v>
      </c>
      <c r="L155" s="303" t="s">
        <v>1956</v>
      </c>
      <c r="M155" s="303" t="s">
        <v>3299</v>
      </c>
      <c r="N155" s="303" t="s">
        <v>1987</v>
      </c>
      <c r="O155" s="303" t="s">
        <v>1986</v>
      </c>
      <c r="P155" s="328">
        <v>43196</v>
      </c>
      <c r="Q155" s="303" t="s">
        <v>1952</v>
      </c>
      <c r="R155" s="303">
        <f t="shared" si="6"/>
        <v>0</v>
      </c>
      <c r="S155" s="303">
        <v>0</v>
      </c>
    </row>
    <row r="156" spans="1:19" x14ac:dyDescent="0.25">
      <c r="A156" s="303" t="s">
        <v>3416</v>
      </c>
      <c r="B156" s="303" t="s">
        <v>3415</v>
      </c>
      <c r="C156" s="328">
        <v>43196</v>
      </c>
      <c r="D156" s="303" t="s">
        <v>1961</v>
      </c>
      <c r="E156" s="303" t="s">
        <v>1960</v>
      </c>
      <c r="F156" s="303" t="s">
        <v>1967</v>
      </c>
      <c r="G156" s="303" t="s">
        <v>1959</v>
      </c>
      <c r="H156" s="303" t="s">
        <v>1956</v>
      </c>
      <c r="I156" s="304">
        <v>-10550</v>
      </c>
      <c r="J156" s="303" t="s">
        <v>1967</v>
      </c>
      <c r="K156" s="303" t="s">
        <v>1523</v>
      </c>
      <c r="L156" s="303" t="s">
        <v>1956</v>
      </c>
      <c r="M156" s="303" t="s">
        <v>3299</v>
      </c>
      <c r="N156" s="303" t="s">
        <v>1987</v>
      </c>
      <c r="O156" s="303" t="s">
        <v>1986</v>
      </c>
      <c r="P156" s="328">
        <v>43196</v>
      </c>
      <c r="Q156" s="303" t="s">
        <v>1952</v>
      </c>
      <c r="R156" s="303">
        <f t="shared" si="6"/>
        <v>0</v>
      </c>
      <c r="S156" s="303">
        <v>0</v>
      </c>
    </row>
    <row r="157" spans="1:19" x14ac:dyDescent="0.25">
      <c r="A157" s="303" t="s">
        <v>3414</v>
      </c>
      <c r="B157" s="303" t="s">
        <v>3413</v>
      </c>
      <c r="C157" s="328">
        <v>43196</v>
      </c>
      <c r="D157" s="303" t="s">
        <v>1965</v>
      </c>
      <c r="E157" s="303" t="s">
        <v>1964</v>
      </c>
      <c r="F157" s="303" t="s">
        <v>1967</v>
      </c>
      <c r="G157" s="303" t="s">
        <v>1959</v>
      </c>
      <c r="H157" s="303" t="s">
        <v>1956</v>
      </c>
      <c r="I157" s="304">
        <v>7420</v>
      </c>
      <c r="J157" s="303" t="s">
        <v>1967</v>
      </c>
      <c r="K157" s="303" t="s">
        <v>1520</v>
      </c>
      <c r="L157" s="303" t="s">
        <v>1956</v>
      </c>
      <c r="M157" s="303" t="s">
        <v>3299</v>
      </c>
      <c r="N157" s="303" t="s">
        <v>1987</v>
      </c>
      <c r="O157" s="303" t="s">
        <v>1986</v>
      </c>
      <c r="P157" s="328">
        <v>43196</v>
      </c>
      <c r="Q157" s="303" t="s">
        <v>1952</v>
      </c>
      <c r="R157" s="303">
        <f t="shared" si="6"/>
        <v>0</v>
      </c>
      <c r="S157" s="303">
        <v>0</v>
      </c>
    </row>
    <row r="158" spans="1:19" x14ac:dyDescent="0.25">
      <c r="A158" s="303" t="s">
        <v>3414</v>
      </c>
      <c r="B158" s="303" t="s">
        <v>3413</v>
      </c>
      <c r="C158" s="328">
        <v>43196</v>
      </c>
      <c r="D158" s="303" t="s">
        <v>1961</v>
      </c>
      <c r="E158" s="303" t="s">
        <v>1960</v>
      </c>
      <c r="F158" s="303" t="s">
        <v>1967</v>
      </c>
      <c r="G158" s="303" t="s">
        <v>1959</v>
      </c>
      <c r="H158" s="303" t="s">
        <v>1956</v>
      </c>
      <c r="I158" s="304">
        <v>-7420</v>
      </c>
      <c r="J158" s="303" t="s">
        <v>1967</v>
      </c>
      <c r="K158" s="303" t="s">
        <v>1520</v>
      </c>
      <c r="L158" s="303" t="s">
        <v>1956</v>
      </c>
      <c r="M158" s="303" t="s">
        <v>3299</v>
      </c>
      <c r="N158" s="303" t="s">
        <v>1987</v>
      </c>
      <c r="O158" s="303" t="s">
        <v>1986</v>
      </c>
      <c r="P158" s="328">
        <v>43196</v>
      </c>
      <c r="Q158" s="303" t="s">
        <v>1952</v>
      </c>
      <c r="R158" s="303">
        <f t="shared" si="6"/>
        <v>0</v>
      </c>
      <c r="S158" s="303">
        <v>0</v>
      </c>
    </row>
    <row r="159" spans="1:19" x14ac:dyDescent="0.25">
      <c r="A159" s="303" t="s">
        <v>3412</v>
      </c>
      <c r="B159" s="303" t="s">
        <v>3411</v>
      </c>
      <c r="C159" s="328">
        <v>43196</v>
      </c>
      <c r="D159" s="303" t="s">
        <v>1965</v>
      </c>
      <c r="E159" s="303" t="s">
        <v>1964</v>
      </c>
      <c r="F159" s="303" t="s">
        <v>1967</v>
      </c>
      <c r="G159" s="303" t="s">
        <v>1959</v>
      </c>
      <c r="H159" s="303" t="s">
        <v>1956</v>
      </c>
      <c r="I159" s="304">
        <v>21790</v>
      </c>
      <c r="J159" s="303" t="s">
        <v>1967</v>
      </c>
      <c r="K159" s="303" t="s">
        <v>1517</v>
      </c>
      <c r="L159" s="303" t="s">
        <v>1956</v>
      </c>
      <c r="M159" s="303" t="s">
        <v>3299</v>
      </c>
      <c r="N159" s="303" t="s">
        <v>1987</v>
      </c>
      <c r="O159" s="303" t="s">
        <v>1986</v>
      </c>
      <c r="P159" s="328">
        <v>43196</v>
      </c>
      <c r="Q159" s="303" t="s">
        <v>1952</v>
      </c>
      <c r="R159" s="303">
        <f t="shared" si="6"/>
        <v>0</v>
      </c>
      <c r="S159" s="303">
        <v>0</v>
      </c>
    </row>
    <row r="160" spans="1:19" x14ac:dyDescent="0.25">
      <c r="A160" s="303" t="s">
        <v>3412</v>
      </c>
      <c r="B160" s="303" t="s">
        <v>3411</v>
      </c>
      <c r="C160" s="328">
        <v>43196</v>
      </c>
      <c r="D160" s="303" t="s">
        <v>1961</v>
      </c>
      <c r="E160" s="303" t="s">
        <v>1960</v>
      </c>
      <c r="F160" s="303" t="s">
        <v>1967</v>
      </c>
      <c r="G160" s="303" t="s">
        <v>1959</v>
      </c>
      <c r="H160" s="303" t="s">
        <v>1956</v>
      </c>
      <c r="I160" s="304">
        <v>-21790</v>
      </c>
      <c r="J160" s="303" t="s">
        <v>1967</v>
      </c>
      <c r="K160" s="303" t="s">
        <v>1517</v>
      </c>
      <c r="L160" s="303" t="s">
        <v>1956</v>
      </c>
      <c r="M160" s="303" t="s">
        <v>3299</v>
      </c>
      <c r="N160" s="303" t="s">
        <v>1987</v>
      </c>
      <c r="O160" s="303" t="s">
        <v>1986</v>
      </c>
      <c r="P160" s="328">
        <v>43196</v>
      </c>
      <c r="Q160" s="303" t="s">
        <v>1952</v>
      </c>
      <c r="R160" s="303">
        <f t="shared" si="6"/>
        <v>0</v>
      </c>
      <c r="S160" s="303">
        <v>0</v>
      </c>
    </row>
    <row r="161" spans="1:19" x14ac:dyDescent="0.25">
      <c r="A161" s="303" t="s">
        <v>3410</v>
      </c>
      <c r="B161" s="303" t="s">
        <v>3409</v>
      </c>
      <c r="C161" s="328">
        <v>43196</v>
      </c>
      <c r="D161" s="303" t="s">
        <v>1965</v>
      </c>
      <c r="E161" s="303" t="s">
        <v>1964</v>
      </c>
      <c r="F161" s="303" t="s">
        <v>1967</v>
      </c>
      <c r="G161" s="303" t="s">
        <v>1959</v>
      </c>
      <c r="H161" s="303" t="s">
        <v>1956</v>
      </c>
      <c r="I161" s="304">
        <v>1770</v>
      </c>
      <c r="J161" s="303" t="s">
        <v>1967</v>
      </c>
      <c r="K161" s="303" t="s">
        <v>2772</v>
      </c>
      <c r="L161" s="303" t="s">
        <v>1956</v>
      </c>
      <c r="M161" s="303" t="s">
        <v>3299</v>
      </c>
      <c r="N161" s="303" t="s">
        <v>1987</v>
      </c>
      <c r="O161" s="303" t="s">
        <v>1986</v>
      </c>
      <c r="P161" s="328">
        <v>43196</v>
      </c>
      <c r="Q161" s="303" t="s">
        <v>1952</v>
      </c>
      <c r="R161" s="303">
        <f t="shared" si="6"/>
        <v>0</v>
      </c>
      <c r="S161" s="303">
        <v>0</v>
      </c>
    </row>
    <row r="162" spans="1:19" x14ac:dyDescent="0.25">
      <c r="A162" s="303" t="s">
        <v>3410</v>
      </c>
      <c r="B162" s="303" t="s">
        <v>3409</v>
      </c>
      <c r="C162" s="328">
        <v>43196</v>
      </c>
      <c r="D162" s="303" t="s">
        <v>1961</v>
      </c>
      <c r="E162" s="303" t="s">
        <v>1960</v>
      </c>
      <c r="F162" s="303" t="s">
        <v>1967</v>
      </c>
      <c r="G162" s="303" t="s">
        <v>1959</v>
      </c>
      <c r="H162" s="303" t="s">
        <v>1956</v>
      </c>
      <c r="I162" s="304">
        <v>-1770</v>
      </c>
      <c r="J162" s="303" t="s">
        <v>1967</v>
      </c>
      <c r="K162" s="303" t="s">
        <v>2772</v>
      </c>
      <c r="L162" s="303" t="s">
        <v>1956</v>
      </c>
      <c r="M162" s="303" t="s">
        <v>3299</v>
      </c>
      <c r="N162" s="303" t="s">
        <v>1987</v>
      </c>
      <c r="O162" s="303" t="s">
        <v>1986</v>
      </c>
      <c r="P162" s="328">
        <v>43196</v>
      </c>
      <c r="Q162" s="303" t="s">
        <v>1952</v>
      </c>
      <c r="R162" s="303">
        <f t="shared" si="6"/>
        <v>0</v>
      </c>
      <c r="S162" s="303">
        <v>0</v>
      </c>
    </row>
    <row r="163" spans="1:19" x14ac:dyDescent="0.25">
      <c r="A163" s="303" t="s">
        <v>3408</v>
      </c>
      <c r="B163" s="303" t="s">
        <v>3407</v>
      </c>
      <c r="C163" s="328">
        <v>43196</v>
      </c>
      <c r="D163" s="303" t="s">
        <v>1965</v>
      </c>
      <c r="E163" s="303" t="s">
        <v>1964</v>
      </c>
      <c r="F163" s="303" t="s">
        <v>1967</v>
      </c>
      <c r="G163" s="303" t="s">
        <v>1959</v>
      </c>
      <c r="H163" s="303" t="s">
        <v>1956</v>
      </c>
      <c r="I163" s="304">
        <v>60840</v>
      </c>
      <c r="J163" s="303" t="s">
        <v>1967</v>
      </c>
      <c r="K163" s="303" t="s">
        <v>1484</v>
      </c>
      <c r="L163" s="303" t="s">
        <v>1956</v>
      </c>
      <c r="M163" s="303" t="s">
        <v>3299</v>
      </c>
      <c r="N163" s="303" t="s">
        <v>1987</v>
      </c>
      <c r="O163" s="303" t="s">
        <v>1986</v>
      </c>
      <c r="P163" s="328">
        <v>43196</v>
      </c>
      <c r="Q163" s="303" t="s">
        <v>1952</v>
      </c>
      <c r="R163" s="303">
        <f t="shared" si="6"/>
        <v>0</v>
      </c>
      <c r="S163" s="303">
        <v>0</v>
      </c>
    </row>
    <row r="164" spans="1:19" x14ac:dyDescent="0.25">
      <c r="A164" s="303" t="s">
        <v>3408</v>
      </c>
      <c r="B164" s="303" t="s">
        <v>3407</v>
      </c>
      <c r="C164" s="328">
        <v>43196</v>
      </c>
      <c r="D164" s="303" t="s">
        <v>1961</v>
      </c>
      <c r="E164" s="303" t="s">
        <v>1960</v>
      </c>
      <c r="F164" s="303" t="s">
        <v>1967</v>
      </c>
      <c r="G164" s="303" t="s">
        <v>1959</v>
      </c>
      <c r="H164" s="303" t="s">
        <v>1956</v>
      </c>
      <c r="I164" s="304">
        <v>-60840</v>
      </c>
      <c r="J164" s="303" t="s">
        <v>1967</v>
      </c>
      <c r="K164" s="303" t="s">
        <v>1484</v>
      </c>
      <c r="L164" s="303" t="s">
        <v>1956</v>
      </c>
      <c r="M164" s="303" t="s">
        <v>3299</v>
      </c>
      <c r="N164" s="303" t="s">
        <v>1987</v>
      </c>
      <c r="O164" s="303" t="s">
        <v>1986</v>
      </c>
      <c r="P164" s="328">
        <v>43196</v>
      </c>
      <c r="Q164" s="303" t="s">
        <v>1952</v>
      </c>
      <c r="R164" s="303">
        <f t="shared" si="6"/>
        <v>0</v>
      </c>
      <c r="S164" s="303">
        <v>0</v>
      </c>
    </row>
    <row r="165" spans="1:19" x14ac:dyDescent="0.25">
      <c r="A165" s="303" t="s">
        <v>3406</v>
      </c>
      <c r="B165" s="303" t="s">
        <v>3405</v>
      </c>
      <c r="C165" s="328">
        <v>43196</v>
      </c>
      <c r="D165" s="303" t="s">
        <v>1965</v>
      </c>
      <c r="E165" s="303" t="s">
        <v>1964</v>
      </c>
      <c r="F165" s="303" t="s">
        <v>1967</v>
      </c>
      <c r="G165" s="303" t="s">
        <v>1959</v>
      </c>
      <c r="H165" s="303" t="s">
        <v>1956</v>
      </c>
      <c r="I165" s="304">
        <v>2800</v>
      </c>
      <c r="J165" s="303" t="s">
        <v>1967</v>
      </c>
      <c r="K165" s="303" t="s">
        <v>1472</v>
      </c>
      <c r="L165" s="303" t="s">
        <v>1956</v>
      </c>
      <c r="M165" s="303" t="s">
        <v>3299</v>
      </c>
      <c r="N165" s="303" t="s">
        <v>1987</v>
      </c>
      <c r="O165" s="303" t="s">
        <v>1986</v>
      </c>
      <c r="P165" s="328">
        <v>43196</v>
      </c>
      <c r="Q165" s="303" t="s">
        <v>1952</v>
      </c>
      <c r="R165" s="303">
        <f t="shared" si="6"/>
        <v>0</v>
      </c>
      <c r="S165" s="303">
        <v>0</v>
      </c>
    </row>
    <row r="166" spans="1:19" x14ac:dyDescent="0.25">
      <c r="A166" s="303" t="s">
        <v>3406</v>
      </c>
      <c r="B166" s="303" t="s">
        <v>3405</v>
      </c>
      <c r="C166" s="328">
        <v>43196</v>
      </c>
      <c r="D166" s="303" t="s">
        <v>1961</v>
      </c>
      <c r="E166" s="303" t="s">
        <v>1960</v>
      </c>
      <c r="F166" s="303" t="s">
        <v>1967</v>
      </c>
      <c r="G166" s="303" t="s">
        <v>1959</v>
      </c>
      <c r="H166" s="303" t="s">
        <v>1956</v>
      </c>
      <c r="I166" s="304">
        <v>-2800</v>
      </c>
      <c r="J166" s="303" t="s">
        <v>1967</v>
      </c>
      <c r="K166" s="303" t="s">
        <v>1472</v>
      </c>
      <c r="L166" s="303" t="s">
        <v>1956</v>
      </c>
      <c r="M166" s="303" t="s">
        <v>3299</v>
      </c>
      <c r="N166" s="303" t="s">
        <v>1987</v>
      </c>
      <c r="O166" s="303" t="s">
        <v>1986</v>
      </c>
      <c r="P166" s="328">
        <v>43196</v>
      </c>
      <c r="Q166" s="303" t="s">
        <v>1952</v>
      </c>
      <c r="R166" s="303">
        <f t="shared" si="6"/>
        <v>0</v>
      </c>
      <c r="S166" s="303">
        <v>0</v>
      </c>
    </row>
    <row r="167" spans="1:19" x14ac:dyDescent="0.25">
      <c r="A167" s="303" t="s">
        <v>3404</v>
      </c>
      <c r="B167" s="303" t="s">
        <v>3403</v>
      </c>
      <c r="C167" s="328">
        <v>43196</v>
      </c>
      <c r="D167" s="303" t="s">
        <v>1965</v>
      </c>
      <c r="E167" s="303" t="s">
        <v>1964</v>
      </c>
      <c r="F167" s="303" t="s">
        <v>1967</v>
      </c>
      <c r="G167" s="303" t="s">
        <v>1959</v>
      </c>
      <c r="H167" s="303" t="s">
        <v>1956</v>
      </c>
      <c r="I167" s="304">
        <v>2300</v>
      </c>
      <c r="J167" s="303" t="s">
        <v>1967</v>
      </c>
      <c r="K167" s="303" t="s">
        <v>2138</v>
      </c>
      <c r="L167" s="303" t="s">
        <v>1956</v>
      </c>
      <c r="M167" s="303" t="s">
        <v>3299</v>
      </c>
      <c r="N167" s="303" t="s">
        <v>1987</v>
      </c>
      <c r="O167" s="303" t="s">
        <v>1986</v>
      </c>
      <c r="P167" s="328">
        <v>43196</v>
      </c>
      <c r="Q167" s="303" t="s">
        <v>1952</v>
      </c>
      <c r="R167" s="303">
        <f t="shared" si="6"/>
        <v>0</v>
      </c>
      <c r="S167" s="303">
        <v>0</v>
      </c>
    </row>
    <row r="168" spans="1:19" x14ac:dyDescent="0.25">
      <c r="A168" s="303" t="s">
        <v>3404</v>
      </c>
      <c r="B168" s="303" t="s">
        <v>3403</v>
      </c>
      <c r="C168" s="328">
        <v>43196</v>
      </c>
      <c r="D168" s="303" t="s">
        <v>1961</v>
      </c>
      <c r="E168" s="303" t="s">
        <v>1960</v>
      </c>
      <c r="F168" s="303" t="s">
        <v>1967</v>
      </c>
      <c r="G168" s="303" t="s">
        <v>1959</v>
      </c>
      <c r="H168" s="303" t="s">
        <v>1956</v>
      </c>
      <c r="I168" s="304">
        <v>-2300</v>
      </c>
      <c r="J168" s="303" t="s">
        <v>1967</v>
      </c>
      <c r="K168" s="303" t="s">
        <v>2138</v>
      </c>
      <c r="L168" s="303" t="s">
        <v>1956</v>
      </c>
      <c r="M168" s="303" t="s">
        <v>3299</v>
      </c>
      <c r="N168" s="303" t="s">
        <v>1987</v>
      </c>
      <c r="O168" s="303" t="s">
        <v>1986</v>
      </c>
      <c r="P168" s="328">
        <v>43196</v>
      </c>
      <c r="Q168" s="303" t="s">
        <v>1952</v>
      </c>
      <c r="R168" s="303">
        <f t="shared" si="6"/>
        <v>0</v>
      </c>
      <c r="S168" s="303">
        <v>0</v>
      </c>
    </row>
    <row r="169" spans="1:19" x14ac:dyDescent="0.25">
      <c r="A169" s="303" t="s">
        <v>3402</v>
      </c>
      <c r="B169" s="303" t="s">
        <v>3401</v>
      </c>
      <c r="C169" s="328">
        <v>43196</v>
      </c>
      <c r="D169" s="303" t="s">
        <v>1965</v>
      </c>
      <c r="E169" s="303" t="s">
        <v>1964</v>
      </c>
      <c r="F169" s="303" t="s">
        <v>1967</v>
      </c>
      <c r="G169" s="303" t="s">
        <v>1959</v>
      </c>
      <c r="H169" s="303" t="s">
        <v>1956</v>
      </c>
      <c r="I169" s="304">
        <v>4890</v>
      </c>
      <c r="J169" s="303" t="s">
        <v>1967</v>
      </c>
      <c r="K169" s="303" t="s">
        <v>2309</v>
      </c>
      <c r="L169" s="303" t="s">
        <v>1956</v>
      </c>
      <c r="M169" s="303" t="s">
        <v>3299</v>
      </c>
      <c r="N169" s="303" t="s">
        <v>1987</v>
      </c>
      <c r="O169" s="303" t="s">
        <v>1986</v>
      </c>
      <c r="P169" s="328">
        <v>43196</v>
      </c>
      <c r="Q169" s="303" t="s">
        <v>1952</v>
      </c>
      <c r="R169" s="303">
        <f t="shared" si="6"/>
        <v>0</v>
      </c>
      <c r="S169" s="303">
        <v>0</v>
      </c>
    </row>
    <row r="170" spans="1:19" x14ac:dyDescent="0.25">
      <c r="A170" s="303" t="s">
        <v>3402</v>
      </c>
      <c r="B170" s="303" t="s">
        <v>3401</v>
      </c>
      <c r="C170" s="328">
        <v>43196</v>
      </c>
      <c r="D170" s="303" t="s">
        <v>1961</v>
      </c>
      <c r="E170" s="303" t="s">
        <v>1960</v>
      </c>
      <c r="F170" s="303" t="s">
        <v>1967</v>
      </c>
      <c r="G170" s="303" t="s">
        <v>1959</v>
      </c>
      <c r="H170" s="303" t="s">
        <v>1956</v>
      </c>
      <c r="I170" s="304">
        <v>-4890</v>
      </c>
      <c r="J170" s="303" t="s">
        <v>1967</v>
      </c>
      <c r="K170" s="303" t="s">
        <v>2309</v>
      </c>
      <c r="L170" s="303" t="s">
        <v>1956</v>
      </c>
      <c r="M170" s="303" t="s">
        <v>3299</v>
      </c>
      <c r="N170" s="303" t="s">
        <v>1987</v>
      </c>
      <c r="O170" s="303" t="s">
        <v>1986</v>
      </c>
      <c r="P170" s="328">
        <v>43196</v>
      </c>
      <c r="Q170" s="303" t="s">
        <v>1952</v>
      </c>
      <c r="R170" s="303">
        <f t="shared" si="6"/>
        <v>0</v>
      </c>
      <c r="S170" s="303">
        <v>0</v>
      </c>
    </row>
    <row r="171" spans="1:19" x14ac:dyDescent="0.25">
      <c r="A171" s="303" t="s">
        <v>3400</v>
      </c>
      <c r="B171" s="303" t="s">
        <v>3399</v>
      </c>
      <c r="C171" s="328">
        <v>43196</v>
      </c>
      <c r="D171" s="303" t="s">
        <v>1965</v>
      </c>
      <c r="E171" s="303" t="s">
        <v>1964</v>
      </c>
      <c r="F171" s="303" t="s">
        <v>1967</v>
      </c>
      <c r="G171" s="303" t="s">
        <v>1959</v>
      </c>
      <c r="H171" s="303" t="s">
        <v>1956</v>
      </c>
      <c r="I171" s="304">
        <v>26510</v>
      </c>
      <c r="J171" s="303" t="s">
        <v>1967</v>
      </c>
      <c r="K171" s="303" t="s">
        <v>1469</v>
      </c>
      <c r="L171" s="303" t="s">
        <v>1956</v>
      </c>
      <c r="M171" s="303" t="s">
        <v>3299</v>
      </c>
      <c r="N171" s="303" t="s">
        <v>1987</v>
      </c>
      <c r="O171" s="303" t="s">
        <v>1986</v>
      </c>
      <c r="P171" s="328">
        <v>43196</v>
      </c>
      <c r="Q171" s="303" t="s">
        <v>1952</v>
      </c>
      <c r="R171" s="303">
        <f t="shared" si="6"/>
        <v>0</v>
      </c>
      <c r="S171" s="303">
        <v>0</v>
      </c>
    </row>
    <row r="172" spans="1:19" x14ac:dyDescent="0.25">
      <c r="A172" s="303" t="s">
        <v>3400</v>
      </c>
      <c r="B172" s="303" t="s">
        <v>3399</v>
      </c>
      <c r="C172" s="328">
        <v>43196</v>
      </c>
      <c r="D172" s="303" t="s">
        <v>1961</v>
      </c>
      <c r="E172" s="303" t="s">
        <v>1960</v>
      </c>
      <c r="F172" s="303" t="s">
        <v>1967</v>
      </c>
      <c r="G172" s="303" t="s">
        <v>1959</v>
      </c>
      <c r="H172" s="303" t="s">
        <v>1956</v>
      </c>
      <c r="I172" s="304">
        <v>-26510</v>
      </c>
      <c r="J172" s="303" t="s">
        <v>1967</v>
      </c>
      <c r="K172" s="303" t="s">
        <v>1469</v>
      </c>
      <c r="L172" s="303" t="s">
        <v>1956</v>
      </c>
      <c r="M172" s="303" t="s">
        <v>3299</v>
      </c>
      <c r="N172" s="303" t="s">
        <v>1987</v>
      </c>
      <c r="O172" s="303" t="s">
        <v>1986</v>
      </c>
      <c r="P172" s="328">
        <v>43196</v>
      </c>
      <c r="Q172" s="303" t="s">
        <v>1952</v>
      </c>
      <c r="R172" s="303">
        <f t="shared" si="6"/>
        <v>0</v>
      </c>
      <c r="S172" s="303">
        <v>0</v>
      </c>
    </row>
    <row r="173" spans="1:19" x14ac:dyDescent="0.25">
      <c r="A173" s="303" t="s">
        <v>3398</v>
      </c>
      <c r="B173" s="303" t="s">
        <v>3397</v>
      </c>
      <c r="C173" s="328">
        <v>43196</v>
      </c>
      <c r="D173" s="303" t="s">
        <v>1965</v>
      </c>
      <c r="E173" s="303" t="s">
        <v>1964</v>
      </c>
      <c r="F173" s="303" t="s">
        <v>1967</v>
      </c>
      <c r="G173" s="303" t="s">
        <v>1959</v>
      </c>
      <c r="H173" s="303" t="s">
        <v>1956</v>
      </c>
      <c r="I173" s="304">
        <v>780</v>
      </c>
      <c r="J173" s="303" t="s">
        <v>1967</v>
      </c>
      <c r="K173" s="303" t="s">
        <v>2130</v>
      </c>
      <c r="L173" s="303" t="s">
        <v>1956</v>
      </c>
      <c r="M173" s="303" t="s">
        <v>3299</v>
      </c>
      <c r="N173" s="303" t="s">
        <v>1987</v>
      </c>
      <c r="O173" s="303" t="s">
        <v>1986</v>
      </c>
      <c r="P173" s="328">
        <v>43196</v>
      </c>
      <c r="Q173" s="303" t="s">
        <v>1952</v>
      </c>
      <c r="R173" s="303">
        <f t="shared" si="6"/>
        <v>0</v>
      </c>
      <c r="S173" s="303">
        <v>0</v>
      </c>
    </row>
    <row r="174" spans="1:19" x14ac:dyDescent="0.25">
      <c r="A174" s="303" t="s">
        <v>3398</v>
      </c>
      <c r="B174" s="303" t="s">
        <v>3397</v>
      </c>
      <c r="C174" s="328">
        <v>43196</v>
      </c>
      <c r="D174" s="303" t="s">
        <v>1961</v>
      </c>
      <c r="E174" s="303" t="s">
        <v>1960</v>
      </c>
      <c r="F174" s="303" t="s">
        <v>1967</v>
      </c>
      <c r="G174" s="303" t="s">
        <v>1959</v>
      </c>
      <c r="H174" s="303" t="s">
        <v>1956</v>
      </c>
      <c r="I174" s="304">
        <v>-780</v>
      </c>
      <c r="J174" s="303" t="s">
        <v>1967</v>
      </c>
      <c r="K174" s="303" t="s">
        <v>2130</v>
      </c>
      <c r="L174" s="303" t="s">
        <v>1956</v>
      </c>
      <c r="M174" s="303" t="s">
        <v>3299</v>
      </c>
      <c r="N174" s="303" t="s">
        <v>1987</v>
      </c>
      <c r="O174" s="303" t="s">
        <v>1986</v>
      </c>
      <c r="P174" s="328">
        <v>43196</v>
      </c>
      <c r="Q174" s="303" t="s">
        <v>1952</v>
      </c>
      <c r="R174" s="303">
        <f t="shared" si="6"/>
        <v>0</v>
      </c>
      <c r="S174" s="303">
        <v>0</v>
      </c>
    </row>
    <row r="175" spans="1:19" x14ac:dyDescent="0.25">
      <c r="A175" s="303" t="s">
        <v>3396</v>
      </c>
      <c r="B175" s="303" t="s">
        <v>3395</v>
      </c>
      <c r="C175" s="328">
        <v>43196</v>
      </c>
      <c r="D175" s="303" t="s">
        <v>1965</v>
      </c>
      <c r="E175" s="303" t="s">
        <v>1964</v>
      </c>
      <c r="F175" s="303" t="s">
        <v>1967</v>
      </c>
      <c r="G175" s="303" t="s">
        <v>1959</v>
      </c>
      <c r="H175" s="303" t="s">
        <v>1956</v>
      </c>
      <c r="I175" s="304">
        <v>730</v>
      </c>
      <c r="J175" s="303" t="s">
        <v>1967</v>
      </c>
      <c r="K175" s="303" t="s">
        <v>2150</v>
      </c>
      <c r="L175" s="303" t="s">
        <v>1956</v>
      </c>
      <c r="M175" s="303" t="s">
        <v>3299</v>
      </c>
      <c r="N175" s="303" t="s">
        <v>1987</v>
      </c>
      <c r="O175" s="303" t="s">
        <v>1986</v>
      </c>
      <c r="P175" s="328">
        <v>43196</v>
      </c>
      <c r="Q175" s="303" t="s">
        <v>1952</v>
      </c>
      <c r="R175" s="303">
        <f t="shared" si="6"/>
        <v>0</v>
      </c>
      <c r="S175" s="303">
        <v>0</v>
      </c>
    </row>
    <row r="176" spans="1:19" x14ac:dyDescent="0.25">
      <c r="A176" s="303" t="s">
        <v>3396</v>
      </c>
      <c r="B176" s="303" t="s">
        <v>3395</v>
      </c>
      <c r="C176" s="328">
        <v>43196</v>
      </c>
      <c r="D176" s="303" t="s">
        <v>1961</v>
      </c>
      <c r="E176" s="303" t="s">
        <v>1960</v>
      </c>
      <c r="F176" s="303" t="s">
        <v>1967</v>
      </c>
      <c r="G176" s="303" t="s">
        <v>1959</v>
      </c>
      <c r="H176" s="303" t="s">
        <v>1956</v>
      </c>
      <c r="I176" s="304">
        <v>-730</v>
      </c>
      <c r="J176" s="303" t="s">
        <v>1967</v>
      </c>
      <c r="K176" s="303" t="s">
        <v>2150</v>
      </c>
      <c r="L176" s="303" t="s">
        <v>1956</v>
      </c>
      <c r="M176" s="303" t="s">
        <v>3299</v>
      </c>
      <c r="N176" s="303" t="s">
        <v>1987</v>
      </c>
      <c r="O176" s="303" t="s">
        <v>1986</v>
      </c>
      <c r="P176" s="328">
        <v>43196</v>
      </c>
      <c r="Q176" s="303" t="s">
        <v>1952</v>
      </c>
      <c r="R176" s="303">
        <f t="shared" si="6"/>
        <v>0</v>
      </c>
      <c r="S176" s="303">
        <v>0</v>
      </c>
    </row>
    <row r="177" spans="1:19" x14ac:dyDescent="0.25">
      <c r="A177" s="303" t="s">
        <v>3394</v>
      </c>
      <c r="B177" s="303" t="s">
        <v>3393</v>
      </c>
      <c r="C177" s="328">
        <v>43196</v>
      </c>
      <c r="D177" s="303" t="s">
        <v>1965</v>
      </c>
      <c r="E177" s="303" t="s">
        <v>1964</v>
      </c>
      <c r="F177" s="303" t="s">
        <v>1967</v>
      </c>
      <c r="G177" s="303" t="s">
        <v>1959</v>
      </c>
      <c r="H177" s="303" t="s">
        <v>1956</v>
      </c>
      <c r="I177" s="304">
        <v>21700</v>
      </c>
      <c r="J177" s="303" t="s">
        <v>1967</v>
      </c>
      <c r="K177" s="303" t="s">
        <v>1421</v>
      </c>
      <c r="L177" s="303" t="s">
        <v>1956</v>
      </c>
      <c r="M177" s="303" t="s">
        <v>3299</v>
      </c>
      <c r="N177" s="303" t="s">
        <v>1987</v>
      </c>
      <c r="O177" s="303" t="s">
        <v>1986</v>
      </c>
      <c r="P177" s="328">
        <v>43196</v>
      </c>
      <c r="Q177" s="303" t="s">
        <v>1952</v>
      </c>
      <c r="R177" s="303">
        <f t="shared" si="6"/>
        <v>0</v>
      </c>
      <c r="S177" s="303">
        <v>0</v>
      </c>
    </row>
    <row r="178" spans="1:19" x14ac:dyDescent="0.25">
      <c r="A178" s="303" t="s">
        <v>3394</v>
      </c>
      <c r="B178" s="303" t="s">
        <v>3393</v>
      </c>
      <c r="C178" s="328">
        <v>43196</v>
      </c>
      <c r="D178" s="303" t="s">
        <v>1961</v>
      </c>
      <c r="E178" s="303" t="s">
        <v>1960</v>
      </c>
      <c r="F178" s="303" t="s">
        <v>1967</v>
      </c>
      <c r="G178" s="303" t="s">
        <v>1959</v>
      </c>
      <c r="H178" s="303" t="s">
        <v>1956</v>
      </c>
      <c r="I178" s="304">
        <v>-21700</v>
      </c>
      <c r="J178" s="303" t="s">
        <v>1967</v>
      </c>
      <c r="K178" s="303" t="s">
        <v>1421</v>
      </c>
      <c r="L178" s="303" t="s">
        <v>1956</v>
      </c>
      <c r="M178" s="303" t="s">
        <v>3299</v>
      </c>
      <c r="N178" s="303" t="s">
        <v>1987</v>
      </c>
      <c r="O178" s="303" t="s">
        <v>1986</v>
      </c>
      <c r="P178" s="328">
        <v>43196</v>
      </c>
      <c r="Q178" s="303" t="s">
        <v>1952</v>
      </c>
      <c r="R178" s="303">
        <f t="shared" si="6"/>
        <v>0</v>
      </c>
      <c r="S178" s="303">
        <v>0</v>
      </c>
    </row>
    <row r="179" spans="1:19" x14ac:dyDescent="0.25">
      <c r="A179" s="303" t="s">
        <v>3392</v>
      </c>
      <c r="B179" s="303" t="s">
        <v>3391</v>
      </c>
      <c r="C179" s="328">
        <v>43196</v>
      </c>
      <c r="D179" s="303" t="s">
        <v>1965</v>
      </c>
      <c r="E179" s="303" t="s">
        <v>1964</v>
      </c>
      <c r="F179" s="303" t="s">
        <v>1967</v>
      </c>
      <c r="G179" s="303" t="s">
        <v>1959</v>
      </c>
      <c r="H179" s="303" t="s">
        <v>1956</v>
      </c>
      <c r="I179" s="304">
        <v>5390</v>
      </c>
      <c r="J179" s="303" t="s">
        <v>1967</v>
      </c>
      <c r="K179" s="303" t="s">
        <v>1400</v>
      </c>
      <c r="L179" s="303" t="s">
        <v>1956</v>
      </c>
      <c r="M179" s="303" t="s">
        <v>3299</v>
      </c>
      <c r="N179" s="303" t="s">
        <v>1987</v>
      </c>
      <c r="O179" s="303" t="s">
        <v>1986</v>
      </c>
      <c r="P179" s="328">
        <v>43196</v>
      </c>
      <c r="Q179" s="303" t="s">
        <v>1952</v>
      </c>
      <c r="R179" s="303">
        <f t="shared" si="6"/>
        <v>0</v>
      </c>
      <c r="S179" s="303">
        <v>0</v>
      </c>
    </row>
    <row r="180" spans="1:19" x14ac:dyDescent="0.25">
      <c r="A180" s="303" t="s">
        <v>3392</v>
      </c>
      <c r="B180" s="303" t="s">
        <v>3391</v>
      </c>
      <c r="C180" s="328">
        <v>43196</v>
      </c>
      <c r="D180" s="303" t="s">
        <v>1961</v>
      </c>
      <c r="E180" s="303" t="s">
        <v>1960</v>
      </c>
      <c r="F180" s="303" t="s">
        <v>1967</v>
      </c>
      <c r="G180" s="303" t="s">
        <v>1959</v>
      </c>
      <c r="H180" s="303" t="s">
        <v>1956</v>
      </c>
      <c r="I180" s="304">
        <v>-5390</v>
      </c>
      <c r="J180" s="303" t="s">
        <v>1967</v>
      </c>
      <c r="K180" s="303" t="s">
        <v>1400</v>
      </c>
      <c r="L180" s="303" t="s">
        <v>1956</v>
      </c>
      <c r="M180" s="303" t="s">
        <v>3299</v>
      </c>
      <c r="N180" s="303" t="s">
        <v>1987</v>
      </c>
      <c r="O180" s="303" t="s">
        <v>1986</v>
      </c>
      <c r="P180" s="328">
        <v>43196</v>
      </c>
      <c r="Q180" s="303" t="s">
        <v>1952</v>
      </c>
      <c r="R180" s="303">
        <f t="shared" si="6"/>
        <v>0</v>
      </c>
      <c r="S180" s="303">
        <v>0</v>
      </c>
    </row>
    <row r="181" spans="1:19" x14ac:dyDescent="0.25">
      <c r="A181" s="303" t="s">
        <v>3390</v>
      </c>
      <c r="B181" s="303" t="s">
        <v>3389</v>
      </c>
      <c r="C181" s="328">
        <v>43196</v>
      </c>
      <c r="D181" s="303" t="s">
        <v>1965</v>
      </c>
      <c r="E181" s="303" t="s">
        <v>1964</v>
      </c>
      <c r="F181" s="303" t="s">
        <v>1967</v>
      </c>
      <c r="G181" s="303" t="s">
        <v>1959</v>
      </c>
      <c r="H181" s="303" t="s">
        <v>1956</v>
      </c>
      <c r="I181" s="304">
        <v>4260</v>
      </c>
      <c r="J181" s="303" t="s">
        <v>1967</v>
      </c>
      <c r="K181" s="303" t="s">
        <v>1388</v>
      </c>
      <c r="L181" s="303" t="s">
        <v>1956</v>
      </c>
      <c r="M181" s="303" t="s">
        <v>3299</v>
      </c>
      <c r="N181" s="303" t="s">
        <v>1987</v>
      </c>
      <c r="O181" s="303" t="s">
        <v>1986</v>
      </c>
      <c r="P181" s="328">
        <v>43196</v>
      </c>
      <c r="Q181" s="303" t="s">
        <v>1952</v>
      </c>
      <c r="R181" s="303">
        <f t="shared" si="6"/>
        <v>0</v>
      </c>
      <c r="S181" s="303">
        <v>0</v>
      </c>
    </row>
    <row r="182" spans="1:19" x14ac:dyDescent="0.25">
      <c r="A182" s="303" t="s">
        <v>3390</v>
      </c>
      <c r="B182" s="303" t="s">
        <v>3389</v>
      </c>
      <c r="C182" s="328">
        <v>43196</v>
      </c>
      <c r="D182" s="303" t="s">
        <v>1961</v>
      </c>
      <c r="E182" s="303" t="s">
        <v>1960</v>
      </c>
      <c r="F182" s="303" t="s">
        <v>1967</v>
      </c>
      <c r="G182" s="303" t="s">
        <v>1959</v>
      </c>
      <c r="H182" s="303" t="s">
        <v>1956</v>
      </c>
      <c r="I182" s="304">
        <v>-4260</v>
      </c>
      <c r="J182" s="303" t="s">
        <v>1967</v>
      </c>
      <c r="K182" s="303" t="s">
        <v>1388</v>
      </c>
      <c r="L182" s="303" t="s">
        <v>1956</v>
      </c>
      <c r="M182" s="303" t="s">
        <v>3299</v>
      </c>
      <c r="N182" s="303" t="s">
        <v>1987</v>
      </c>
      <c r="O182" s="303" t="s">
        <v>1986</v>
      </c>
      <c r="P182" s="328">
        <v>43196</v>
      </c>
      <c r="Q182" s="303" t="s">
        <v>1952</v>
      </c>
      <c r="R182" s="303">
        <f t="shared" si="6"/>
        <v>0</v>
      </c>
      <c r="S182" s="303">
        <v>0</v>
      </c>
    </row>
    <row r="183" spans="1:19" x14ac:dyDescent="0.25">
      <c r="A183" s="303" t="s">
        <v>3388</v>
      </c>
      <c r="B183" s="303" t="s">
        <v>3387</v>
      </c>
      <c r="C183" s="328">
        <v>43196</v>
      </c>
      <c r="D183" s="303" t="s">
        <v>1965</v>
      </c>
      <c r="E183" s="303" t="s">
        <v>1964</v>
      </c>
      <c r="F183" s="303" t="s">
        <v>1846</v>
      </c>
      <c r="G183" s="303" t="s">
        <v>1959</v>
      </c>
      <c r="H183" s="303" t="s">
        <v>1956</v>
      </c>
      <c r="I183" s="304">
        <v>9870</v>
      </c>
      <c r="J183" s="303" t="s">
        <v>1888</v>
      </c>
      <c r="K183" s="303" t="s">
        <v>2849</v>
      </c>
      <c r="L183" s="303" t="s">
        <v>1956</v>
      </c>
      <c r="M183" s="303" t="s">
        <v>3299</v>
      </c>
      <c r="N183" s="303" t="s">
        <v>1987</v>
      </c>
      <c r="O183" s="303" t="s">
        <v>1986</v>
      </c>
      <c r="P183" s="328">
        <v>43196</v>
      </c>
      <c r="Q183" s="303" t="s">
        <v>1952</v>
      </c>
      <c r="R183" s="303">
        <f t="shared" si="6"/>
        <v>0</v>
      </c>
      <c r="S183" s="303">
        <v>0</v>
      </c>
    </row>
    <row r="184" spans="1:19" x14ac:dyDescent="0.25">
      <c r="A184" s="303" t="s">
        <v>3388</v>
      </c>
      <c r="B184" s="303" t="s">
        <v>3387</v>
      </c>
      <c r="C184" s="328">
        <v>43196</v>
      </c>
      <c r="D184" s="303" t="s">
        <v>1961</v>
      </c>
      <c r="E184" s="303" t="s">
        <v>1960</v>
      </c>
      <c r="F184" s="303" t="s">
        <v>1846</v>
      </c>
      <c r="G184" s="303" t="s">
        <v>1959</v>
      </c>
      <c r="H184" s="303" t="s">
        <v>1956</v>
      </c>
      <c r="I184" s="304">
        <v>-9870</v>
      </c>
      <c r="J184" s="303" t="s">
        <v>1888</v>
      </c>
      <c r="K184" s="303" t="s">
        <v>2849</v>
      </c>
      <c r="L184" s="303" t="s">
        <v>1956</v>
      </c>
      <c r="M184" s="303" t="s">
        <v>3299</v>
      </c>
      <c r="N184" s="303" t="s">
        <v>1987</v>
      </c>
      <c r="O184" s="303" t="s">
        <v>1986</v>
      </c>
      <c r="P184" s="328">
        <v>43196</v>
      </c>
      <c r="Q184" s="303" t="s">
        <v>1952</v>
      </c>
      <c r="R184" s="303">
        <f t="shared" si="6"/>
        <v>0</v>
      </c>
      <c r="S184" s="303">
        <v>0</v>
      </c>
    </row>
    <row r="185" spans="1:19" x14ac:dyDescent="0.25">
      <c r="A185" s="303" t="s">
        <v>3386</v>
      </c>
      <c r="B185" s="303" t="s">
        <v>3385</v>
      </c>
      <c r="C185" s="328">
        <v>43101</v>
      </c>
      <c r="D185" s="303" t="s">
        <v>1965</v>
      </c>
      <c r="E185" s="303" t="s">
        <v>1964</v>
      </c>
      <c r="F185" s="303" t="s">
        <v>3384</v>
      </c>
      <c r="G185" s="303" t="s">
        <v>1957</v>
      </c>
      <c r="H185" s="303" t="s">
        <v>1956</v>
      </c>
      <c r="I185" s="304">
        <v>584618</v>
      </c>
      <c r="J185" s="303" t="s">
        <v>1958</v>
      </c>
      <c r="K185" s="303" t="s">
        <v>1957</v>
      </c>
      <c r="L185" s="303" t="s">
        <v>1956</v>
      </c>
      <c r="M185" s="303" t="s">
        <v>3383</v>
      </c>
      <c r="N185" s="303" t="s">
        <v>3382</v>
      </c>
      <c r="O185" s="303" t="s">
        <v>3381</v>
      </c>
      <c r="P185" s="328">
        <v>43200</v>
      </c>
      <c r="Q185" s="303" t="s">
        <v>1952</v>
      </c>
      <c r="R185" s="303">
        <f t="shared" si="6"/>
        <v>1</v>
      </c>
      <c r="S185" s="303">
        <v>0</v>
      </c>
    </row>
    <row r="186" spans="1:19" x14ac:dyDescent="0.25">
      <c r="A186" s="303" t="s">
        <v>3386</v>
      </c>
      <c r="B186" s="303" t="s">
        <v>3385</v>
      </c>
      <c r="C186" s="328">
        <v>43101</v>
      </c>
      <c r="D186" s="303" t="s">
        <v>1961</v>
      </c>
      <c r="E186" s="303" t="s">
        <v>1960</v>
      </c>
      <c r="F186" s="303" t="s">
        <v>3384</v>
      </c>
      <c r="G186" s="303" t="s">
        <v>1957</v>
      </c>
      <c r="H186" s="303" t="s">
        <v>1956</v>
      </c>
      <c r="I186" s="304">
        <v>-584618</v>
      </c>
      <c r="J186" s="303" t="s">
        <v>1958</v>
      </c>
      <c r="K186" s="303" t="s">
        <v>1957</v>
      </c>
      <c r="L186" s="303" t="s">
        <v>1956</v>
      </c>
      <c r="M186" s="303" t="s">
        <v>3383</v>
      </c>
      <c r="N186" s="303" t="s">
        <v>3382</v>
      </c>
      <c r="O186" s="303" t="s">
        <v>3381</v>
      </c>
      <c r="P186" s="328">
        <v>43200</v>
      </c>
      <c r="Q186" s="303" t="s">
        <v>1952</v>
      </c>
      <c r="R186" s="303">
        <f t="shared" si="6"/>
        <v>1</v>
      </c>
      <c r="S186" s="303">
        <v>0</v>
      </c>
    </row>
    <row r="187" spans="1:19" x14ac:dyDescent="0.25">
      <c r="A187" s="303" t="s">
        <v>3380</v>
      </c>
      <c r="B187" s="303" t="s">
        <v>3379</v>
      </c>
      <c r="C187" s="328">
        <v>43201</v>
      </c>
      <c r="D187" s="303" t="s">
        <v>1965</v>
      </c>
      <c r="E187" s="303" t="s">
        <v>1964</v>
      </c>
      <c r="F187" s="303" t="s">
        <v>1846</v>
      </c>
      <c r="G187" s="303" t="s">
        <v>1959</v>
      </c>
      <c r="H187" s="303" t="s">
        <v>1956</v>
      </c>
      <c r="I187" s="304">
        <v>8660</v>
      </c>
      <c r="J187" s="303" t="s">
        <v>1765</v>
      </c>
      <c r="K187" s="303" t="s">
        <v>3378</v>
      </c>
      <c r="L187" s="303" t="s">
        <v>1956</v>
      </c>
      <c r="M187" s="303" t="s">
        <v>3299</v>
      </c>
      <c r="N187" s="303" t="s">
        <v>1987</v>
      </c>
      <c r="O187" s="303" t="s">
        <v>1986</v>
      </c>
      <c r="P187" s="328">
        <v>43201</v>
      </c>
      <c r="Q187" s="303" t="s">
        <v>1952</v>
      </c>
      <c r="R187" s="303">
        <f t="shared" si="6"/>
        <v>0</v>
      </c>
      <c r="S187" s="303">
        <v>0</v>
      </c>
    </row>
    <row r="188" spans="1:19" x14ac:dyDescent="0.25">
      <c r="A188" s="303" t="s">
        <v>3380</v>
      </c>
      <c r="B188" s="303" t="s">
        <v>3379</v>
      </c>
      <c r="C188" s="328">
        <v>43201</v>
      </c>
      <c r="D188" s="303" t="s">
        <v>1961</v>
      </c>
      <c r="E188" s="303" t="s">
        <v>1960</v>
      </c>
      <c r="F188" s="303" t="s">
        <v>1846</v>
      </c>
      <c r="G188" s="303" t="s">
        <v>1959</v>
      </c>
      <c r="H188" s="303" t="s">
        <v>1956</v>
      </c>
      <c r="I188" s="304">
        <v>-8660</v>
      </c>
      <c r="J188" s="303" t="s">
        <v>1765</v>
      </c>
      <c r="K188" s="303" t="s">
        <v>3378</v>
      </c>
      <c r="L188" s="303" t="s">
        <v>1956</v>
      </c>
      <c r="M188" s="303" t="s">
        <v>3299</v>
      </c>
      <c r="N188" s="303" t="s">
        <v>1987</v>
      </c>
      <c r="O188" s="303" t="s">
        <v>1986</v>
      </c>
      <c r="P188" s="328">
        <v>43201</v>
      </c>
      <c r="Q188" s="303" t="s">
        <v>1952</v>
      </c>
      <c r="R188" s="303">
        <f t="shared" si="6"/>
        <v>0</v>
      </c>
      <c r="S188" s="303">
        <v>0</v>
      </c>
    </row>
    <row r="189" spans="1:19" x14ac:dyDescent="0.25">
      <c r="A189" s="303" t="s">
        <v>3377</v>
      </c>
      <c r="B189" s="303" t="s">
        <v>3376</v>
      </c>
      <c r="C189" s="328">
        <v>43201</v>
      </c>
      <c r="D189" s="303" t="s">
        <v>1965</v>
      </c>
      <c r="E189" s="303" t="s">
        <v>1964</v>
      </c>
      <c r="F189" s="303" t="s">
        <v>1846</v>
      </c>
      <c r="G189" s="303" t="s">
        <v>1959</v>
      </c>
      <c r="H189" s="303" t="s">
        <v>1956</v>
      </c>
      <c r="I189" s="304">
        <v>16900</v>
      </c>
      <c r="J189" s="303" t="s">
        <v>1773</v>
      </c>
      <c r="K189" s="303" t="s">
        <v>3375</v>
      </c>
      <c r="L189" s="303" t="s">
        <v>1956</v>
      </c>
      <c r="M189" s="303" t="s">
        <v>3299</v>
      </c>
      <c r="N189" s="303" t="s">
        <v>1987</v>
      </c>
      <c r="O189" s="303" t="s">
        <v>1986</v>
      </c>
      <c r="P189" s="328">
        <v>43201</v>
      </c>
      <c r="Q189" s="303" t="s">
        <v>1952</v>
      </c>
      <c r="R189" s="303">
        <f t="shared" si="6"/>
        <v>0</v>
      </c>
      <c r="S189" s="303">
        <v>0</v>
      </c>
    </row>
    <row r="190" spans="1:19" x14ac:dyDescent="0.25">
      <c r="A190" s="303" t="s">
        <v>3377</v>
      </c>
      <c r="B190" s="303" t="s">
        <v>3376</v>
      </c>
      <c r="C190" s="328">
        <v>43201</v>
      </c>
      <c r="D190" s="303" t="s">
        <v>1961</v>
      </c>
      <c r="E190" s="303" t="s">
        <v>1960</v>
      </c>
      <c r="F190" s="303" t="s">
        <v>1846</v>
      </c>
      <c r="G190" s="303" t="s">
        <v>1959</v>
      </c>
      <c r="H190" s="303" t="s">
        <v>1956</v>
      </c>
      <c r="I190" s="304">
        <v>-16900</v>
      </c>
      <c r="J190" s="303" t="s">
        <v>1773</v>
      </c>
      <c r="K190" s="303" t="s">
        <v>3375</v>
      </c>
      <c r="L190" s="303" t="s">
        <v>1956</v>
      </c>
      <c r="M190" s="303" t="s">
        <v>3299</v>
      </c>
      <c r="N190" s="303" t="s">
        <v>1987</v>
      </c>
      <c r="O190" s="303" t="s">
        <v>1986</v>
      </c>
      <c r="P190" s="328">
        <v>43201</v>
      </c>
      <c r="Q190" s="303" t="s">
        <v>1952</v>
      </c>
      <c r="R190" s="303">
        <f t="shared" si="6"/>
        <v>0</v>
      </c>
      <c r="S190" s="303">
        <v>0</v>
      </c>
    </row>
    <row r="191" spans="1:19" x14ac:dyDescent="0.25">
      <c r="A191" s="303" t="s">
        <v>3374</v>
      </c>
      <c r="B191" s="303" t="s">
        <v>3373</v>
      </c>
      <c r="C191" s="328">
        <v>43201</v>
      </c>
      <c r="D191" s="303" t="s">
        <v>1965</v>
      </c>
      <c r="E191" s="303" t="s">
        <v>1964</v>
      </c>
      <c r="F191" s="303" t="s">
        <v>1846</v>
      </c>
      <c r="G191" s="303" t="s">
        <v>1959</v>
      </c>
      <c r="H191" s="303" t="s">
        <v>1956</v>
      </c>
      <c r="I191" s="304">
        <v>2420</v>
      </c>
      <c r="J191" s="303" t="s">
        <v>1647</v>
      </c>
      <c r="K191" s="303" t="s">
        <v>1573</v>
      </c>
      <c r="L191" s="303" t="s">
        <v>1956</v>
      </c>
      <c r="M191" s="303" t="s">
        <v>3299</v>
      </c>
      <c r="N191" s="303" t="s">
        <v>1987</v>
      </c>
      <c r="O191" s="303" t="s">
        <v>1986</v>
      </c>
      <c r="P191" s="328">
        <v>43201</v>
      </c>
      <c r="Q191" s="303" t="s">
        <v>1952</v>
      </c>
      <c r="R191" s="303">
        <f t="shared" si="6"/>
        <v>0</v>
      </c>
      <c r="S191" s="303">
        <v>0</v>
      </c>
    </row>
    <row r="192" spans="1:19" x14ac:dyDescent="0.25">
      <c r="A192" s="303" t="s">
        <v>3374</v>
      </c>
      <c r="B192" s="303" t="s">
        <v>3373</v>
      </c>
      <c r="C192" s="328">
        <v>43201</v>
      </c>
      <c r="D192" s="303" t="s">
        <v>1961</v>
      </c>
      <c r="E192" s="303" t="s">
        <v>1960</v>
      </c>
      <c r="F192" s="303" t="s">
        <v>1846</v>
      </c>
      <c r="G192" s="303" t="s">
        <v>1959</v>
      </c>
      <c r="H192" s="303" t="s">
        <v>1956</v>
      </c>
      <c r="I192" s="304">
        <v>-2420</v>
      </c>
      <c r="J192" s="303" t="s">
        <v>1647</v>
      </c>
      <c r="K192" s="303" t="s">
        <v>1573</v>
      </c>
      <c r="L192" s="303" t="s">
        <v>1956</v>
      </c>
      <c r="M192" s="303" t="s">
        <v>3299</v>
      </c>
      <c r="N192" s="303" t="s">
        <v>1987</v>
      </c>
      <c r="O192" s="303" t="s">
        <v>1986</v>
      </c>
      <c r="P192" s="328">
        <v>43201</v>
      </c>
      <c r="Q192" s="303" t="s">
        <v>1952</v>
      </c>
      <c r="R192" s="303">
        <f t="shared" si="6"/>
        <v>0</v>
      </c>
      <c r="S192" s="303">
        <v>0</v>
      </c>
    </row>
    <row r="193" spans="1:19" x14ac:dyDescent="0.25">
      <c r="A193" s="303" t="s">
        <v>3372</v>
      </c>
      <c r="B193" s="303" t="s">
        <v>3371</v>
      </c>
      <c r="C193" s="328">
        <v>43201</v>
      </c>
      <c r="D193" s="303" t="s">
        <v>1965</v>
      </c>
      <c r="E193" s="303" t="s">
        <v>1964</v>
      </c>
      <c r="F193" s="303" t="s">
        <v>1846</v>
      </c>
      <c r="G193" s="303" t="s">
        <v>1959</v>
      </c>
      <c r="H193" s="303" t="s">
        <v>1956</v>
      </c>
      <c r="I193" s="304">
        <v>1410</v>
      </c>
      <c r="J193" s="303" t="s">
        <v>1637</v>
      </c>
      <c r="K193" s="303" t="s">
        <v>1582</v>
      </c>
      <c r="L193" s="303" t="s">
        <v>1956</v>
      </c>
      <c r="M193" s="303" t="s">
        <v>3299</v>
      </c>
      <c r="N193" s="303" t="s">
        <v>1987</v>
      </c>
      <c r="O193" s="303" t="s">
        <v>1986</v>
      </c>
      <c r="P193" s="328">
        <v>43201</v>
      </c>
      <c r="Q193" s="303" t="s">
        <v>1952</v>
      </c>
      <c r="R193" s="303">
        <f t="shared" si="6"/>
        <v>0</v>
      </c>
      <c r="S193" s="303">
        <v>0</v>
      </c>
    </row>
    <row r="194" spans="1:19" x14ac:dyDescent="0.25">
      <c r="A194" s="303" t="s">
        <v>3372</v>
      </c>
      <c r="B194" s="303" t="s">
        <v>3371</v>
      </c>
      <c r="C194" s="328">
        <v>43201</v>
      </c>
      <c r="D194" s="303" t="s">
        <v>1961</v>
      </c>
      <c r="E194" s="303" t="s">
        <v>1960</v>
      </c>
      <c r="F194" s="303" t="s">
        <v>1846</v>
      </c>
      <c r="G194" s="303" t="s">
        <v>1959</v>
      </c>
      <c r="H194" s="303" t="s">
        <v>1956</v>
      </c>
      <c r="I194" s="304">
        <v>-1410</v>
      </c>
      <c r="J194" s="303" t="s">
        <v>1637</v>
      </c>
      <c r="K194" s="303" t="s">
        <v>1582</v>
      </c>
      <c r="L194" s="303" t="s">
        <v>1956</v>
      </c>
      <c r="M194" s="303" t="s">
        <v>3299</v>
      </c>
      <c r="N194" s="303" t="s">
        <v>1987</v>
      </c>
      <c r="O194" s="303" t="s">
        <v>1986</v>
      </c>
      <c r="P194" s="328">
        <v>43201</v>
      </c>
      <c r="Q194" s="303" t="s">
        <v>1952</v>
      </c>
      <c r="R194" s="303">
        <f t="shared" si="6"/>
        <v>0</v>
      </c>
      <c r="S194" s="303">
        <v>0</v>
      </c>
    </row>
    <row r="195" spans="1:19" x14ac:dyDescent="0.25">
      <c r="A195" s="303" t="s">
        <v>3370</v>
      </c>
      <c r="B195" s="303" t="s">
        <v>3369</v>
      </c>
      <c r="C195" s="328">
        <v>43201</v>
      </c>
      <c r="D195" s="303" t="s">
        <v>1965</v>
      </c>
      <c r="E195" s="303" t="s">
        <v>1964</v>
      </c>
      <c r="F195" s="303" t="s">
        <v>1637</v>
      </c>
      <c r="G195" s="303" t="s">
        <v>1582</v>
      </c>
      <c r="H195" s="303" t="s">
        <v>1956</v>
      </c>
      <c r="I195" s="304">
        <v>1410</v>
      </c>
      <c r="J195" s="303" t="s">
        <v>1846</v>
      </c>
      <c r="K195" s="303" t="s">
        <v>1959</v>
      </c>
      <c r="L195" s="303" t="s">
        <v>1956</v>
      </c>
      <c r="M195" s="303" t="s">
        <v>3368</v>
      </c>
      <c r="N195" s="303" t="s">
        <v>1987</v>
      </c>
      <c r="O195" s="303" t="s">
        <v>1986</v>
      </c>
      <c r="P195" s="328">
        <v>43201</v>
      </c>
      <c r="Q195" s="303" t="s">
        <v>1952</v>
      </c>
      <c r="R195" s="303">
        <f t="shared" ref="R195:R258" si="7">IF(OR(M195="transfert de B vers A",M195="transfert de B vers D",M195="transfert de A vers B",M195="transfert de D vers B",M195="carryover 2017 -&gt; 2018",IF(ISERR(SEARCH("fidélité",M195)),FALSE,TRUE),M195="Fermeture STI-FORM",M195="répartition AE/AC"),0,1)</f>
        <v>1</v>
      </c>
      <c r="S195" s="303">
        <v>0</v>
      </c>
    </row>
    <row r="196" spans="1:19" x14ac:dyDescent="0.25">
      <c r="A196" s="303" t="s">
        <v>3370</v>
      </c>
      <c r="B196" s="303" t="s">
        <v>3369</v>
      </c>
      <c r="C196" s="328">
        <v>43201</v>
      </c>
      <c r="D196" s="303" t="s">
        <v>1961</v>
      </c>
      <c r="E196" s="303" t="s">
        <v>1960</v>
      </c>
      <c r="F196" s="303" t="s">
        <v>1637</v>
      </c>
      <c r="G196" s="303" t="s">
        <v>1582</v>
      </c>
      <c r="H196" s="303" t="s">
        <v>1956</v>
      </c>
      <c r="I196" s="304">
        <v>-1410</v>
      </c>
      <c r="J196" s="303" t="s">
        <v>1846</v>
      </c>
      <c r="K196" s="303" t="s">
        <v>1959</v>
      </c>
      <c r="L196" s="303" t="s">
        <v>1956</v>
      </c>
      <c r="M196" s="303" t="s">
        <v>3368</v>
      </c>
      <c r="N196" s="303" t="s">
        <v>1987</v>
      </c>
      <c r="O196" s="303" t="s">
        <v>1986</v>
      </c>
      <c r="P196" s="328">
        <v>43201</v>
      </c>
      <c r="Q196" s="303" t="s">
        <v>1952</v>
      </c>
      <c r="R196" s="303">
        <f t="shared" si="7"/>
        <v>1</v>
      </c>
      <c r="S196" s="303">
        <v>0</v>
      </c>
    </row>
    <row r="197" spans="1:19" x14ac:dyDescent="0.25">
      <c r="A197" s="303" t="s">
        <v>3367</v>
      </c>
      <c r="B197" s="303" t="s">
        <v>3366</v>
      </c>
      <c r="C197" s="328">
        <v>43201</v>
      </c>
      <c r="D197" s="303" t="s">
        <v>1965</v>
      </c>
      <c r="E197" s="303" t="s">
        <v>1964</v>
      </c>
      <c r="F197" s="303" t="s">
        <v>1755</v>
      </c>
      <c r="G197" s="303" t="s">
        <v>1472</v>
      </c>
      <c r="H197" s="303" t="s">
        <v>1956</v>
      </c>
      <c r="I197" s="304">
        <v>14199</v>
      </c>
      <c r="J197" s="303" t="s">
        <v>1958</v>
      </c>
      <c r="K197" s="303" t="s">
        <v>1957</v>
      </c>
      <c r="L197" s="303" t="s">
        <v>1956</v>
      </c>
      <c r="M197" s="303" t="s">
        <v>3365</v>
      </c>
      <c r="N197" s="303" t="s">
        <v>1987</v>
      </c>
      <c r="O197" s="303" t="s">
        <v>1986</v>
      </c>
      <c r="P197" s="328">
        <v>43201</v>
      </c>
      <c r="Q197" s="303" t="s">
        <v>1952</v>
      </c>
      <c r="R197" s="303">
        <f t="shared" si="7"/>
        <v>1</v>
      </c>
      <c r="S197" s="303">
        <v>0</v>
      </c>
    </row>
    <row r="198" spans="1:19" x14ac:dyDescent="0.25">
      <c r="A198" s="303" t="s">
        <v>3367</v>
      </c>
      <c r="B198" s="303" t="s">
        <v>3366</v>
      </c>
      <c r="C198" s="328">
        <v>43201</v>
      </c>
      <c r="D198" s="303" t="s">
        <v>1961</v>
      </c>
      <c r="E198" s="303" t="s">
        <v>1960</v>
      </c>
      <c r="F198" s="303" t="s">
        <v>1755</v>
      </c>
      <c r="G198" s="303" t="s">
        <v>1472</v>
      </c>
      <c r="H198" s="303" t="s">
        <v>1956</v>
      </c>
      <c r="I198" s="304">
        <v>-14199</v>
      </c>
      <c r="J198" s="303" t="s">
        <v>1958</v>
      </c>
      <c r="K198" s="303" t="s">
        <v>1957</v>
      </c>
      <c r="L198" s="303" t="s">
        <v>1956</v>
      </c>
      <c r="M198" s="303" t="s">
        <v>3365</v>
      </c>
      <c r="N198" s="303" t="s">
        <v>1987</v>
      </c>
      <c r="O198" s="303" t="s">
        <v>1986</v>
      </c>
      <c r="P198" s="328">
        <v>43201</v>
      </c>
      <c r="Q198" s="303" t="s">
        <v>1952</v>
      </c>
      <c r="R198" s="303">
        <f t="shared" si="7"/>
        <v>1</v>
      </c>
      <c r="S198" s="303">
        <v>0</v>
      </c>
    </row>
    <row r="199" spans="1:19" x14ac:dyDescent="0.25">
      <c r="A199" s="303" t="s">
        <v>3364</v>
      </c>
      <c r="B199" s="303" t="s">
        <v>3363</v>
      </c>
      <c r="C199" s="328">
        <v>43201</v>
      </c>
      <c r="D199" s="303" t="s">
        <v>1965</v>
      </c>
      <c r="E199" s="303" t="s">
        <v>1964</v>
      </c>
      <c r="F199" s="303" t="s">
        <v>1755</v>
      </c>
      <c r="G199" s="303" t="s">
        <v>1472</v>
      </c>
      <c r="H199" s="303" t="s">
        <v>1956</v>
      </c>
      <c r="I199" s="304">
        <v>60421</v>
      </c>
      <c r="J199" s="303" t="s">
        <v>1967</v>
      </c>
      <c r="K199" s="303" t="s">
        <v>1472</v>
      </c>
      <c r="L199" s="303" t="s">
        <v>1956</v>
      </c>
      <c r="M199" s="303" t="s">
        <v>3362</v>
      </c>
      <c r="N199" s="303" t="s">
        <v>1987</v>
      </c>
      <c r="O199" s="303" t="s">
        <v>1986</v>
      </c>
      <c r="P199" s="328">
        <v>43201</v>
      </c>
      <c r="Q199" s="303" t="s">
        <v>1952</v>
      </c>
      <c r="R199" s="303">
        <f t="shared" si="7"/>
        <v>1</v>
      </c>
      <c r="S199" s="303">
        <v>0</v>
      </c>
    </row>
    <row r="200" spans="1:19" x14ac:dyDescent="0.25">
      <c r="A200" s="303" t="s">
        <v>3364</v>
      </c>
      <c r="B200" s="303" t="s">
        <v>3363</v>
      </c>
      <c r="C200" s="328">
        <v>43201</v>
      </c>
      <c r="D200" s="303" t="s">
        <v>1961</v>
      </c>
      <c r="E200" s="303" t="s">
        <v>1960</v>
      </c>
      <c r="F200" s="303" t="s">
        <v>1755</v>
      </c>
      <c r="G200" s="303" t="s">
        <v>1472</v>
      </c>
      <c r="H200" s="303" t="s">
        <v>1956</v>
      </c>
      <c r="I200" s="304">
        <v>-60421</v>
      </c>
      <c r="J200" s="303" t="s">
        <v>1967</v>
      </c>
      <c r="K200" s="303" t="s">
        <v>1472</v>
      </c>
      <c r="L200" s="303" t="s">
        <v>1956</v>
      </c>
      <c r="M200" s="303" t="s">
        <v>3362</v>
      </c>
      <c r="N200" s="303" t="s">
        <v>1987</v>
      </c>
      <c r="O200" s="303" t="s">
        <v>1986</v>
      </c>
      <c r="P200" s="328">
        <v>43201</v>
      </c>
      <c r="Q200" s="303" t="s">
        <v>1952</v>
      </c>
      <c r="R200" s="303">
        <f t="shared" si="7"/>
        <v>1</v>
      </c>
      <c r="S200" s="303">
        <v>0</v>
      </c>
    </row>
    <row r="201" spans="1:19" x14ac:dyDescent="0.25">
      <c r="A201" s="303" t="s">
        <v>3361</v>
      </c>
      <c r="B201" s="303" t="s">
        <v>3360</v>
      </c>
      <c r="C201" s="328">
        <v>43201</v>
      </c>
      <c r="D201" s="303" t="s">
        <v>1965</v>
      </c>
      <c r="E201" s="303" t="s">
        <v>1964</v>
      </c>
      <c r="F201" s="303" t="s">
        <v>1846</v>
      </c>
      <c r="G201" s="303" t="s">
        <v>1959</v>
      </c>
      <c r="H201" s="303" t="s">
        <v>1956</v>
      </c>
      <c r="I201" s="304">
        <v>179120</v>
      </c>
      <c r="J201" s="303" t="s">
        <v>1755</v>
      </c>
      <c r="K201" s="303" t="s">
        <v>1472</v>
      </c>
      <c r="L201" s="303" t="s">
        <v>1956</v>
      </c>
      <c r="M201" s="303" t="s">
        <v>3299</v>
      </c>
      <c r="N201" s="303" t="s">
        <v>1987</v>
      </c>
      <c r="O201" s="303" t="s">
        <v>1986</v>
      </c>
      <c r="P201" s="328">
        <v>43201</v>
      </c>
      <c r="Q201" s="303" t="s">
        <v>1952</v>
      </c>
      <c r="R201" s="303">
        <f t="shared" si="7"/>
        <v>0</v>
      </c>
      <c r="S201" s="303">
        <v>0</v>
      </c>
    </row>
    <row r="202" spans="1:19" x14ac:dyDescent="0.25">
      <c r="A202" s="303" t="s">
        <v>3361</v>
      </c>
      <c r="B202" s="303" t="s">
        <v>3360</v>
      </c>
      <c r="C202" s="328">
        <v>43201</v>
      </c>
      <c r="D202" s="303" t="s">
        <v>1961</v>
      </c>
      <c r="E202" s="303" t="s">
        <v>1960</v>
      </c>
      <c r="F202" s="303" t="s">
        <v>1846</v>
      </c>
      <c r="G202" s="303" t="s">
        <v>1959</v>
      </c>
      <c r="H202" s="303" t="s">
        <v>1956</v>
      </c>
      <c r="I202" s="304">
        <v>-179120</v>
      </c>
      <c r="J202" s="303" t="s">
        <v>1755</v>
      </c>
      <c r="K202" s="303" t="s">
        <v>1472</v>
      </c>
      <c r="L202" s="303" t="s">
        <v>1956</v>
      </c>
      <c r="M202" s="303" t="s">
        <v>3299</v>
      </c>
      <c r="N202" s="303" t="s">
        <v>1987</v>
      </c>
      <c r="O202" s="303" t="s">
        <v>1986</v>
      </c>
      <c r="P202" s="328">
        <v>43201</v>
      </c>
      <c r="Q202" s="303" t="s">
        <v>1952</v>
      </c>
      <c r="R202" s="303">
        <f t="shared" si="7"/>
        <v>0</v>
      </c>
      <c r="S202" s="303">
        <v>0</v>
      </c>
    </row>
    <row r="203" spans="1:19" x14ac:dyDescent="0.25">
      <c r="A203" s="303" t="s">
        <v>3359</v>
      </c>
      <c r="B203" s="303" t="s">
        <v>3358</v>
      </c>
      <c r="C203" s="328">
        <v>43201</v>
      </c>
      <c r="D203" s="303" t="s">
        <v>1965</v>
      </c>
      <c r="E203" s="303" t="s">
        <v>1964</v>
      </c>
      <c r="F203" s="303" t="s">
        <v>1846</v>
      </c>
      <c r="G203" s="303" t="s">
        <v>1959</v>
      </c>
      <c r="H203" s="303" t="s">
        <v>1956</v>
      </c>
      <c r="I203" s="304">
        <v>18350</v>
      </c>
      <c r="J203" s="303" t="s">
        <v>3285</v>
      </c>
      <c r="K203" s="303" t="s">
        <v>2772</v>
      </c>
      <c r="L203" s="303" t="s">
        <v>1956</v>
      </c>
      <c r="M203" s="303" t="s">
        <v>3299</v>
      </c>
      <c r="N203" s="303" t="s">
        <v>1987</v>
      </c>
      <c r="O203" s="303" t="s">
        <v>1986</v>
      </c>
      <c r="P203" s="328">
        <v>43201</v>
      </c>
      <c r="Q203" s="303" t="s">
        <v>1952</v>
      </c>
      <c r="R203" s="303">
        <f t="shared" si="7"/>
        <v>0</v>
      </c>
      <c r="S203" s="303">
        <v>0</v>
      </c>
    </row>
    <row r="204" spans="1:19" x14ac:dyDescent="0.25">
      <c r="A204" s="303" t="s">
        <v>3359</v>
      </c>
      <c r="B204" s="303" t="s">
        <v>3358</v>
      </c>
      <c r="C204" s="328">
        <v>43201</v>
      </c>
      <c r="D204" s="303" t="s">
        <v>1961</v>
      </c>
      <c r="E204" s="303" t="s">
        <v>1960</v>
      </c>
      <c r="F204" s="303" t="s">
        <v>1846</v>
      </c>
      <c r="G204" s="303" t="s">
        <v>1959</v>
      </c>
      <c r="H204" s="303" t="s">
        <v>1956</v>
      </c>
      <c r="I204" s="304">
        <v>-18350</v>
      </c>
      <c r="J204" s="303" t="s">
        <v>3285</v>
      </c>
      <c r="K204" s="303" t="s">
        <v>2772</v>
      </c>
      <c r="L204" s="303" t="s">
        <v>1956</v>
      </c>
      <c r="M204" s="303" t="s">
        <v>3299</v>
      </c>
      <c r="N204" s="303" t="s">
        <v>1987</v>
      </c>
      <c r="O204" s="303" t="s">
        <v>1986</v>
      </c>
      <c r="P204" s="328">
        <v>43201</v>
      </c>
      <c r="Q204" s="303" t="s">
        <v>1952</v>
      </c>
      <c r="R204" s="303">
        <f t="shared" si="7"/>
        <v>0</v>
      </c>
      <c r="S204" s="303">
        <v>0</v>
      </c>
    </row>
    <row r="205" spans="1:19" x14ac:dyDescent="0.25">
      <c r="A205" s="303" t="s">
        <v>3357</v>
      </c>
      <c r="B205" s="303" t="s">
        <v>3356</v>
      </c>
      <c r="C205" s="328">
        <v>43207</v>
      </c>
      <c r="D205" s="303" t="s">
        <v>1965</v>
      </c>
      <c r="E205" s="303" t="s">
        <v>1964</v>
      </c>
      <c r="F205" s="303" t="s">
        <v>1753</v>
      </c>
      <c r="G205" s="303" t="s">
        <v>2112</v>
      </c>
      <c r="H205" s="303" t="s">
        <v>1956</v>
      </c>
      <c r="I205" s="304">
        <v>74101</v>
      </c>
      <c r="J205" s="303" t="s">
        <v>2014</v>
      </c>
      <c r="K205" s="303" t="s">
        <v>2072</v>
      </c>
      <c r="L205" s="303" t="s">
        <v>1956</v>
      </c>
      <c r="M205" s="303" t="s">
        <v>3348</v>
      </c>
      <c r="N205" s="303" t="s">
        <v>1987</v>
      </c>
      <c r="O205" s="303" t="s">
        <v>1986</v>
      </c>
      <c r="P205" s="328">
        <v>43207</v>
      </c>
      <c r="Q205" s="303" t="s">
        <v>1952</v>
      </c>
      <c r="R205" s="303">
        <f t="shared" si="7"/>
        <v>1</v>
      </c>
      <c r="S205" s="303">
        <v>0</v>
      </c>
    </row>
    <row r="206" spans="1:19" x14ac:dyDescent="0.25">
      <c r="A206" s="303" t="s">
        <v>3357</v>
      </c>
      <c r="B206" s="303" t="s">
        <v>3356</v>
      </c>
      <c r="C206" s="328">
        <v>43207</v>
      </c>
      <c r="D206" s="303" t="s">
        <v>1961</v>
      </c>
      <c r="E206" s="303" t="s">
        <v>1960</v>
      </c>
      <c r="F206" s="303" t="s">
        <v>1753</v>
      </c>
      <c r="G206" s="303" t="s">
        <v>2112</v>
      </c>
      <c r="H206" s="303" t="s">
        <v>1956</v>
      </c>
      <c r="I206" s="304">
        <v>-74101</v>
      </c>
      <c r="J206" s="303" t="s">
        <v>2014</v>
      </c>
      <c r="K206" s="303" t="s">
        <v>2072</v>
      </c>
      <c r="L206" s="303" t="s">
        <v>1956</v>
      </c>
      <c r="M206" s="303" t="s">
        <v>3348</v>
      </c>
      <c r="N206" s="303" t="s">
        <v>1987</v>
      </c>
      <c r="O206" s="303" t="s">
        <v>1986</v>
      </c>
      <c r="P206" s="328">
        <v>43207</v>
      </c>
      <c r="Q206" s="303" t="s">
        <v>1952</v>
      </c>
      <c r="R206" s="303">
        <f t="shared" si="7"/>
        <v>1</v>
      </c>
      <c r="S206" s="303">
        <v>0</v>
      </c>
    </row>
    <row r="207" spans="1:19" x14ac:dyDescent="0.25">
      <c r="A207" s="303" t="s">
        <v>3355</v>
      </c>
      <c r="B207" s="303" t="s">
        <v>3354</v>
      </c>
      <c r="C207" s="328">
        <v>43208</v>
      </c>
      <c r="D207" s="303" t="s">
        <v>1965</v>
      </c>
      <c r="E207" s="303" t="s">
        <v>1964</v>
      </c>
      <c r="F207" s="303" t="s">
        <v>1699</v>
      </c>
      <c r="G207" s="303" t="s">
        <v>1526</v>
      </c>
      <c r="H207" s="303" t="s">
        <v>1956</v>
      </c>
      <c r="I207" s="304">
        <v>30000</v>
      </c>
      <c r="J207" s="303" t="s">
        <v>1609</v>
      </c>
      <c r="K207" s="303" t="s">
        <v>1609</v>
      </c>
      <c r="L207" s="303" t="s">
        <v>1609</v>
      </c>
      <c r="M207" s="303" t="s">
        <v>3353</v>
      </c>
      <c r="N207" s="303" t="s">
        <v>3352</v>
      </c>
      <c r="O207" s="303" t="s">
        <v>3351</v>
      </c>
      <c r="P207" s="328">
        <v>43208</v>
      </c>
      <c r="Q207" s="303" t="s">
        <v>1952</v>
      </c>
      <c r="R207" s="303">
        <f t="shared" si="7"/>
        <v>1</v>
      </c>
      <c r="S207" s="303">
        <v>1</v>
      </c>
    </row>
    <row r="208" spans="1:19" x14ac:dyDescent="0.25">
      <c r="A208" s="303" t="s">
        <v>3350</v>
      </c>
      <c r="B208" s="303" t="s">
        <v>3349</v>
      </c>
      <c r="C208" s="328">
        <v>43208</v>
      </c>
      <c r="D208" s="303" t="s">
        <v>1965</v>
      </c>
      <c r="E208" s="303" t="s">
        <v>1964</v>
      </c>
      <c r="F208" s="303" t="s">
        <v>1777</v>
      </c>
      <c r="G208" s="303" t="s">
        <v>2383</v>
      </c>
      <c r="H208" s="303" t="s">
        <v>1956</v>
      </c>
      <c r="I208" s="304">
        <v>25000</v>
      </c>
      <c r="J208" s="303" t="s">
        <v>2014</v>
      </c>
      <c r="K208" s="303" t="s">
        <v>2383</v>
      </c>
      <c r="L208" s="303" t="s">
        <v>1956</v>
      </c>
      <c r="M208" s="303" t="s">
        <v>3348</v>
      </c>
      <c r="N208" s="303" t="s">
        <v>1987</v>
      </c>
      <c r="O208" s="303" t="s">
        <v>1986</v>
      </c>
      <c r="P208" s="328">
        <v>43208</v>
      </c>
      <c r="Q208" s="303" t="s">
        <v>1952</v>
      </c>
      <c r="R208" s="303">
        <f t="shared" si="7"/>
        <v>1</v>
      </c>
      <c r="S208" s="303">
        <v>0</v>
      </c>
    </row>
    <row r="209" spans="1:19" x14ac:dyDescent="0.25">
      <c r="A209" s="303" t="s">
        <v>3350</v>
      </c>
      <c r="B209" s="303" t="s">
        <v>3349</v>
      </c>
      <c r="C209" s="328">
        <v>43208</v>
      </c>
      <c r="D209" s="303" t="s">
        <v>1961</v>
      </c>
      <c r="E209" s="303" t="s">
        <v>1960</v>
      </c>
      <c r="F209" s="303" t="s">
        <v>1777</v>
      </c>
      <c r="G209" s="303" t="s">
        <v>2383</v>
      </c>
      <c r="H209" s="303" t="s">
        <v>1956</v>
      </c>
      <c r="I209" s="304">
        <v>-25000</v>
      </c>
      <c r="J209" s="303" t="s">
        <v>2014</v>
      </c>
      <c r="K209" s="303" t="s">
        <v>2383</v>
      </c>
      <c r="L209" s="303" t="s">
        <v>1956</v>
      </c>
      <c r="M209" s="303" t="s">
        <v>3348</v>
      </c>
      <c r="N209" s="303" t="s">
        <v>1987</v>
      </c>
      <c r="O209" s="303" t="s">
        <v>1986</v>
      </c>
      <c r="P209" s="328">
        <v>43208</v>
      </c>
      <c r="Q209" s="303" t="s">
        <v>1952</v>
      </c>
      <c r="R209" s="303">
        <f t="shared" si="7"/>
        <v>1</v>
      </c>
      <c r="S209" s="303">
        <v>0</v>
      </c>
    </row>
    <row r="210" spans="1:19" x14ac:dyDescent="0.25">
      <c r="A210" s="303" t="s">
        <v>3347</v>
      </c>
      <c r="B210" s="303" t="s">
        <v>3346</v>
      </c>
      <c r="C210" s="328">
        <v>43209</v>
      </c>
      <c r="D210" s="303" t="s">
        <v>1965</v>
      </c>
      <c r="E210" s="303" t="s">
        <v>1964</v>
      </c>
      <c r="F210" s="303" t="s">
        <v>1868</v>
      </c>
      <c r="G210" s="303" t="s">
        <v>3157</v>
      </c>
      <c r="H210" s="303" t="s">
        <v>1956</v>
      </c>
      <c r="I210" s="304">
        <v>7000</v>
      </c>
      <c r="J210" s="303" t="s">
        <v>1828</v>
      </c>
      <c r="K210" s="303" t="s">
        <v>2154</v>
      </c>
      <c r="L210" s="303" t="s">
        <v>1956</v>
      </c>
      <c r="M210" s="303" t="s">
        <v>3345</v>
      </c>
      <c r="N210" s="303" t="s">
        <v>1987</v>
      </c>
      <c r="O210" s="303" t="s">
        <v>1986</v>
      </c>
      <c r="P210" s="328">
        <v>43209</v>
      </c>
      <c r="Q210" s="303" t="s">
        <v>1952</v>
      </c>
      <c r="R210" s="303">
        <f t="shared" si="7"/>
        <v>1</v>
      </c>
      <c r="S210" s="303">
        <v>1</v>
      </c>
    </row>
    <row r="211" spans="1:19" x14ac:dyDescent="0.25">
      <c r="A211" s="303" t="s">
        <v>3347</v>
      </c>
      <c r="B211" s="303" t="s">
        <v>3346</v>
      </c>
      <c r="C211" s="328">
        <v>43209</v>
      </c>
      <c r="D211" s="303" t="s">
        <v>1961</v>
      </c>
      <c r="E211" s="303" t="s">
        <v>1960</v>
      </c>
      <c r="F211" s="303" t="s">
        <v>1868</v>
      </c>
      <c r="G211" s="303" t="s">
        <v>3157</v>
      </c>
      <c r="H211" s="303" t="s">
        <v>1956</v>
      </c>
      <c r="I211" s="304">
        <v>-7000</v>
      </c>
      <c r="J211" s="303" t="s">
        <v>1828</v>
      </c>
      <c r="K211" s="303" t="s">
        <v>2154</v>
      </c>
      <c r="L211" s="303" t="s">
        <v>1956</v>
      </c>
      <c r="M211" s="303" t="s">
        <v>3345</v>
      </c>
      <c r="N211" s="303" t="s">
        <v>1987</v>
      </c>
      <c r="O211" s="303" t="s">
        <v>1986</v>
      </c>
      <c r="P211" s="328">
        <v>43209</v>
      </c>
      <c r="Q211" s="303" t="s">
        <v>1952</v>
      </c>
      <c r="R211" s="303">
        <f t="shared" si="7"/>
        <v>1</v>
      </c>
      <c r="S211" s="303">
        <v>1</v>
      </c>
    </row>
    <row r="212" spans="1:19" x14ac:dyDescent="0.25">
      <c r="A212" s="303" t="s">
        <v>3344</v>
      </c>
      <c r="B212" s="303" t="s">
        <v>3343</v>
      </c>
      <c r="C212" s="328">
        <v>43209</v>
      </c>
      <c r="D212" s="303" t="s">
        <v>1961</v>
      </c>
      <c r="E212" s="303" t="s">
        <v>1960</v>
      </c>
      <c r="F212" s="303" t="s">
        <v>1609</v>
      </c>
      <c r="G212" s="303" t="s">
        <v>1609</v>
      </c>
      <c r="H212" s="303" t="s">
        <v>1609</v>
      </c>
      <c r="I212" s="304">
        <v>-1500</v>
      </c>
      <c r="J212" s="303" t="s">
        <v>1828</v>
      </c>
      <c r="K212" s="303" t="s">
        <v>2154</v>
      </c>
      <c r="L212" s="303" t="s">
        <v>1956</v>
      </c>
      <c r="M212" s="303" t="s">
        <v>3342</v>
      </c>
      <c r="N212" s="303" t="s">
        <v>1987</v>
      </c>
      <c r="O212" s="303" t="s">
        <v>1986</v>
      </c>
      <c r="P212" s="328">
        <v>43209</v>
      </c>
      <c r="Q212" s="303" t="s">
        <v>1952</v>
      </c>
      <c r="R212" s="303">
        <f t="shared" si="7"/>
        <v>1</v>
      </c>
      <c r="S212" s="303">
        <v>0</v>
      </c>
    </row>
    <row r="213" spans="1:19" x14ac:dyDescent="0.25">
      <c r="A213" s="303" t="s">
        <v>3341</v>
      </c>
      <c r="B213" s="303" t="s">
        <v>3340</v>
      </c>
      <c r="C213" s="328">
        <v>43209</v>
      </c>
      <c r="D213" s="303" t="s">
        <v>1965</v>
      </c>
      <c r="E213" s="303" t="s">
        <v>1964</v>
      </c>
      <c r="F213" s="303" t="s">
        <v>1834</v>
      </c>
      <c r="G213" s="303" t="s">
        <v>2123</v>
      </c>
      <c r="H213" s="303" t="s">
        <v>1956</v>
      </c>
      <c r="I213" s="304">
        <v>65000</v>
      </c>
      <c r="J213" s="303" t="s">
        <v>1828</v>
      </c>
      <c r="K213" s="303" t="s">
        <v>2154</v>
      </c>
      <c r="L213" s="303" t="s">
        <v>1956</v>
      </c>
      <c r="M213" s="303" t="s">
        <v>3339</v>
      </c>
      <c r="N213" s="303" t="s">
        <v>1987</v>
      </c>
      <c r="O213" s="303" t="s">
        <v>1986</v>
      </c>
      <c r="P213" s="328">
        <v>43209</v>
      </c>
      <c r="Q213" s="303" t="s">
        <v>1952</v>
      </c>
      <c r="R213" s="303">
        <f t="shared" si="7"/>
        <v>1</v>
      </c>
      <c r="S213" s="303">
        <v>0</v>
      </c>
    </row>
    <row r="214" spans="1:19" x14ac:dyDescent="0.25">
      <c r="A214" s="303" t="s">
        <v>3341</v>
      </c>
      <c r="B214" s="303" t="s">
        <v>3340</v>
      </c>
      <c r="C214" s="328">
        <v>43209</v>
      </c>
      <c r="D214" s="303" t="s">
        <v>1961</v>
      </c>
      <c r="E214" s="303" t="s">
        <v>1960</v>
      </c>
      <c r="F214" s="303" t="s">
        <v>1834</v>
      </c>
      <c r="G214" s="303" t="s">
        <v>2123</v>
      </c>
      <c r="H214" s="303" t="s">
        <v>1956</v>
      </c>
      <c r="I214" s="304">
        <v>-65000</v>
      </c>
      <c r="J214" s="303" t="s">
        <v>1828</v>
      </c>
      <c r="K214" s="303" t="s">
        <v>2154</v>
      </c>
      <c r="L214" s="303" t="s">
        <v>1956</v>
      </c>
      <c r="M214" s="303" t="s">
        <v>3339</v>
      </c>
      <c r="N214" s="303" t="s">
        <v>1987</v>
      </c>
      <c r="O214" s="303" t="s">
        <v>1986</v>
      </c>
      <c r="P214" s="328">
        <v>43209</v>
      </c>
      <c r="Q214" s="303" t="s">
        <v>1952</v>
      </c>
      <c r="R214" s="303">
        <f t="shared" si="7"/>
        <v>1</v>
      </c>
      <c r="S214" s="303">
        <v>0</v>
      </c>
    </row>
    <row r="215" spans="1:19" x14ac:dyDescent="0.25">
      <c r="A215" s="303" t="s">
        <v>3338</v>
      </c>
      <c r="B215" s="303" t="s">
        <v>3337</v>
      </c>
      <c r="C215" s="328">
        <v>43209</v>
      </c>
      <c r="D215" s="303" t="s">
        <v>1965</v>
      </c>
      <c r="E215" s="303" t="s">
        <v>1964</v>
      </c>
      <c r="F215" s="303" t="s">
        <v>3177</v>
      </c>
      <c r="G215" s="303" t="s">
        <v>2161</v>
      </c>
      <c r="H215" s="303" t="s">
        <v>1956</v>
      </c>
      <c r="I215" s="304">
        <v>17373</v>
      </c>
      <c r="J215" s="303" t="s">
        <v>1834</v>
      </c>
      <c r="K215" s="303" t="s">
        <v>2123</v>
      </c>
      <c r="L215" s="303" t="s">
        <v>1956</v>
      </c>
      <c r="M215" s="303" t="s">
        <v>3336</v>
      </c>
      <c r="N215" s="303" t="s">
        <v>1987</v>
      </c>
      <c r="O215" s="303" t="s">
        <v>1986</v>
      </c>
      <c r="P215" s="328">
        <v>43209</v>
      </c>
      <c r="Q215" s="303" t="s">
        <v>1952</v>
      </c>
      <c r="R215" s="303">
        <f t="shared" si="7"/>
        <v>1</v>
      </c>
      <c r="S215" s="303">
        <v>0</v>
      </c>
    </row>
    <row r="216" spans="1:19" x14ac:dyDescent="0.25">
      <c r="A216" s="303" t="s">
        <v>3338</v>
      </c>
      <c r="B216" s="303" t="s">
        <v>3337</v>
      </c>
      <c r="C216" s="328">
        <v>43209</v>
      </c>
      <c r="D216" s="303" t="s">
        <v>1961</v>
      </c>
      <c r="E216" s="303" t="s">
        <v>1960</v>
      </c>
      <c r="F216" s="303" t="s">
        <v>3177</v>
      </c>
      <c r="G216" s="303" t="s">
        <v>2161</v>
      </c>
      <c r="H216" s="303" t="s">
        <v>1956</v>
      </c>
      <c r="I216" s="304">
        <v>-17373</v>
      </c>
      <c r="J216" s="303" t="s">
        <v>1834</v>
      </c>
      <c r="K216" s="303" t="s">
        <v>2123</v>
      </c>
      <c r="L216" s="303" t="s">
        <v>1956</v>
      </c>
      <c r="M216" s="303" t="s">
        <v>3336</v>
      </c>
      <c r="N216" s="303" t="s">
        <v>1987</v>
      </c>
      <c r="O216" s="303" t="s">
        <v>1986</v>
      </c>
      <c r="P216" s="328">
        <v>43209</v>
      </c>
      <c r="Q216" s="303" t="s">
        <v>1952</v>
      </c>
      <c r="R216" s="303">
        <f t="shared" si="7"/>
        <v>1</v>
      </c>
      <c r="S216" s="303">
        <v>0</v>
      </c>
    </row>
    <row r="217" spans="1:19" x14ac:dyDescent="0.25">
      <c r="A217" s="303" t="s">
        <v>3335</v>
      </c>
      <c r="B217" s="303" t="s">
        <v>3334</v>
      </c>
      <c r="C217" s="328">
        <v>43214</v>
      </c>
      <c r="D217" s="303" t="s">
        <v>1961</v>
      </c>
      <c r="E217" s="303" t="s">
        <v>1960</v>
      </c>
      <c r="F217" s="303" t="s">
        <v>1609</v>
      </c>
      <c r="G217" s="303" t="s">
        <v>1609</v>
      </c>
      <c r="H217" s="303" t="s">
        <v>1609</v>
      </c>
      <c r="I217" s="304">
        <v>-31997</v>
      </c>
      <c r="J217" s="303" t="s">
        <v>1967</v>
      </c>
      <c r="K217" s="303" t="s">
        <v>1451</v>
      </c>
      <c r="L217" s="303" t="s">
        <v>1956</v>
      </c>
      <c r="M217" s="303" t="s">
        <v>3333</v>
      </c>
      <c r="N217" s="303" t="s">
        <v>1987</v>
      </c>
      <c r="O217" s="303" t="s">
        <v>1986</v>
      </c>
      <c r="P217" s="328">
        <v>43214</v>
      </c>
      <c r="Q217" s="303" t="s">
        <v>1952</v>
      </c>
      <c r="R217" s="303">
        <f t="shared" si="7"/>
        <v>1</v>
      </c>
      <c r="S217" s="303">
        <v>1</v>
      </c>
    </row>
    <row r="218" spans="1:19" x14ac:dyDescent="0.25">
      <c r="A218" s="303" t="s">
        <v>3332</v>
      </c>
      <c r="B218" s="303" t="s">
        <v>3331</v>
      </c>
      <c r="C218" s="328">
        <v>43214</v>
      </c>
      <c r="D218" s="303" t="s">
        <v>1961</v>
      </c>
      <c r="E218" s="303" t="s">
        <v>1960</v>
      </c>
      <c r="F218" s="303" t="s">
        <v>1609</v>
      </c>
      <c r="G218" s="303" t="s">
        <v>1609</v>
      </c>
      <c r="H218" s="303" t="s">
        <v>1609</v>
      </c>
      <c r="I218" s="304">
        <v>-7519</v>
      </c>
      <c r="J218" s="303" t="s">
        <v>1958</v>
      </c>
      <c r="K218" s="303" t="s">
        <v>1957</v>
      </c>
      <c r="L218" s="303" t="s">
        <v>1956</v>
      </c>
      <c r="M218" s="303" t="s">
        <v>3330</v>
      </c>
      <c r="N218" s="303" t="s">
        <v>1987</v>
      </c>
      <c r="O218" s="303" t="s">
        <v>1986</v>
      </c>
      <c r="P218" s="328">
        <v>43214</v>
      </c>
      <c r="Q218" s="303" t="s">
        <v>1952</v>
      </c>
      <c r="R218" s="303">
        <f t="shared" si="7"/>
        <v>1</v>
      </c>
      <c r="S218" s="303">
        <v>1</v>
      </c>
    </row>
    <row r="219" spans="1:19" x14ac:dyDescent="0.25">
      <c r="A219" s="303" t="s">
        <v>3329</v>
      </c>
      <c r="B219" s="303" t="s">
        <v>3328</v>
      </c>
      <c r="C219" s="328">
        <v>43215</v>
      </c>
      <c r="D219" s="303" t="s">
        <v>1961</v>
      </c>
      <c r="E219" s="303" t="s">
        <v>1960</v>
      </c>
      <c r="F219" s="303" t="s">
        <v>1609</v>
      </c>
      <c r="G219" s="303" t="s">
        <v>1609</v>
      </c>
      <c r="H219" s="303" t="s">
        <v>1609</v>
      </c>
      <c r="I219" s="304">
        <v>-89178</v>
      </c>
      <c r="J219" s="303" t="s">
        <v>1958</v>
      </c>
      <c r="K219" s="303" t="s">
        <v>1957</v>
      </c>
      <c r="L219" s="303" t="s">
        <v>1956</v>
      </c>
      <c r="M219" s="303" t="s">
        <v>3322</v>
      </c>
      <c r="N219" s="303" t="s">
        <v>1987</v>
      </c>
      <c r="O219" s="303" t="s">
        <v>1986</v>
      </c>
      <c r="P219" s="328">
        <v>43215</v>
      </c>
      <c r="Q219" s="303" t="s">
        <v>1952</v>
      </c>
      <c r="R219" s="303">
        <f t="shared" si="7"/>
        <v>1</v>
      </c>
      <c r="S219" s="303">
        <v>1</v>
      </c>
    </row>
    <row r="220" spans="1:19" x14ac:dyDescent="0.25">
      <c r="A220" s="303" t="s">
        <v>3327</v>
      </c>
      <c r="B220" s="303" t="s">
        <v>3326</v>
      </c>
      <c r="C220" s="328">
        <v>43215</v>
      </c>
      <c r="D220" s="303" t="s">
        <v>1961</v>
      </c>
      <c r="E220" s="303" t="s">
        <v>1960</v>
      </c>
      <c r="F220" s="303" t="s">
        <v>1609</v>
      </c>
      <c r="G220" s="303" t="s">
        <v>1609</v>
      </c>
      <c r="H220" s="303" t="s">
        <v>1609</v>
      </c>
      <c r="I220" s="304">
        <v>-60100</v>
      </c>
      <c r="J220" s="303" t="s">
        <v>1830</v>
      </c>
      <c r="K220" s="303" t="s">
        <v>3323</v>
      </c>
      <c r="L220" s="303" t="s">
        <v>1956</v>
      </c>
      <c r="M220" s="303" t="s">
        <v>3322</v>
      </c>
      <c r="N220" s="303" t="s">
        <v>1987</v>
      </c>
      <c r="O220" s="303" t="s">
        <v>1986</v>
      </c>
      <c r="P220" s="328">
        <v>43215</v>
      </c>
      <c r="Q220" s="303" t="s">
        <v>1952</v>
      </c>
      <c r="R220" s="303">
        <f t="shared" si="7"/>
        <v>1</v>
      </c>
      <c r="S220" s="303">
        <v>1</v>
      </c>
    </row>
    <row r="221" spans="1:19" x14ac:dyDescent="0.25">
      <c r="A221" s="303" t="s">
        <v>3325</v>
      </c>
      <c r="B221" s="303" t="s">
        <v>3324</v>
      </c>
      <c r="C221" s="328">
        <v>43215</v>
      </c>
      <c r="D221" s="303" t="s">
        <v>1961</v>
      </c>
      <c r="E221" s="303" t="s">
        <v>1960</v>
      </c>
      <c r="F221" s="303" t="s">
        <v>1609</v>
      </c>
      <c r="G221" s="303" t="s">
        <v>1609</v>
      </c>
      <c r="H221" s="303" t="s">
        <v>1609</v>
      </c>
      <c r="I221" s="304">
        <v>-379480</v>
      </c>
      <c r="J221" s="303" t="s">
        <v>1967</v>
      </c>
      <c r="K221" s="303" t="s">
        <v>3323</v>
      </c>
      <c r="L221" s="303" t="s">
        <v>1956</v>
      </c>
      <c r="M221" s="303" t="s">
        <v>3322</v>
      </c>
      <c r="N221" s="303" t="s">
        <v>1987</v>
      </c>
      <c r="O221" s="303" t="s">
        <v>1986</v>
      </c>
      <c r="P221" s="328">
        <v>43215</v>
      </c>
      <c r="Q221" s="303" t="s">
        <v>1952</v>
      </c>
      <c r="R221" s="303">
        <f t="shared" si="7"/>
        <v>1</v>
      </c>
      <c r="S221" s="303">
        <v>1</v>
      </c>
    </row>
    <row r="222" spans="1:19" x14ac:dyDescent="0.25">
      <c r="A222" s="303" t="s">
        <v>3321</v>
      </c>
      <c r="B222" s="303" t="s">
        <v>3320</v>
      </c>
      <c r="C222" s="328">
        <v>43220</v>
      </c>
      <c r="D222" s="303" t="s">
        <v>1965</v>
      </c>
      <c r="E222" s="303" t="s">
        <v>1964</v>
      </c>
      <c r="F222" s="303" t="s">
        <v>1731</v>
      </c>
      <c r="G222" s="303" t="s">
        <v>1496</v>
      </c>
      <c r="H222" s="303" t="s">
        <v>1956</v>
      </c>
      <c r="I222" s="304">
        <v>12104</v>
      </c>
      <c r="J222" s="303" t="s">
        <v>1609</v>
      </c>
      <c r="K222" s="303" t="s">
        <v>1609</v>
      </c>
      <c r="L222" s="303" t="s">
        <v>1609</v>
      </c>
      <c r="M222" s="303" t="s">
        <v>3319</v>
      </c>
      <c r="N222" s="303" t="s">
        <v>2031</v>
      </c>
      <c r="O222" s="303" t="s">
        <v>2030</v>
      </c>
      <c r="P222" s="328">
        <v>43220</v>
      </c>
      <c r="Q222" s="303" t="s">
        <v>1952</v>
      </c>
      <c r="R222" s="303">
        <f t="shared" si="7"/>
        <v>1</v>
      </c>
      <c r="S222" s="303">
        <v>1</v>
      </c>
    </row>
    <row r="223" spans="1:19" x14ac:dyDescent="0.25">
      <c r="A223" s="303" t="s">
        <v>3318</v>
      </c>
      <c r="B223" s="303" t="s">
        <v>3317</v>
      </c>
      <c r="C223" s="328">
        <v>43220</v>
      </c>
      <c r="D223" s="303" t="s">
        <v>1965</v>
      </c>
      <c r="E223" s="303" t="s">
        <v>1964</v>
      </c>
      <c r="F223" s="303" t="s">
        <v>1681</v>
      </c>
      <c r="G223" s="303" t="s">
        <v>1549</v>
      </c>
      <c r="H223" s="303" t="s">
        <v>1956</v>
      </c>
      <c r="I223" s="304">
        <v>19170</v>
      </c>
      <c r="J223" s="303" t="s">
        <v>1609</v>
      </c>
      <c r="K223" s="303" t="s">
        <v>1609</v>
      </c>
      <c r="L223" s="303" t="s">
        <v>1609</v>
      </c>
      <c r="M223" s="303" t="s">
        <v>3316</v>
      </c>
      <c r="N223" s="303" t="s">
        <v>2031</v>
      </c>
      <c r="O223" s="303" t="s">
        <v>2030</v>
      </c>
      <c r="P223" s="328">
        <v>43220</v>
      </c>
      <c r="Q223" s="303" t="s">
        <v>1952</v>
      </c>
      <c r="R223" s="303">
        <f t="shared" si="7"/>
        <v>1</v>
      </c>
      <c r="S223" s="303">
        <v>1</v>
      </c>
    </row>
    <row r="224" spans="1:19" x14ac:dyDescent="0.25">
      <c r="A224" s="303" t="s">
        <v>3315</v>
      </c>
      <c r="B224" s="303" t="s">
        <v>3314</v>
      </c>
      <c r="C224" s="328">
        <v>43220</v>
      </c>
      <c r="D224" s="303" t="s">
        <v>1965</v>
      </c>
      <c r="E224" s="303" t="s">
        <v>1964</v>
      </c>
      <c r="F224" s="303" t="s">
        <v>1679</v>
      </c>
      <c r="G224" s="303" t="s">
        <v>1552</v>
      </c>
      <c r="H224" s="303" t="s">
        <v>1956</v>
      </c>
      <c r="I224" s="304">
        <v>8734</v>
      </c>
      <c r="J224" s="303" t="s">
        <v>1609</v>
      </c>
      <c r="K224" s="303" t="s">
        <v>1609</v>
      </c>
      <c r="L224" s="303" t="s">
        <v>1609</v>
      </c>
      <c r="M224" s="303" t="s">
        <v>3313</v>
      </c>
      <c r="N224" s="303" t="s">
        <v>2031</v>
      </c>
      <c r="O224" s="303" t="s">
        <v>2030</v>
      </c>
      <c r="P224" s="328">
        <v>43220</v>
      </c>
      <c r="Q224" s="303" t="s">
        <v>1952</v>
      </c>
      <c r="R224" s="303">
        <f t="shared" si="7"/>
        <v>1</v>
      </c>
      <c r="S224" s="303">
        <v>1</v>
      </c>
    </row>
    <row r="225" spans="1:19" x14ac:dyDescent="0.25">
      <c r="A225" s="303" t="s">
        <v>3312</v>
      </c>
      <c r="B225" s="303" t="s">
        <v>3311</v>
      </c>
      <c r="C225" s="328">
        <v>43220</v>
      </c>
      <c r="D225" s="303" t="s">
        <v>1961</v>
      </c>
      <c r="E225" s="303" t="s">
        <v>1960</v>
      </c>
      <c r="F225" s="303" t="s">
        <v>1609</v>
      </c>
      <c r="G225" s="303" t="s">
        <v>1609</v>
      </c>
      <c r="H225" s="303" t="s">
        <v>1609</v>
      </c>
      <c r="I225" s="304">
        <v>-1500</v>
      </c>
      <c r="J225" s="303" t="s">
        <v>1846</v>
      </c>
      <c r="K225" s="303" t="s">
        <v>1959</v>
      </c>
      <c r="L225" s="303" t="s">
        <v>1956</v>
      </c>
      <c r="M225" s="303" t="s">
        <v>3310</v>
      </c>
      <c r="N225" s="303" t="s">
        <v>2957</v>
      </c>
      <c r="O225" s="303" t="s">
        <v>2956</v>
      </c>
      <c r="P225" s="328">
        <v>43220</v>
      </c>
      <c r="Q225" s="303" t="s">
        <v>1952</v>
      </c>
      <c r="R225" s="303">
        <f t="shared" si="7"/>
        <v>1</v>
      </c>
      <c r="S225" s="303">
        <v>0</v>
      </c>
    </row>
    <row r="226" spans="1:19" x14ac:dyDescent="0.25">
      <c r="A226" s="303" t="s">
        <v>3309</v>
      </c>
      <c r="B226" s="303" t="s">
        <v>3308</v>
      </c>
      <c r="C226" s="328">
        <v>43221</v>
      </c>
      <c r="D226" s="303" t="s">
        <v>1965</v>
      </c>
      <c r="E226" s="303" t="s">
        <v>1964</v>
      </c>
      <c r="F226" s="303" t="s">
        <v>1685</v>
      </c>
      <c r="G226" s="303" t="s">
        <v>1543</v>
      </c>
      <c r="H226" s="303" t="s">
        <v>1956</v>
      </c>
      <c r="I226" s="304">
        <v>9400</v>
      </c>
      <c r="J226" s="303" t="s">
        <v>1958</v>
      </c>
      <c r="K226" s="303" t="s">
        <v>1957</v>
      </c>
      <c r="L226" s="303" t="s">
        <v>1956</v>
      </c>
      <c r="M226" s="303" t="s">
        <v>2022</v>
      </c>
      <c r="N226" s="303" t="s">
        <v>1987</v>
      </c>
      <c r="O226" s="303" t="s">
        <v>1986</v>
      </c>
      <c r="P226" s="328">
        <v>43221</v>
      </c>
      <c r="Q226" s="303" t="s">
        <v>1952</v>
      </c>
      <c r="R226" s="303">
        <f t="shared" si="7"/>
        <v>0</v>
      </c>
      <c r="S226" s="303">
        <v>0</v>
      </c>
    </row>
    <row r="227" spans="1:19" x14ac:dyDescent="0.25">
      <c r="A227" s="303" t="s">
        <v>3309</v>
      </c>
      <c r="B227" s="303" t="s">
        <v>3308</v>
      </c>
      <c r="C227" s="328">
        <v>43221</v>
      </c>
      <c r="D227" s="303" t="s">
        <v>1961</v>
      </c>
      <c r="E227" s="303" t="s">
        <v>1960</v>
      </c>
      <c r="F227" s="303" t="s">
        <v>1685</v>
      </c>
      <c r="G227" s="303" t="s">
        <v>1543</v>
      </c>
      <c r="H227" s="303" t="s">
        <v>1956</v>
      </c>
      <c r="I227" s="304">
        <v>-9400</v>
      </c>
      <c r="J227" s="303" t="s">
        <v>1958</v>
      </c>
      <c r="K227" s="303" t="s">
        <v>1957</v>
      </c>
      <c r="L227" s="303" t="s">
        <v>1956</v>
      </c>
      <c r="M227" s="303" t="s">
        <v>2022</v>
      </c>
      <c r="N227" s="303" t="s">
        <v>1987</v>
      </c>
      <c r="O227" s="303" t="s">
        <v>1986</v>
      </c>
      <c r="P227" s="328">
        <v>43221</v>
      </c>
      <c r="Q227" s="303" t="s">
        <v>1952</v>
      </c>
      <c r="R227" s="303">
        <f t="shared" si="7"/>
        <v>0</v>
      </c>
      <c r="S227" s="303">
        <v>0</v>
      </c>
    </row>
    <row r="228" spans="1:19" x14ac:dyDescent="0.25">
      <c r="A228" s="303" t="s">
        <v>3307</v>
      </c>
      <c r="B228" s="303" t="s">
        <v>3306</v>
      </c>
      <c r="C228" s="328">
        <v>43221</v>
      </c>
      <c r="D228" s="303" t="s">
        <v>1965</v>
      </c>
      <c r="E228" s="303" t="s">
        <v>1964</v>
      </c>
      <c r="F228" s="303" t="s">
        <v>1685</v>
      </c>
      <c r="G228" s="303" t="s">
        <v>1543</v>
      </c>
      <c r="H228" s="303" t="s">
        <v>1956</v>
      </c>
      <c r="I228" s="304">
        <v>40000</v>
      </c>
      <c r="J228" s="303" t="s">
        <v>1967</v>
      </c>
      <c r="K228" s="303" t="s">
        <v>1543</v>
      </c>
      <c r="L228" s="303" t="s">
        <v>1956</v>
      </c>
      <c r="M228" s="303" t="s">
        <v>2019</v>
      </c>
      <c r="N228" s="303" t="s">
        <v>1987</v>
      </c>
      <c r="O228" s="303" t="s">
        <v>1986</v>
      </c>
      <c r="P228" s="328">
        <v>43221</v>
      </c>
      <c r="Q228" s="303" t="s">
        <v>1952</v>
      </c>
      <c r="R228" s="303">
        <f t="shared" si="7"/>
        <v>0</v>
      </c>
      <c r="S228" s="303">
        <v>0</v>
      </c>
    </row>
    <row r="229" spans="1:19" x14ac:dyDescent="0.25">
      <c r="A229" s="303" t="s">
        <v>3307</v>
      </c>
      <c r="B229" s="303" t="s">
        <v>3306</v>
      </c>
      <c r="C229" s="328">
        <v>43221</v>
      </c>
      <c r="D229" s="303" t="s">
        <v>1961</v>
      </c>
      <c r="E229" s="303" t="s">
        <v>1960</v>
      </c>
      <c r="F229" s="303" t="s">
        <v>1685</v>
      </c>
      <c r="G229" s="303" t="s">
        <v>1543</v>
      </c>
      <c r="H229" s="303" t="s">
        <v>1956</v>
      </c>
      <c r="I229" s="304">
        <v>-40000</v>
      </c>
      <c r="J229" s="303" t="s">
        <v>1967</v>
      </c>
      <c r="K229" s="303" t="s">
        <v>1543</v>
      </c>
      <c r="L229" s="303" t="s">
        <v>1956</v>
      </c>
      <c r="M229" s="303" t="s">
        <v>2019</v>
      </c>
      <c r="N229" s="303" t="s">
        <v>1987</v>
      </c>
      <c r="O229" s="303" t="s">
        <v>1986</v>
      </c>
      <c r="P229" s="328">
        <v>43221</v>
      </c>
      <c r="Q229" s="303" t="s">
        <v>1952</v>
      </c>
      <c r="R229" s="303">
        <f t="shared" si="7"/>
        <v>0</v>
      </c>
      <c r="S229" s="303">
        <v>0</v>
      </c>
    </row>
    <row r="230" spans="1:19" x14ac:dyDescent="0.25">
      <c r="A230" s="303" t="s">
        <v>3305</v>
      </c>
      <c r="B230" s="303" t="s">
        <v>3304</v>
      </c>
      <c r="C230" s="328">
        <v>43221</v>
      </c>
      <c r="D230" s="303" t="s">
        <v>1965</v>
      </c>
      <c r="E230" s="303" t="s">
        <v>1964</v>
      </c>
      <c r="F230" s="303" t="s">
        <v>2211</v>
      </c>
      <c r="G230" s="303" t="s">
        <v>2210</v>
      </c>
      <c r="H230" s="303" t="s">
        <v>1956</v>
      </c>
      <c r="I230" s="304">
        <v>330</v>
      </c>
      <c r="J230" s="303" t="s">
        <v>1958</v>
      </c>
      <c r="K230" s="303" t="s">
        <v>1957</v>
      </c>
      <c r="L230" s="303" t="s">
        <v>1956</v>
      </c>
      <c r="M230" s="303" t="s">
        <v>2022</v>
      </c>
      <c r="N230" s="303" t="s">
        <v>1987</v>
      </c>
      <c r="O230" s="303" t="s">
        <v>1986</v>
      </c>
      <c r="P230" s="328">
        <v>43221</v>
      </c>
      <c r="Q230" s="303" t="s">
        <v>1952</v>
      </c>
      <c r="R230" s="303">
        <f t="shared" si="7"/>
        <v>0</v>
      </c>
      <c r="S230" s="303">
        <v>0</v>
      </c>
    </row>
    <row r="231" spans="1:19" x14ac:dyDescent="0.25">
      <c r="A231" s="303" t="s">
        <v>3305</v>
      </c>
      <c r="B231" s="303" t="s">
        <v>3304</v>
      </c>
      <c r="C231" s="328">
        <v>43221</v>
      </c>
      <c r="D231" s="303" t="s">
        <v>1961</v>
      </c>
      <c r="E231" s="303" t="s">
        <v>1960</v>
      </c>
      <c r="F231" s="303" t="s">
        <v>2211</v>
      </c>
      <c r="G231" s="303" t="s">
        <v>2210</v>
      </c>
      <c r="H231" s="303" t="s">
        <v>1956</v>
      </c>
      <c r="I231" s="304">
        <v>-330</v>
      </c>
      <c r="J231" s="303" t="s">
        <v>1958</v>
      </c>
      <c r="K231" s="303" t="s">
        <v>1957</v>
      </c>
      <c r="L231" s="303" t="s">
        <v>1956</v>
      </c>
      <c r="M231" s="303" t="s">
        <v>2022</v>
      </c>
      <c r="N231" s="303" t="s">
        <v>1987</v>
      </c>
      <c r="O231" s="303" t="s">
        <v>1986</v>
      </c>
      <c r="P231" s="328">
        <v>43221</v>
      </c>
      <c r="Q231" s="303" t="s">
        <v>1952</v>
      </c>
      <c r="R231" s="303">
        <f t="shared" si="7"/>
        <v>0</v>
      </c>
      <c r="S231" s="303">
        <v>0</v>
      </c>
    </row>
    <row r="232" spans="1:19" x14ac:dyDescent="0.25">
      <c r="A232" s="303" t="s">
        <v>3303</v>
      </c>
      <c r="B232" s="303" t="s">
        <v>3302</v>
      </c>
      <c r="C232" s="328">
        <v>43221</v>
      </c>
      <c r="D232" s="303" t="s">
        <v>1965</v>
      </c>
      <c r="E232" s="303" t="s">
        <v>1964</v>
      </c>
      <c r="F232" s="303" t="s">
        <v>2211</v>
      </c>
      <c r="G232" s="303" t="s">
        <v>2210</v>
      </c>
      <c r="H232" s="303" t="s">
        <v>1956</v>
      </c>
      <c r="I232" s="304">
        <v>1405</v>
      </c>
      <c r="J232" s="303" t="s">
        <v>1967</v>
      </c>
      <c r="K232" s="303" t="s">
        <v>2210</v>
      </c>
      <c r="L232" s="303" t="s">
        <v>1956</v>
      </c>
      <c r="M232" s="303" t="s">
        <v>2019</v>
      </c>
      <c r="N232" s="303" t="s">
        <v>1987</v>
      </c>
      <c r="O232" s="303" t="s">
        <v>1986</v>
      </c>
      <c r="P232" s="328">
        <v>43221</v>
      </c>
      <c r="Q232" s="303" t="s">
        <v>1952</v>
      </c>
      <c r="R232" s="303">
        <f t="shared" si="7"/>
        <v>0</v>
      </c>
      <c r="S232" s="303">
        <v>0</v>
      </c>
    </row>
    <row r="233" spans="1:19" x14ac:dyDescent="0.25">
      <c r="A233" s="303" t="s">
        <v>3303</v>
      </c>
      <c r="B233" s="303" t="s">
        <v>3302</v>
      </c>
      <c r="C233" s="328">
        <v>43221</v>
      </c>
      <c r="D233" s="303" t="s">
        <v>1961</v>
      </c>
      <c r="E233" s="303" t="s">
        <v>1960</v>
      </c>
      <c r="F233" s="303" t="s">
        <v>2211</v>
      </c>
      <c r="G233" s="303" t="s">
        <v>2210</v>
      </c>
      <c r="H233" s="303" t="s">
        <v>1956</v>
      </c>
      <c r="I233" s="304">
        <v>-1405</v>
      </c>
      <c r="J233" s="303" t="s">
        <v>1967</v>
      </c>
      <c r="K233" s="303" t="s">
        <v>2210</v>
      </c>
      <c r="L233" s="303" t="s">
        <v>1956</v>
      </c>
      <c r="M233" s="303" t="s">
        <v>2019</v>
      </c>
      <c r="N233" s="303" t="s">
        <v>1987</v>
      </c>
      <c r="O233" s="303" t="s">
        <v>1986</v>
      </c>
      <c r="P233" s="328">
        <v>43221</v>
      </c>
      <c r="Q233" s="303" t="s">
        <v>1952</v>
      </c>
      <c r="R233" s="303">
        <f t="shared" si="7"/>
        <v>0</v>
      </c>
      <c r="S233" s="303">
        <v>0</v>
      </c>
    </row>
    <row r="234" spans="1:19" x14ac:dyDescent="0.25">
      <c r="A234" s="303" t="s">
        <v>3301</v>
      </c>
      <c r="B234" s="303" t="s">
        <v>3300</v>
      </c>
      <c r="C234" s="328">
        <v>43221</v>
      </c>
      <c r="D234" s="303" t="s">
        <v>1965</v>
      </c>
      <c r="E234" s="303" t="s">
        <v>1964</v>
      </c>
      <c r="F234" s="303" t="s">
        <v>1846</v>
      </c>
      <c r="G234" s="303" t="s">
        <v>1959</v>
      </c>
      <c r="H234" s="303" t="s">
        <v>1956</v>
      </c>
      <c r="I234" s="304">
        <v>12320</v>
      </c>
      <c r="J234" s="303" t="s">
        <v>1641</v>
      </c>
      <c r="K234" s="303" t="s">
        <v>1576</v>
      </c>
      <c r="L234" s="303" t="s">
        <v>1956</v>
      </c>
      <c r="M234" s="303" t="s">
        <v>3299</v>
      </c>
      <c r="N234" s="303" t="s">
        <v>1987</v>
      </c>
      <c r="O234" s="303" t="s">
        <v>1986</v>
      </c>
      <c r="P234" s="328">
        <v>43221</v>
      </c>
      <c r="Q234" s="303" t="s">
        <v>1952</v>
      </c>
      <c r="R234" s="303">
        <f t="shared" si="7"/>
        <v>0</v>
      </c>
      <c r="S234" s="303">
        <v>0</v>
      </c>
    </row>
    <row r="235" spans="1:19" x14ac:dyDescent="0.25">
      <c r="A235" s="303" t="s">
        <v>3301</v>
      </c>
      <c r="B235" s="303" t="s">
        <v>3300</v>
      </c>
      <c r="C235" s="328">
        <v>43221</v>
      </c>
      <c r="D235" s="303" t="s">
        <v>1961</v>
      </c>
      <c r="E235" s="303" t="s">
        <v>1960</v>
      </c>
      <c r="F235" s="303" t="s">
        <v>1846</v>
      </c>
      <c r="G235" s="303" t="s">
        <v>1959</v>
      </c>
      <c r="H235" s="303" t="s">
        <v>1956</v>
      </c>
      <c r="I235" s="304">
        <v>-12320</v>
      </c>
      <c r="J235" s="303" t="s">
        <v>1641</v>
      </c>
      <c r="K235" s="303" t="s">
        <v>1576</v>
      </c>
      <c r="L235" s="303" t="s">
        <v>1956</v>
      </c>
      <c r="M235" s="303" t="s">
        <v>3299</v>
      </c>
      <c r="N235" s="303" t="s">
        <v>1987</v>
      </c>
      <c r="O235" s="303" t="s">
        <v>1986</v>
      </c>
      <c r="P235" s="328">
        <v>43221</v>
      </c>
      <c r="Q235" s="303" t="s">
        <v>1952</v>
      </c>
      <c r="R235" s="303">
        <f t="shared" si="7"/>
        <v>0</v>
      </c>
      <c r="S235" s="303">
        <v>0</v>
      </c>
    </row>
    <row r="236" spans="1:19" x14ac:dyDescent="0.25">
      <c r="A236" s="303" t="s">
        <v>3298</v>
      </c>
      <c r="B236" s="303" t="s">
        <v>3297</v>
      </c>
      <c r="C236" s="328">
        <v>43221</v>
      </c>
      <c r="D236" s="303" t="s">
        <v>1965</v>
      </c>
      <c r="E236" s="303" t="s">
        <v>1964</v>
      </c>
      <c r="F236" s="303" t="s">
        <v>1655</v>
      </c>
      <c r="G236" s="303" t="s">
        <v>1561</v>
      </c>
      <c r="H236" s="303" t="s">
        <v>1956</v>
      </c>
      <c r="I236" s="304">
        <v>19028</v>
      </c>
      <c r="J236" s="303" t="s">
        <v>1958</v>
      </c>
      <c r="K236" s="303" t="s">
        <v>1957</v>
      </c>
      <c r="L236" s="303" t="s">
        <v>1956</v>
      </c>
      <c r="M236" s="303" t="s">
        <v>2022</v>
      </c>
      <c r="N236" s="303" t="s">
        <v>1987</v>
      </c>
      <c r="O236" s="303" t="s">
        <v>1986</v>
      </c>
      <c r="P236" s="328">
        <v>43221</v>
      </c>
      <c r="Q236" s="303" t="s">
        <v>1952</v>
      </c>
      <c r="R236" s="303">
        <f t="shared" si="7"/>
        <v>0</v>
      </c>
      <c r="S236" s="303">
        <v>0</v>
      </c>
    </row>
    <row r="237" spans="1:19" x14ac:dyDescent="0.25">
      <c r="A237" s="303" t="s">
        <v>3298</v>
      </c>
      <c r="B237" s="303" t="s">
        <v>3297</v>
      </c>
      <c r="C237" s="328">
        <v>43221</v>
      </c>
      <c r="D237" s="303" t="s">
        <v>1961</v>
      </c>
      <c r="E237" s="303" t="s">
        <v>1960</v>
      </c>
      <c r="F237" s="303" t="s">
        <v>1655</v>
      </c>
      <c r="G237" s="303" t="s">
        <v>1561</v>
      </c>
      <c r="H237" s="303" t="s">
        <v>1956</v>
      </c>
      <c r="I237" s="304">
        <v>-19028</v>
      </c>
      <c r="J237" s="303" t="s">
        <v>1958</v>
      </c>
      <c r="K237" s="303" t="s">
        <v>1957</v>
      </c>
      <c r="L237" s="303" t="s">
        <v>1956</v>
      </c>
      <c r="M237" s="303" t="s">
        <v>2022</v>
      </c>
      <c r="N237" s="303" t="s">
        <v>1987</v>
      </c>
      <c r="O237" s="303" t="s">
        <v>1986</v>
      </c>
      <c r="P237" s="328">
        <v>43221</v>
      </c>
      <c r="Q237" s="303" t="s">
        <v>1952</v>
      </c>
      <c r="R237" s="303">
        <f t="shared" si="7"/>
        <v>0</v>
      </c>
      <c r="S237" s="303">
        <v>0</v>
      </c>
    </row>
    <row r="238" spans="1:19" x14ac:dyDescent="0.25">
      <c r="A238" s="303" t="s">
        <v>3296</v>
      </c>
      <c r="B238" s="303" t="s">
        <v>3295</v>
      </c>
      <c r="C238" s="328">
        <v>43221</v>
      </c>
      <c r="D238" s="303" t="s">
        <v>1965</v>
      </c>
      <c r="E238" s="303" t="s">
        <v>1964</v>
      </c>
      <c r="F238" s="303" t="s">
        <v>1655</v>
      </c>
      <c r="G238" s="303" t="s">
        <v>1561</v>
      </c>
      <c r="H238" s="303" t="s">
        <v>1956</v>
      </c>
      <c r="I238" s="304">
        <v>80972</v>
      </c>
      <c r="J238" s="303" t="s">
        <v>1967</v>
      </c>
      <c r="K238" s="303" t="s">
        <v>1561</v>
      </c>
      <c r="L238" s="303" t="s">
        <v>1956</v>
      </c>
      <c r="M238" s="303" t="s">
        <v>2019</v>
      </c>
      <c r="N238" s="303" t="s">
        <v>1987</v>
      </c>
      <c r="O238" s="303" t="s">
        <v>1986</v>
      </c>
      <c r="P238" s="328">
        <v>43221</v>
      </c>
      <c r="Q238" s="303" t="s">
        <v>1952</v>
      </c>
      <c r="R238" s="303">
        <f t="shared" si="7"/>
        <v>0</v>
      </c>
      <c r="S238" s="303">
        <v>0</v>
      </c>
    </row>
    <row r="239" spans="1:19" x14ac:dyDescent="0.25">
      <c r="A239" s="303" t="s">
        <v>3296</v>
      </c>
      <c r="B239" s="303" t="s">
        <v>3295</v>
      </c>
      <c r="C239" s="328">
        <v>43221</v>
      </c>
      <c r="D239" s="303" t="s">
        <v>1961</v>
      </c>
      <c r="E239" s="303" t="s">
        <v>1960</v>
      </c>
      <c r="F239" s="303" t="s">
        <v>1655</v>
      </c>
      <c r="G239" s="303" t="s">
        <v>1561</v>
      </c>
      <c r="H239" s="303" t="s">
        <v>1956</v>
      </c>
      <c r="I239" s="304">
        <v>-80972</v>
      </c>
      <c r="J239" s="303" t="s">
        <v>1967</v>
      </c>
      <c r="K239" s="303" t="s">
        <v>1561</v>
      </c>
      <c r="L239" s="303" t="s">
        <v>1956</v>
      </c>
      <c r="M239" s="303" t="s">
        <v>2019</v>
      </c>
      <c r="N239" s="303" t="s">
        <v>1987</v>
      </c>
      <c r="O239" s="303" t="s">
        <v>1986</v>
      </c>
      <c r="P239" s="328">
        <v>43221</v>
      </c>
      <c r="Q239" s="303" t="s">
        <v>1952</v>
      </c>
      <c r="R239" s="303">
        <f t="shared" si="7"/>
        <v>0</v>
      </c>
      <c r="S239" s="303">
        <v>0</v>
      </c>
    </row>
    <row r="240" spans="1:19" x14ac:dyDescent="0.25">
      <c r="A240" s="303" t="s">
        <v>3294</v>
      </c>
      <c r="B240" s="303" t="s">
        <v>3293</v>
      </c>
      <c r="C240" s="328">
        <v>43223</v>
      </c>
      <c r="D240" s="303" t="s">
        <v>1965</v>
      </c>
      <c r="E240" s="303" t="s">
        <v>1964</v>
      </c>
      <c r="F240" s="303" t="s">
        <v>1815</v>
      </c>
      <c r="G240" s="303" t="s">
        <v>1436</v>
      </c>
      <c r="H240" s="303" t="s">
        <v>1956</v>
      </c>
      <c r="I240" s="304">
        <v>19500</v>
      </c>
      <c r="J240" s="303" t="s">
        <v>1819</v>
      </c>
      <c r="K240" s="303" t="s">
        <v>1436</v>
      </c>
      <c r="L240" s="303" t="s">
        <v>1956</v>
      </c>
      <c r="M240" s="303" t="s">
        <v>3292</v>
      </c>
      <c r="N240" s="303" t="s">
        <v>1987</v>
      </c>
      <c r="O240" s="303" t="s">
        <v>1986</v>
      </c>
      <c r="P240" s="328">
        <v>43223</v>
      </c>
      <c r="Q240" s="303" t="s">
        <v>1952</v>
      </c>
      <c r="R240" s="303">
        <f t="shared" si="7"/>
        <v>1</v>
      </c>
      <c r="S240" s="303">
        <v>0</v>
      </c>
    </row>
    <row r="241" spans="1:19" x14ac:dyDescent="0.25">
      <c r="A241" s="303" t="s">
        <v>3294</v>
      </c>
      <c r="B241" s="303" t="s">
        <v>3293</v>
      </c>
      <c r="C241" s="328">
        <v>43223</v>
      </c>
      <c r="D241" s="303" t="s">
        <v>1961</v>
      </c>
      <c r="E241" s="303" t="s">
        <v>1960</v>
      </c>
      <c r="F241" s="303" t="s">
        <v>1815</v>
      </c>
      <c r="G241" s="303" t="s">
        <v>1436</v>
      </c>
      <c r="H241" s="303" t="s">
        <v>1956</v>
      </c>
      <c r="I241" s="304">
        <v>-19500</v>
      </c>
      <c r="J241" s="303" t="s">
        <v>1819</v>
      </c>
      <c r="K241" s="303" t="s">
        <v>1436</v>
      </c>
      <c r="L241" s="303" t="s">
        <v>1956</v>
      </c>
      <c r="M241" s="303" t="s">
        <v>3292</v>
      </c>
      <c r="N241" s="303" t="s">
        <v>1987</v>
      </c>
      <c r="O241" s="303" t="s">
        <v>1986</v>
      </c>
      <c r="P241" s="328">
        <v>43223</v>
      </c>
      <c r="Q241" s="303" t="s">
        <v>1952</v>
      </c>
      <c r="R241" s="303">
        <f t="shared" si="7"/>
        <v>1</v>
      </c>
      <c r="S241" s="303">
        <v>0</v>
      </c>
    </row>
    <row r="242" spans="1:19" x14ac:dyDescent="0.25">
      <c r="A242" s="303" t="s">
        <v>3291</v>
      </c>
      <c r="B242" s="303" t="s">
        <v>3290</v>
      </c>
      <c r="C242" s="328">
        <v>43223</v>
      </c>
      <c r="D242" s="303" t="s">
        <v>1965</v>
      </c>
      <c r="E242" s="303" t="s">
        <v>1964</v>
      </c>
      <c r="F242" s="303" t="s">
        <v>3285</v>
      </c>
      <c r="G242" s="303" t="s">
        <v>2772</v>
      </c>
      <c r="H242" s="303" t="s">
        <v>1956</v>
      </c>
      <c r="I242" s="304">
        <v>4186</v>
      </c>
      <c r="J242" s="303" t="s">
        <v>1958</v>
      </c>
      <c r="K242" s="303" t="s">
        <v>1957</v>
      </c>
      <c r="L242" s="303" t="s">
        <v>1956</v>
      </c>
      <c r="M242" s="303" t="s">
        <v>2022</v>
      </c>
      <c r="N242" s="303" t="s">
        <v>1987</v>
      </c>
      <c r="O242" s="303" t="s">
        <v>1986</v>
      </c>
      <c r="P242" s="328">
        <v>43223</v>
      </c>
      <c r="Q242" s="303" t="s">
        <v>1952</v>
      </c>
      <c r="R242" s="303">
        <f t="shared" si="7"/>
        <v>0</v>
      </c>
      <c r="S242" s="303">
        <v>0</v>
      </c>
    </row>
    <row r="243" spans="1:19" x14ac:dyDescent="0.25">
      <c r="A243" s="303" t="s">
        <v>3291</v>
      </c>
      <c r="B243" s="303" t="s">
        <v>3290</v>
      </c>
      <c r="C243" s="328">
        <v>43223</v>
      </c>
      <c r="D243" s="303" t="s">
        <v>1961</v>
      </c>
      <c r="E243" s="303" t="s">
        <v>1960</v>
      </c>
      <c r="F243" s="303" t="s">
        <v>3285</v>
      </c>
      <c r="G243" s="303" t="s">
        <v>2772</v>
      </c>
      <c r="H243" s="303" t="s">
        <v>1956</v>
      </c>
      <c r="I243" s="304">
        <v>-4186</v>
      </c>
      <c r="J243" s="303" t="s">
        <v>1958</v>
      </c>
      <c r="K243" s="303" t="s">
        <v>1957</v>
      </c>
      <c r="L243" s="303" t="s">
        <v>1956</v>
      </c>
      <c r="M243" s="303" t="s">
        <v>2022</v>
      </c>
      <c r="N243" s="303" t="s">
        <v>1987</v>
      </c>
      <c r="O243" s="303" t="s">
        <v>1986</v>
      </c>
      <c r="P243" s="328">
        <v>43223</v>
      </c>
      <c r="Q243" s="303" t="s">
        <v>1952</v>
      </c>
      <c r="R243" s="303">
        <f t="shared" si="7"/>
        <v>0</v>
      </c>
      <c r="S243" s="303">
        <v>0</v>
      </c>
    </row>
    <row r="244" spans="1:19" x14ac:dyDescent="0.25">
      <c r="A244" s="303" t="s">
        <v>3289</v>
      </c>
      <c r="B244" s="303" t="s">
        <v>3288</v>
      </c>
      <c r="C244" s="328">
        <v>43223</v>
      </c>
      <c r="D244" s="303" t="s">
        <v>1965</v>
      </c>
      <c r="E244" s="303" t="s">
        <v>1964</v>
      </c>
      <c r="F244" s="303" t="s">
        <v>3285</v>
      </c>
      <c r="G244" s="303" t="s">
        <v>2772</v>
      </c>
      <c r="H244" s="303" t="s">
        <v>1956</v>
      </c>
      <c r="I244" s="304">
        <v>17812</v>
      </c>
      <c r="J244" s="303" t="s">
        <v>1967</v>
      </c>
      <c r="K244" s="303" t="s">
        <v>2772</v>
      </c>
      <c r="L244" s="303" t="s">
        <v>1956</v>
      </c>
      <c r="M244" s="303" t="s">
        <v>2019</v>
      </c>
      <c r="N244" s="303" t="s">
        <v>1987</v>
      </c>
      <c r="O244" s="303" t="s">
        <v>1986</v>
      </c>
      <c r="P244" s="328">
        <v>43223</v>
      </c>
      <c r="Q244" s="303" t="s">
        <v>1952</v>
      </c>
      <c r="R244" s="303">
        <f t="shared" si="7"/>
        <v>0</v>
      </c>
      <c r="S244" s="303">
        <v>0</v>
      </c>
    </row>
    <row r="245" spans="1:19" x14ac:dyDescent="0.25">
      <c r="A245" s="303" t="s">
        <v>3289</v>
      </c>
      <c r="B245" s="303" t="s">
        <v>3288</v>
      </c>
      <c r="C245" s="328">
        <v>43223</v>
      </c>
      <c r="D245" s="303" t="s">
        <v>1961</v>
      </c>
      <c r="E245" s="303" t="s">
        <v>1960</v>
      </c>
      <c r="F245" s="303" t="s">
        <v>3285</v>
      </c>
      <c r="G245" s="303" t="s">
        <v>2772</v>
      </c>
      <c r="H245" s="303" t="s">
        <v>1956</v>
      </c>
      <c r="I245" s="304">
        <v>-17812</v>
      </c>
      <c r="J245" s="303" t="s">
        <v>1967</v>
      </c>
      <c r="K245" s="303" t="s">
        <v>2772</v>
      </c>
      <c r="L245" s="303" t="s">
        <v>1956</v>
      </c>
      <c r="M245" s="303" t="s">
        <v>2019</v>
      </c>
      <c r="N245" s="303" t="s">
        <v>1987</v>
      </c>
      <c r="O245" s="303" t="s">
        <v>1986</v>
      </c>
      <c r="P245" s="328">
        <v>43223</v>
      </c>
      <c r="Q245" s="303" t="s">
        <v>1952</v>
      </c>
      <c r="R245" s="303">
        <f t="shared" si="7"/>
        <v>0</v>
      </c>
      <c r="S245" s="303">
        <v>0</v>
      </c>
    </row>
    <row r="246" spans="1:19" x14ac:dyDescent="0.25">
      <c r="A246" s="303" t="s">
        <v>3287</v>
      </c>
      <c r="B246" s="303" t="s">
        <v>3286</v>
      </c>
      <c r="C246" s="328">
        <v>43223</v>
      </c>
      <c r="D246" s="303" t="s">
        <v>1965</v>
      </c>
      <c r="E246" s="303" t="s">
        <v>1964</v>
      </c>
      <c r="F246" s="303" t="s">
        <v>1846</v>
      </c>
      <c r="G246" s="303" t="s">
        <v>1959</v>
      </c>
      <c r="H246" s="303" t="s">
        <v>1956</v>
      </c>
      <c r="I246" s="304">
        <v>1468</v>
      </c>
      <c r="J246" s="303" t="s">
        <v>3285</v>
      </c>
      <c r="K246" s="303" t="s">
        <v>2772</v>
      </c>
      <c r="L246" s="303" t="s">
        <v>1956</v>
      </c>
      <c r="M246" s="303" t="s">
        <v>3284</v>
      </c>
      <c r="N246" s="303" t="s">
        <v>1987</v>
      </c>
      <c r="O246" s="303" t="s">
        <v>1986</v>
      </c>
      <c r="P246" s="328">
        <v>43223</v>
      </c>
      <c r="Q246" s="303" t="s">
        <v>1952</v>
      </c>
      <c r="R246" s="303">
        <f t="shared" si="7"/>
        <v>1</v>
      </c>
      <c r="S246" s="303">
        <v>0</v>
      </c>
    </row>
    <row r="247" spans="1:19" x14ac:dyDescent="0.25">
      <c r="A247" s="303" t="s">
        <v>3287</v>
      </c>
      <c r="B247" s="303" t="s">
        <v>3286</v>
      </c>
      <c r="C247" s="328">
        <v>43223</v>
      </c>
      <c r="D247" s="303" t="s">
        <v>1961</v>
      </c>
      <c r="E247" s="303" t="s">
        <v>1960</v>
      </c>
      <c r="F247" s="303" t="s">
        <v>1846</v>
      </c>
      <c r="G247" s="303" t="s">
        <v>1959</v>
      </c>
      <c r="H247" s="303" t="s">
        <v>1956</v>
      </c>
      <c r="I247" s="304">
        <v>-1468</v>
      </c>
      <c r="J247" s="303" t="s">
        <v>3285</v>
      </c>
      <c r="K247" s="303" t="s">
        <v>2772</v>
      </c>
      <c r="L247" s="303" t="s">
        <v>1956</v>
      </c>
      <c r="M247" s="303" t="s">
        <v>3284</v>
      </c>
      <c r="N247" s="303" t="s">
        <v>1987</v>
      </c>
      <c r="O247" s="303" t="s">
        <v>1986</v>
      </c>
      <c r="P247" s="328">
        <v>43223</v>
      </c>
      <c r="Q247" s="303" t="s">
        <v>1952</v>
      </c>
      <c r="R247" s="303">
        <f t="shared" si="7"/>
        <v>1</v>
      </c>
      <c r="S247" s="303">
        <v>0</v>
      </c>
    </row>
    <row r="248" spans="1:19" x14ac:dyDescent="0.25">
      <c r="A248" s="303" t="s">
        <v>3283</v>
      </c>
      <c r="B248" s="303" t="s">
        <v>3282</v>
      </c>
      <c r="C248" s="328">
        <v>43223</v>
      </c>
      <c r="D248" s="303" t="s">
        <v>1965</v>
      </c>
      <c r="E248" s="303" t="s">
        <v>1964</v>
      </c>
      <c r="F248" s="303" t="s">
        <v>1967</v>
      </c>
      <c r="G248" s="303" t="s">
        <v>1478</v>
      </c>
      <c r="H248" s="303" t="s">
        <v>1956</v>
      </c>
      <c r="I248" s="304">
        <v>17814</v>
      </c>
      <c r="J248" s="303" t="s">
        <v>1609</v>
      </c>
      <c r="K248" s="303" t="s">
        <v>1609</v>
      </c>
      <c r="L248" s="303" t="s">
        <v>1609</v>
      </c>
      <c r="M248" s="303" t="s">
        <v>3281</v>
      </c>
      <c r="N248" s="303" t="s">
        <v>3280</v>
      </c>
      <c r="O248" s="303" t="s">
        <v>3279</v>
      </c>
      <c r="P248" s="328">
        <v>43223</v>
      </c>
      <c r="Q248" s="303" t="s">
        <v>1952</v>
      </c>
      <c r="R248" s="303">
        <f t="shared" si="7"/>
        <v>1</v>
      </c>
      <c r="S248" s="303">
        <v>0</v>
      </c>
    </row>
    <row r="249" spans="1:19" x14ac:dyDescent="0.25">
      <c r="A249" s="303" t="s">
        <v>3278</v>
      </c>
      <c r="B249" s="303" t="s">
        <v>3277</v>
      </c>
      <c r="C249" s="328">
        <v>43224</v>
      </c>
      <c r="D249" s="303" t="s">
        <v>1965</v>
      </c>
      <c r="E249" s="303" t="s">
        <v>1964</v>
      </c>
      <c r="F249" s="303" t="s">
        <v>1922</v>
      </c>
      <c r="G249" s="303" t="s">
        <v>2071</v>
      </c>
      <c r="H249" s="303" t="s">
        <v>1956</v>
      </c>
      <c r="I249" s="304">
        <v>28</v>
      </c>
      <c r="J249" s="303" t="s">
        <v>1886</v>
      </c>
      <c r="K249" s="303" t="s">
        <v>2462</v>
      </c>
      <c r="L249" s="303" t="s">
        <v>1956</v>
      </c>
      <c r="M249" s="303" t="s">
        <v>3276</v>
      </c>
      <c r="N249" s="303" t="s">
        <v>1987</v>
      </c>
      <c r="O249" s="303" t="s">
        <v>1986</v>
      </c>
      <c r="P249" s="328">
        <v>43224</v>
      </c>
      <c r="Q249" s="303" t="s">
        <v>1952</v>
      </c>
      <c r="R249" s="303">
        <f t="shared" si="7"/>
        <v>1</v>
      </c>
      <c r="S249" s="303">
        <v>0</v>
      </c>
    </row>
    <row r="250" spans="1:19" x14ac:dyDescent="0.25">
      <c r="A250" s="303" t="s">
        <v>3278</v>
      </c>
      <c r="B250" s="303" t="s">
        <v>3277</v>
      </c>
      <c r="C250" s="328">
        <v>43224</v>
      </c>
      <c r="D250" s="303" t="s">
        <v>1961</v>
      </c>
      <c r="E250" s="303" t="s">
        <v>1960</v>
      </c>
      <c r="F250" s="303" t="s">
        <v>1922</v>
      </c>
      <c r="G250" s="303" t="s">
        <v>2071</v>
      </c>
      <c r="H250" s="303" t="s">
        <v>1956</v>
      </c>
      <c r="I250" s="304">
        <v>-28</v>
      </c>
      <c r="J250" s="303" t="s">
        <v>1886</v>
      </c>
      <c r="K250" s="303" t="s">
        <v>2462</v>
      </c>
      <c r="L250" s="303" t="s">
        <v>1956</v>
      </c>
      <c r="M250" s="303" t="s">
        <v>3276</v>
      </c>
      <c r="N250" s="303" t="s">
        <v>1987</v>
      </c>
      <c r="O250" s="303" t="s">
        <v>1986</v>
      </c>
      <c r="P250" s="328">
        <v>43224</v>
      </c>
      <c r="Q250" s="303" t="s">
        <v>1952</v>
      </c>
      <c r="R250" s="303">
        <f t="shared" si="7"/>
        <v>1</v>
      </c>
      <c r="S250" s="303">
        <v>0</v>
      </c>
    </row>
    <row r="251" spans="1:19" x14ac:dyDescent="0.25">
      <c r="A251" s="303" t="s">
        <v>3275</v>
      </c>
      <c r="B251" s="303" t="s">
        <v>3274</v>
      </c>
      <c r="C251" s="328">
        <v>43224</v>
      </c>
      <c r="D251" s="303" t="s">
        <v>1965</v>
      </c>
      <c r="E251" s="303" t="s">
        <v>1964</v>
      </c>
      <c r="F251" s="303" t="s">
        <v>1922</v>
      </c>
      <c r="G251" s="303" t="s">
        <v>2071</v>
      </c>
      <c r="H251" s="303" t="s">
        <v>1956</v>
      </c>
      <c r="I251" s="304">
        <v>40000</v>
      </c>
      <c r="J251" s="303" t="s">
        <v>1918</v>
      </c>
      <c r="K251" s="303" t="s">
        <v>2183</v>
      </c>
      <c r="L251" s="303" t="s">
        <v>1956</v>
      </c>
      <c r="M251" s="303" t="s">
        <v>3273</v>
      </c>
      <c r="N251" s="303" t="s">
        <v>1987</v>
      </c>
      <c r="O251" s="303" t="s">
        <v>1986</v>
      </c>
      <c r="P251" s="328">
        <v>43224</v>
      </c>
      <c r="Q251" s="303" t="s">
        <v>1952</v>
      </c>
      <c r="R251" s="303">
        <f t="shared" si="7"/>
        <v>1</v>
      </c>
      <c r="S251" s="303">
        <v>0</v>
      </c>
    </row>
    <row r="252" spans="1:19" x14ac:dyDescent="0.25">
      <c r="A252" s="303" t="s">
        <v>3275</v>
      </c>
      <c r="B252" s="303" t="s">
        <v>3274</v>
      </c>
      <c r="C252" s="328">
        <v>43224</v>
      </c>
      <c r="D252" s="303" t="s">
        <v>1961</v>
      </c>
      <c r="E252" s="303" t="s">
        <v>1960</v>
      </c>
      <c r="F252" s="303" t="s">
        <v>1922</v>
      </c>
      <c r="G252" s="303" t="s">
        <v>2071</v>
      </c>
      <c r="H252" s="303" t="s">
        <v>1956</v>
      </c>
      <c r="I252" s="304">
        <v>-40000</v>
      </c>
      <c r="J252" s="303" t="s">
        <v>1918</v>
      </c>
      <c r="K252" s="303" t="s">
        <v>2183</v>
      </c>
      <c r="L252" s="303" t="s">
        <v>1956</v>
      </c>
      <c r="M252" s="303" t="s">
        <v>3273</v>
      </c>
      <c r="N252" s="303" t="s">
        <v>1987</v>
      </c>
      <c r="O252" s="303" t="s">
        <v>1986</v>
      </c>
      <c r="P252" s="328">
        <v>43224</v>
      </c>
      <c r="Q252" s="303" t="s">
        <v>1952</v>
      </c>
      <c r="R252" s="303">
        <f t="shared" si="7"/>
        <v>1</v>
      </c>
      <c r="S252" s="303">
        <v>0</v>
      </c>
    </row>
    <row r="253" spans="1:19" x14ac:dyDescent="0.25">
      <c r="A253" s="303" t="s">
        <v>3272</v>
      </c>
      <c r="B253" s="303" t="s">
        <v>3271</v>
      </c>
      <c r="C253" s="328">
        <v>43224</v>
      </c>
      <c r="D253" s="303" t="s">
        <v>1965</v>
      </c>
      <c r="E253" s="303" t="s">
        <v>1964</v>
      </c>
      <c r="F253" s="303" t="s">
        <v>1836</v>
      </c>
      <c r="G253" s="303" t="s">
        <v>1424</v>
      </c>
      <c r="H253" s="303" t="s">
        <v>1956</v>
      </c>
      <c r="I253" s="304">
        <v>9400</v>
      </c>
      <c r="J253" s="303" t="s">
        <v>1958</v>
      </c>
      <c r="K253" s="303" t="s">
        <v>1957</v>
      </c>
      <c r="L253" s="303" t="s">
        <v>1956</v>
      </c>
      <c r="M253" s="303" t="s">
        <v>2022</v>
      </c>
      <c r="N253" s="303" t="s">
        <v>1987</v>
      </c>
      <c r="O253" s="303" t="s">
        <v>1986</v>
      </c>
      <c r="P253" s="328">
        <v>43224</v>
      </c>
      <c r="Q253" s="303" t="s">
        <v>1952</v>
      </c>
      <c r="R253" s="303">
        <f t="shared" si="7"/>
        <v>0</v>
      </c>
      <c r="S253" s="303">
        <v>0</v>
      </c>
    </row>
    <row r="254" spans="1:19" x14ac:dyDescent="0.25">
      <c r="A254" s="303" t="s">
        <v>3272</v>
      </c>
      <c r="B254" s="303" t="s">
        <v>3271</v>
      </c>
      <c r="C254" s="328">
        <v>43224</v>
      </c>
      <c r="D254" s="303" t="s">
        <v>1961</v>
      </c>
      <c r="E254" s="303" t="s">
        <v>1960</v>
      </c>
      <c r="F254" s="303" t="s">
        <v>1836</v>
      </c>
      <c r="G254" s="303" t="s">
        <v>1424</v>
      </c>
      <c r="H254" s="303" t="s">
        <v>1956</v>
      </c>
      <c r="I254" s="304">
        <v>-9400</v>
      </c>
      <c r="J254" s="303" t="s">
        <v>1958</v>
      </c>
      <c r="K254" s="303" t="s">
        <v>1957</v>
      </c>
      <c r="L254" s="303" t="s">
        <v>1956</v>
      </c>
      <c r="M254" s="303" t="s">
        <v>2022</v>
      </c>
      <c r="N254" s="303" t="s">
        <v>1987</v>
      </c>
      <c r="O254" s="303" t="s">
        <v>1986</v>
      </c>
      <c r="P254" s="328">
        <v>43224</v>
      </c>
      <c r="Q254" s="303" t="s">
        <v>1952</v>
      </c>
      <c r="R254" s="303">
        <f t="shared" si="7"/>
        <v>0</v>
      </c>
      <c r="S254" s="303">
        <v>0</v>
      </c>
    </row>
    <row r="255" spans="1:19" x14ac:dyDescent="0.25">
      <c r="A255" s="303" t="s">
        <v>3270</v>
      </c>
      <c r="B255" s="303" t="s">
        <v>3269</v>
      </c>
      <c r="C255" s="328">
        <v>43224</v>
      </c>
      <c r="D255" s="303" t="s">
        <v>1965</v>
      </c>
      <c r="E255" s="303" t="s">
        <v>1964</v>
      </c>
      <c r="F255" s="303" t="s">
        <v>1836</v>
      </c>
      <c r="G255" s="303" t="s">
        <v>1424</v>
      </c>
      <c r="H255" s="303" t="s">
        <v>1956</v>
      </c>
      <c r="I255" s="304">
        <v>40000</v>
      </c>
      <c r="J255" s="303" t="s">
        <v>1967</v>
      </c>
      <c r="K255" s="303" t="s">
        <v>1424</v>
      </c>
      <c r="L255" s="303" t="s">
        <v>1956</v>
      </c>
      <c r="M255" s="303" t="s">
        <v>2019</v>
      </c>
      <c r="N255" s="303" t="s">
        <v>1987</v>
      </c>
      <c r="O255" s="303" t="s">
        <v>1986</v>
      </c>
      <c r="P255" s="328">
        <v>43224</v>
      </c>
      <c r="Q255" s="303" t="s">
        <v>1952</v>
      </c>
      <c r="R255" s="303">
        <f t="shared" si="7"/>
        <v>0</v>
      </c>
      <c r="S255" s="303">
        <v>0</v>
      </c>
    </row>
    <row r="256" spans="1:19" x14ac:dyDescent="0.25">
      <c r="A256" s="303" t="s">
        <v>3270</v>
      </c>
      <c r="B256" s="303" t="s">
        <v>3269</v>
      </c>
      <c r="C256" s="328">
        <v>43224</v>
      </c>
      <c r="D256" s="303" t="s">
        <v>1961</v>
      </c>
      <c r="E256" s="303" t="s">
        <v>1960</v>
      </c>
      <c r="F256" s="303" t="s">
        <v>1836</v>
      </c>
      <c r="G256" s="303" t="s">
        <v>1424</v>
      </c>
      <c r="H256" s="303" t="s">
        <v>1956</v>
      </c>
      <c r="I256" s="304">
        <v>-40000</v>
      </c>
      <c r="J256" s="303" t="s">
        <v>1967</v>
      </c>
      <c r="K256" s="303" t="s">
        <v>1424</v>
      </c>
      <c r="L256" s="303" t="s">
        <v>1956</v>
      </c>
      <c r="M256" s="303" t="s">
        <v>2019</v>
      </c>
      <c r="N256" s="303" t="s">
        <v>1987</v>
      </c>
      <c r="O256" s="303" t="s">
        <v>1986</v>
      </c>
      <c r="P256" s="328">
        <v>43224</v>
      </c>
      <c r="Q256" s="303" t="s">
        <v>1952</v>
      </c>
      <c r="R256" s="303">
        <f t="shared" si="7"/>
        <v>0</v>
      </c>
      <c r="S256" s="303">
        <v>0</v>
      </c>
    </row>
    <row r="257" spans="1:19" x14ac:dyDescent="0.25">
      <c r="A257" s="303" t="s">
        <v>3268</v>
      </c>
      <c r="B257" s="303" t="s">
        <v>3267</v>
      </c>
      <c r="C257" s="328">
        <v>43224</v>
      </c>
      <c r="D257" s="303" t="s">
        <v>1965</v>
      </c>
      <c r="E257" s="303" t="s">
        <v>1964</v>
      </c>
      <c r="F257" s="303" t="s">
        <v>1967</v>
      </c>
      <c r="G257" s="303" t="s">
        <v>1481</v>
      </c>
      <c r="H257" s="303" t="s">
        <v>1956</v>
      </c>
      <c r="I257" s="304">
        <v>72874</v>
      </c>
      <c r="J257" s="303" t="s">
        <v>1743</v>
      </c>
      <c r="K257" s="303" t="s">
        <v>1481</v>
      </c>
      <c r="L257" s="303" t="s">
        <v>1956</v>
      </c>
      <c r="M257" s="303" t="s">
        <v>2267</v>
      </c>
      <c r="N257" s="303" t="s">
        <v>1987</v>
      </c>
      <c r="O257" s="303" t="s">
        <v>1986</v>
      </c>
      <c r="P257" s="328">
        <v>43224</v>
      </c>
      <c r="Q257" s="303" t="s">
        <v>1952</v>
      </c>
      <c r="R257" s="303">
        <f t="shared" si="7"/>
        <v>0</v>
      </c>
      <c r="S257" s="303">
        <v>0</v>
      </c>
    </row>
    <row r="258" spans="1:19" x14ac:dyDescent="0.25">
      <c r="A258" s="303" t="s">
        <v>3268</v>
      </c>
      <c r="B258" s="303" t="s">
        <v>3267</v>
      </c>
      <c r="C258" s="328">
        <v>43224</v>
      </c>
      <c r="D258" s="303" t="s">
        <v>1961</v>
      </c>
      <c r="E258" s="303" t="s">
        <v>1960</v>
      </c>
      <c r="F258" s="303" t="s">
        <v>1967</v>
      </c>
      <c r="G258" s="303" t="s">
        <v>1481</v>
      </c>
      <c r="H258" s="303" t="s">
        <v>1956</v>
      </c>
      <c r="I258" s="304">
        <v>-72874</v>
      </c>
      <c r="J258" s="303" t="s">
        <v>1743</v>
      </c>
      <c r="K258" s="303" t="s">
        <v>1481</v>
      </c>
      <c r="L258" s="303" t="s">
        <v>1956</v>
      </c>
      <c r="M258" s="303" t="s">
        <v>2267</v>
      </c>
      <c r="N258" s="303" t="s">
        <v>1987</v>
      </c>
      <c r="O258" s="303" t="s">
        <v>1986</v>
      </c>
      <c r="P258" s="328">
        <v>43224</v>
      </c>
      <c r="Q258" s="303" t="s">
        <v>1952</v>
      </c>
      <c r="R258" s="303">
        <f t="shared" si="7"/>
        <v>0</v>
      </c>
      <c r="S258" s="303">
        <v>0</v>
      </c>
    </row>
    <row r="259" spans="1:19" x14ac:dyDescent="0.25">
      <c r="A259" s="303" t="s">
        <v>3266</v>
      </c>
      <c r="B259" s="303" t="s">
        <v>3265</v>
      </c>
      <c r="C259" s="328">
        <v>43224</v>
      </c>
      <c r="D259" s="303" t="s">
        <v>1965</v>
      </c>
      <c r="E259" s="303" t="s">
        <v>1964</v>
      </c>
      <c r="F259" s="303" t="s">
        <v>1958</v>
      </c>
      <c r="G259" s="303" t="s">
        <v>1957</v>
      </c>
      <c r="H259" s="303" t="s">
        <v>1956</v>
      </c>
      <c r="I259" s="304">
        <v>17126</v>
      </c>
      <c r="J259" s="303" t="s">
        <v>1743</v>
      </c>
      <c r="K259" s="303" t="s">
        <v>1481</v>
      </c>
      <c r="L259" s="303" t="s">
        <v>1956</v>
      </c>
      <c r="M259" s="303" t="s">
        <v>2270</v>
      </c>
      <c r="N259" s="303" t="s">
        <v>1987</v>
      </c>
      <c r="O259" s="303" t="s">
        <v>1986</v>
      </c>
      <c r="P259" s="328">
        <v>43224</v>
      </c>
      <c r="Q259" s="303" t="s">
        <v>1952</v>
      </c>
      <c r="R259" s="303">
        <f t="shared" ref="R259:R322" si="8">IF(OR(M259="transfert de B vers A",M259="transfert de B vers D",M259="transfert de A vers B",M259="transfert de D vers B",M259="carryover 2017 -&gt; 2018",IF(ISERR(SEARCH("fidélité",M259)),FALSE,TRUE),M259="Fermeture STI-FORM",M259="répartition AE/AC"),0,1)</f>
        <v>0</v>
      </c>
      <c r="S259" s="303">
        <v>0</v>
      </c>
    </row>
    <row r="260" spans="1:19" x14ac:dyDescent="0.25">
      <c r="A260" s="303" t="s">
        <v>3266</v>
      </c>
      <c r="B260" s="303" t="s">
        <v>3265</v>
      </c>
      <c r="C260" s="328">
        <v>43224</v>
      </c>
      <c r="D260" s="303" t="s">
        <v>1961</v>
      </c>
      <c r="E260" s="303" t="s">
        <v>1960</v>
      </c>
      <c r="F260" s="303" t="s">
        <v>1958</v>
      </c>
      <c r="G260" s="303" t="s">
        <v>1957</v>
      </c>
      <c r="H260" s="303" t="s">
        <v>1956</v>
      </c>
      <c r="I260" s="304">
        <v>-17126</v>
      </c>
      <c r="J260" s="303" t="s">
        <v>1743</v>
      </c>
      <c r="K260" s="303" t="s">
        <v>1481</v>
      </c>
      <c r="L260" s="303" t="s">
        <v>1956</v>
      </c>
      <c r="M260" s="303" t="s">
        <v>2270</v>
      </c>
      <c r="N260" s="303" t="s">
        <v>1987</v>
      </c>
      <c r="O260" s="303" t="s">
        <v>1986</v>
      </c>
      <c r="P260" s="328">
        <v>43224</v>
      </c>
      <c r="Q260" s="303" t="s">
        <v>1952</v>
      </c>
      <c r="R260" s="303">
        <f t="shared" si="8"/>
        <v>0</v>
      </c>
      <c r="S260" s="303">
        <v>0</v>
      </c>
    </row>
    <row r="261" spans="1:19" x14ac:dyDescent="0.25">
      <c r="A261" s="303" t="s">
        <v>3264</v>
      </c>
      <c r="B261" s="303" t="s">
        <v>3263</v>
      </c>
      <c r="C261" s="328">
        <v>43224</v>
      </c>
      <c r="D261" s="303" t="s">
        <v>1965</v>
      </c>
      <c r="E261" s="303" t="s">
        <v>1964</v>
      </c>
      <c r="F261" s="303" t="s">
        <v>1958</v>
      </c>
      <c r="G261" s="303" t="s">
        <v>1957</v>
      </c>
      <c r="H261" s="303" t="s">
        <v>1956</v>
      </c>
      <c r="I261" s="304">
        <v>287</v>
      </c>
      <c r="J261" s="303" t="s">
        <v>1735</v>
      </c>
      <c r="K261" s="303" t="s">
        <v>1490</v>
      </c>
      <c r="L261" s="303" t="s">
        <v>1956</v>
      </c>
      <c r="M261" s="303" t="s">
        <v>2270</v>
      </c>
      <c r="N261" s="303" t="s">
        <v>1987</v>
      </c>
      <c r="O261" s="303" t="s">
        <v>1986</v>
      </c>
      <c r="P261" s="328">
        <v>43224</v>
      </c>
      <c r="Q261" s="303" t="s">
        <v>1952</v>
      </c>
      <c r="R261" s="303">
        <f t="shared" si="8"/>
        <v>0</v>
      </c>
      <c r="S261" s="303">
        <v>0</v>
      </c>
    </row>
    <row r="262" spans="1:19" x14ac:dyDescent="0.25">
      <c r="A262" s="303" t="s">
        <v>3264</v>
      </c>
      <c r="B262" s="303" t="s">
        <v>3263</v>
      </c>
      <c r="C262" s="328">
        <v>43224</v>
      </c>
      <c r="D262" s="303" t="s">
        <v>1961</v>
      </c>
      <c r="E262" s="303" t="s">
        <v>1960</v>
      </c>
      <c r="F262" s="303" t="s">
        <v>1958</v>
      </c>
      <c r="G262" s="303" t="s">
        <v>1957</v>
      </c>
      <c r="H262" s="303" t="s">
        <v>1956</v>
      </c>
      <c r="I262" s="304">
        <v>-287</v>
      </c>
      <c r="J262" s="303" t="s">
        <v>1735</v>
      </c>
      <c r="K262" s="303" t="s">
        <v>1490</v>
      </c>
      <c r="L262" s="303" t="s">
        <v>1956</v>
      </c>
      <c r="M262" s="303" t="s">
        <v>2270</v>
      </c>
      <c r="N262" s="303" t="s">
        <v>1987</v>
      </c>
      <c r="O262" s="303" t="s">
        <v>1986</v>
      </c>
      <c r="P262" s="328">
        <v>43224</v>
      </c>
      <c r="Q262" s="303" t="s">
        <v>1952</v>
      </c>
      <c r="R262" s="303">
        <f t="shared" si="8"/>
        <v>0</v>
      </c>
      <c r="S262" s="303">
        <v>0</v>
      </c>
    </row>
    <row r="263" spans="1:19" x14ac:dyDescent="0.25">
      <c r="A263" s="303" t="s">
        <v>3262</v>
      </c>
      <c r="B263" s="303" t="s">
        <v>3261</v>
      </c>
      <c r="C263" s="328">
        <v>43224</v>
      </c>
      <c r="D263" s="303" t="s">
        <v>1965</v>
      </c>
      <c r="E263" s="303" t="s">
        <v>1964</v>
      </c>
      <c r="F263" s="303" t="s">
        <v>1967</v>
      </c>
      <c r="G263" s="303" t="s">
        <v>1490</v>
      </c>
      <c r="H263" s="303" t="s">
        <v>1956</v>
      </c>
      <c r="I263" s="304">
        <v>1222</v>
      </c>
      <c r="J263" s="303" t="s">
        <v>1735</v>
      </c>
      <c r="K263" s="303" t="s">
        <v>1490</v>
      </c>
      <c r="L263" s="303" t="s">
        <v>1956</v>
      </c>
      <c r="M263" s="303" t="s">
        <v>2267</v>
      </c>
      <c r="N263" s="303" t="s">
        <v>1987</v>
      </c>
      <c r="O263" s="303" t="s">
        <v>1986</v>
      </c>
      <c r="P263" s="328">
        <v>43224</v>
      </c>
      <c r="Q263" s="303" t="s">
        <v>1952</v>
      </c>
      <c r="R263" s="303">
        <f t="shared" si="8"/>
        <v>0</v>
      </c>
      <c r="S263" s="303">
        <v>0</v>
      </c>
    </row>
    <row r="264" spans="1:19" x14ac:dyDescent="0.25">
      <c r="A264" s="303" t="s">
        <v>3262</v>
      </c>
      <c r="B264" s="303" t="s">
        <v>3261</v>
      </c>
      <c r="C264" s="328">
        <v>43224</v>
      </c>
      <c r="D264" s="303" t="s">
        <v>1961</v>
      </c>
      <c r="E264" s="303" t="s">
        <v>1960</v>
      </c>
      <c r="F264" s="303" t="s">
        <v>1967</v>
      </c>
      <c r="G264" s="303" t="s">
        <v>1490</v>
      </c>
      <c r="H264" s="303" t="s">
        <v>1956</v>
      </c>
      <c r="I264" s="304">
        <v>-1222</v>
      </c>
      <c r="J264" s="303" t="s">
        <v>1735</v>
      </c>
      <c r="K264" s="303" t="s">
        <v>1490</v>
      </c>
      <c r="L264" s="303" t="s">
        <v>1956</v>
      </c>
      <c r="M264" s="303" t="s">
        <v>2267</v>
      </c>
      <c r="N264" s="303" t="s">
        <v>1987</v>
      </c>
      <c r="O264" s="303" t="s">
        <v>1986</v>
      </c>
      <c r="P264" s="328">
        <v>43224</v>
      </c>
      <c r="Q264" s="303" t="s">
        <v>1952</v>
      </c>
      <c r="R264" s="303">
        <f t="shared" si="8"/>
        <v>0</v>
      </c>
      <c r="S264" s="303">
        <v>0</v>
      </c>
    </row>
    <row r="265" spans="1:19" x14ac:dyDescent="0.25">
      <c r="A265" s="303" t="s">
        <v>3260</v>
      </c>
      <c r="B265" s="303" t="s">
        <v>3259</v>
      </c>
      <c r="C265" s="328">
        <v>43224</v>
      </c>
      <c r="D265" s="303" t="s">
        <v>1965</v>
      </c>
      <c r="E265" s="303" t="s">
        <v>1964</v>
      </c>
      <c r="F265" s="303" t="s">
        <v>1725</v>
      </c>
      <c r="G265" s="303" t="s">
        <v>1505</v>
      </c>
      <c r="H265" s="303" t="s">
        <v>1956</v>
      </c>
      <c r="I265" s="304">
        <v>35881</v>
      </c>
      <c r="J265" s="303" t="s">
        <v>1846</v>
      </c>
      <c r="K265" s="303" t="s">
        <v>1959</v>
      </c>
      <c r="L265" s="303" t="s">
        <v>1956</v>
      </c>
      <c r="M265" s="303" t="s">
        <v>3258</v>
      </c>
      <c r="N265" s="303" t="s">
        <v>1987</v>
      </c>
      <c r="O265" s="303" t="s">
        <v>1986</v>
      </c>
      <c r="P265" s="328">
        <v>43224</v>
      </c>
      <c r="Q265" s="303" t="s">
        <v>1952</v>
      </c>
      <c r="R265" s="303">
        <f t="shared" si="8"/>
        <v>1</v>
      </c>
      <c r="S265" s="303">
        <v>1</v>
      </c>
    </row>
    <row r="266" spans="1:19" x14ac:dyDescent="0.25">
      <c r="A266" s="303" t="s">
        <v>3260</v>
      </c>
      <c r="B266" s="303" t="s">
        <v>3259</v>
      </c>
      <c r="C266" s="328">
        <v>43224</v>
      </c>
      <c r="D266" s="303" t="s">
        <v>1961</v>
      </c>
      <c r="E266" s="303" t="s">
        <v>1960</v>
      </c>
      <c r="F266" s="303" t="s">
        <v>1725</v>
      </c>
      <c r="G266" s="303" t="s">
        <v>1505</v>
      </c>
      <c r="H266" s="303" t="s">
        <v>1956</v>
      </c>
      <c r="I266" s="304">
        <v>-35881</v>
      </c>
      <c r="J266" s="303" t="s">
        <v>1846</v>
      </c>
      <c r="K266" s="303" t="s">
        <v>1959</v>
      </c>
      <c r="L266" s="303" t="s">
        <v>1956</v>
      </c>
      <c r="M266" s="303" t="s">
        <v>3258</v>
      </c>
      <c r="N266" s="303" t="s">
        <v>1987</v>
      </c>
      <c r="O266" s="303" t="s">
        <v>1986</v>
      </c>
      <c r="P266" s="328">
        <v>43224</v>
      </c>
      <c r="Q266" s="303" t="s">
        <v>1952</v>
      </c>
      <c r="R266" s="303">
        <f t="shared" si="8"/>
        <v>1</v>
      </c>
      <c r="S266" s="303">
        <v>1</v>
      </c>
    </row>
    <row r="267" spans="1:19" x14ac:dyDescent="0.25">
      <c r="A267" s="303" t="s">
        <v>3257</v>
      </c>
      <c r="B267" s="303" t="s">
        <v>3256</v>
      </c>
      <c r="C267" s="328">
        <v>43227</v>
      </c>
      <c r="D267" s="303" t="s">
        <v>1965</v>
      </c>
      <c r="E267" s="303" t="s">
        <v>1964</v>
      </c>
      <c r="F267" s="303" t="s">
        <v>1621</v>
      </c>
      <c r="G267" s="303" t="s">
        <v>1597</v>
      </c>
      <c r="H267" s="303" t="s">
        <v>1956</v>
      </c>
      <c r="I267" s="304">
        <v>11452</v>
      </c>
      <c r="J267" s="303" t="s">
        <v>1609</v>
      </c>
      <c r="K267" s="303" t="s">
        <v>1609</v>
      </c>
      <c r="L267" s="303" t="s">
        <v>1609</v>
      </c>
      <c r="M267" s="303" t="s">
        <v>3255</v>
      </c>
      <c r="N267" s="303" t="s">
        <v>2031</v>
      </c>
      <c r="O267" s="303" t="s">
        <v>2030</v>
      </c>
      <c r="P267" s="328">
        <v>43227</v>
      </c>
      <c r="Q267" s="303" t="s">
        <v>1952</v>
      </c>
      <c r="R267" s="303">
        <f t="shared" si="8"/>
        <v>1</v>
      </c>
      <c r="S267" s="303">
        <v>1</v>
      </c>
    </row>
    <row r="268" spans="1:19" x14ac:dyDescent="0.25">
      <c r="A268" s="303" t="s">
        <v>3254</v>
      </c>
      <c r="B268" s="303" t="s">
        <v>3253</v>
      </c>
      <c r="C268" s="328">
        <v>43227</v>
      </c>
      <c r="D268" s="303" t="s">
        <v>1965</v>
      </c>
      <c r="E268" s="303" t="s">
        <v>1964</v>
      </c>
      <c r="F268" s="303" t="s">
        <v>1737</v>
      </c>
      <c r="G268" s="303" t="s">
        <v>1487</v>
      </c>
      <c r="H268" s="303" t="s">
        <v>1956</v>
      </c>
      <c r="I268" s="304">
        <v>10000</v>
      </c>
      <c r="J268" s="303" t="s">
        <v>1609</v>
      </c>
      <c r="K268" s="303" t="s">
        <v>1609</v>
      </c>
      <c r="L268" s="303" t="s">
        <v>1609</v>
      </c>
      <c r="M268" s="303" t="s">
        <v>3252</v>
      </c>
      <c r="N268" s="303" t="s">
        <v>2031</v>
      </c>
      <c r="O268" s="303" t="s">
        <v>2030</v>
      </c>
      <c r="P268" s="328">
        <v>43227</v>
      </c>
      <c r="Q268" s="303" t="s">
        <v>1952</v>
      </c>
      <c r="R268" s="303">
        <f t="shared" si="8"/>
        <v>1</v>
      </c>
      <c r="S268" s="303">
        <v>1</v>
      </c>
    </row>
    <row r="269" spans="1:19" x14ac:dyDescent="0.25">
      <c r="A269" s="303" t="s">
        <v>3251</v>
      </c>
      <c r="B269" s="303" t="s">
        <v>3250</v>
      </c>
      <c r="C269" s="328">
        <v>43227</v>
      </c>
      <c r="D269" s="303" t="s">
        <v>1965</v>
      </c>
      <c r="E269" s="303" t="s">
        <v>1964</v>
      </c>
      <c r="F269" s="303" t="s">
        <v>1958</v>
      </c>
      <c r="G269" s="303" t="s">
        <v>1957</v>
      </c>
      <c r="H269" s="303" t="s">
        <v>1956</v>
      </c>
      <c r="I269" s="304">
        <v>57085</v>
      </c>
      <c r="J269" s="303" t="s">
        <v>1609</v>
      </c>
      <c r="K269" s="303" t="s">
        <v>1609</v>
      </c>
      <c r="L269" s="303" t="s">
        <v>1609</v>
      </c>
      <c r="M269" s="303" t="s">
        <v>3247</v>
      </c>
      <c r="N269" s="303" t="s">
        <v>2031</v>
      </c>
      <c r="O269" s="303" t="s">
        <v>2030</v>
      </c>
      <c r="P269" s="328">
        <v>43227</v>
      </c>
      <c r="Q269" s="303" t="s">
        <v>1952</v>
      </c>
      <c r="R269" s="303">
        <f t="shared" si="8"/>
        <v>1</v>
      </c>
      <c r="S269" s="303">
        <v>1</v>
      </c>
    </row>
    <row r="270" spans="1:19" x14ac:dyDescent="0.25">
      <c r="A270" s="303" t="s">
        <v>3249</v>
      </c>
      <c r="B270" s="303" t="s">
        <v>3248</v>
      </c>
      <c r="C270" s="328">
        <v>43227</v>
      </c>
      <c r="D270" s="303" t="s">
        <v>1965</v>
      </c>
      <c r="E270" s="303" t="s">
        <v>1964</v>
      </c>
      <c r="F270" s="303" t="s">
        <v>1967</v>
      </c>
      <c r="G270" s="303" t="s">
        <v>1959</v>
      </c>
      <c r="H270" s="303" t="s">
        <v>1956</v>
      </c>
      <c r="I270" s="304">
        <v>242915</v>
      </c>
      <c r="J270" s="303" t="s">
        <v>1609</v>
      </c>
      <c r="K270" s="303" t="s">
        <v>1609</v>
      </c>
      <c r="L270" s="303" t="s">
        <v>1609</v>
      </c>
      <c r="M270" s="303" t="s">
        <v>3247</v>
      </c>
      <c r="N270" s="303" t="s">
        <v>2031</v>
      </c>
      <c r="O270" s="303" t="s">
        <v>2030</v>
      </c>
      <c r="P270" s="328">
        <v>43227</v>
      </c>
      <c r="Q270" s="303" t="s">
        <v>1952</v>
      </c>
      <c r="R270" s="303">
        <f t="shared" si="8"/>
        <v>1</v>
      </c>
      <c r="S270" s="303">
        <v>1</v>
      </c>
    </row>
    <row r="271" spans="1:19" x14ac:dyDescent="0.25">
      <c r="A271" s="303" t="s">
        <v>3246</v>
      </c>
      <c r="B271" s="303" t="s">
        <v>3245</v>
      </c>
      <c r="C271" s="328">
        <v>43235</v>
      </c>
      <c r="D271" s="303" t="s">
        <v>1965</v>
      </c>
      <c r="E271" s="303" t="s">
        <v>1964</v>
      </c>
      <c r="F271" s="303" t="s">
        <v>1749</v>
      </c>
      <c r="G271" s="303" t="s">
        <v>2112</v>
      </c>
      <c r="H271" s="303" t="s">
        <v>1956</v>
      </c>
      <c r="I271" s="304">
        <v>12215</v>
      </c>
      <c r="J271" s="303" t="s">
        <v>1609</v>
      </c>
      <c r="K271" s="303" t="s">
        <v>1609</v>
      </c>
      <c r="L271" s="303" t="s">
        <v>1609</v>
      </c>
      <c r="M271" s="303" t="s">
        <v>3244</v>
      </c>
      <c r="N271" s="303" t="s">
        <v>2031</v>
      </c>
      <c r="O271" s="303" t="s">
        <v>2030</v>
      </c>
      <c r="P271" s="328">
        <v>43235</v>
      </c>
      <c r="Q271" s="303" t="s">
        <v>1952</v>
      </c>
      <c r="R271" s="303">
        <f t="shared" si="8"/>
        <v>1</v>
      </c>
      <c r="S271" s="303">
        <v>1</v>
      </c>
    </row>
    <row r="272" spans="1:19" x14ac:dyDescent="0.25">
      <c r="A272" s="303" t="s">
        <v>3243</v>
      </c>
      <c r="B272" s="303" t="s">
        <v>3242</v>
      </c>
      <c r="C272" s="328">
        <v>43235</v>
      </c>
      <c r="D272" s="303" t="s">
        <v>1965</v>
      </c>
      <c r="E272" s="303" t="s">
        <v>1964</v>
      </c>
      <c r="F272" s="303" t="s">
        <v>1906</v>
      </c>
      <c r="G272" s="303" t="s">
        <v>1391</v>
      </c>
      <c r="H272" s="303" t="s">
        <v>1956</v>
      </c>
      <c r="I272" s="304">
        <v>33400</v>
      </c>
      <c r="J272" s="303" t="s">
        <v>1609</v>
      </c>
      <c r="K272" s="303" t="s">
        <v>1609</v>
      </c>
      <c r="L272" s="303" t="s">
        <v>1609</v>
      </c>
      <c r="M272" s="303" t="s">
        <v>3241</v>
      </c>
      <c r="N272" s="303" t="s">
        <v>2031</v>
      </c>
      <c r="O272" s="303" t="s">
        <v>2030</v>
      </c>
      <c r="P272" s="328">
        <v>43235</v>
      </c>
      <c r="Q272" s="303" t="s">
        <v>1952</v>
      </c>
      <c r="R272" s="303">
        <f t="shared" si="8"/>
        <v>1</v>
      </c>
      <c r="S272" s="303">
        <v>1</v>
      </c>
    </row>
    <row r="273" spans="1:19" x14ac:dyDescent="0.25">
      <c r="A273" s="303" t="s">
        <v>3240</v>
      </c>
      <c r="B273" s="303" t="s">
        <v>3239</v>
      </c>
      <c r="C273" s="328">
        <v>43237</v>
      </c>
      <c r="D273" s="303" t="s">
        <v>1965</v>
      </c>
      <c r="E273" s="303" t="s">
        <v>1964</v>
      </c>
      <c r="F273" s="303" t="s">
        <v>1745</v>
      </c>
      <c r="G273" s="303" t="s">
        <v>1478</v>
      </c>
      <c r="H273" s="303" t="s">
        <v>1956</v>
      </c>
      <c r="I273" s="304">
        <v>11750</v>
      </c>
      <c r="J273" s="303" t="s">
        <v>1958</v>
      </c>
      <c r="K273" s="303" t="s">
        <v>1957</v>
      </c>
      <c r="L273" s="303" t="s">
        <v>1956</v>
      </c>
      <c r="M273" s="303" t="s">
        <v>2022</v>
      </c>
      <c r="N273" s="303" t="s">
        <v>1987</v>
      </c>
      <c r="O273" s="303" t="s">
        <v>1986</v>
      </c>
      <c r="P273" s="328">
        <v>43237</v>
      </c>
      <c r="Q273" s="303" t="s">
        <v>1952</v>
      </c>
      <c r="R273" s="303">
        <f t="shared" si="8"/>
        <v>0</v>
      </c>
      <c r="S273" s="303">
        <v>0</v>
      </c>
    </row>
    <row r="274" spans="1:19" x14ac:dyDescent="0.25">
      <c r="A274" s="303" t="s">
        <v>3240</v>
      </c>
      <c r="B274" s="303" t="s">
        <v>3239</v>
      </c>
      <c r="C274" s="328">
        <v>43237</v>
      </c>
      <c r="D274" s="303" t="s">
        <v>1961</v>
      </c>
      <c r="E274" s="303" t="s">
        <v>1960</v>
      </c>
      <c r="F274" s="303" t="s">
        <v>1745</v>
      </c>
      <c r="G274" s="303" t="s">
        <v>1478</v>
      </c>
      <c r="H274" s="303" t="s">
        <v>1956</v>
      </c>
      <c r="I274" s="304">
        <v>-11750</v>
      </c>
      <c r="J274" s="303" t="s">
        <v>1958</v>
      </c>
      <c r="K274" s="303" t="s">
        <v>1957</v>
      </c>
      <c r="L274" s="303" t="s">
        <v>1956</v>
      </c>
      <c r="M274" s="303" t="s">
        <v>2022</v>
      </c>
      <c r="N274" s="303" t="s">
        <v>1987</v>
      </c>
      <c r="O274" s="303" t="s">
        <v>1986</v>
      </c>
      <c r="P274" s="328">
        <v>43237</v>
      </c>
      <c r="Q274" s="303" t="s">
        <v>1952</v>
      </c>
      <c r="R274" s="303">
        <f t="shared" si="8"/>
        <v>0</v>
      </c>
      <c r="S274" s="303">
        <v>0</v>
      </c>
    </row>
    <row r="275" spans="1:19" x14ac:dyDescent="0.25">
      <c r="A275" s="303" t="s">
        <v>3238</v>
      </c>
      <c r="B275" s="303" t="s">
        <v>3237</v>
      </c>
      <c r="C275" s="328">
        <v>43237</v>
      </c>
      <c r="D275" s="303" t="s">
        <v>1965</v>
      </c>
      <c r="E275" s="303" t="s">
        <v>1964</v>
      </c>
      <c r="F275" s="303" t="s">
        <v>1745</v>
      </c>
      <c r="G275" s="303" t="s">
        <v>1478</v>
      </c>
      <c r="H275" s="303" t="s">
        <v>1956</v>
      </c>
      <c r="I275" s="304">
        <v>50000</v>
      </c>
      <c r="J275" s="303" t="s">
        <v>1967</v>
      </c>
      <c r="K275" s="303" t="s">
        <v>1478</v>
      </c>
      <c r="L275" s="303" t="s">
        <v>1956</v>
      </c>
      <c r="M275" s="303" t="s">
        <v>2019</v>
      </c>
      <c r="N275" s="303" t="s">
        <v>1987</v>
      </c>
      <c r="O275" s="303" t="s">
        <v>1986</v>
      </c>
      <c r="P275" s="328">
        <v>43237</v>
      </c>
      <c r="Q275" s="303" t="s">
        <v>1952</v>
      </c>
      <c r="R275" s="303">
        <f t="shared" si="8"/>
        <v>0</v>
      </c>
      <c r="S275" s="303">
        <v>0</v>
      </c>
    </row>
    <row r="276" spans="1:19" x14ac:dyDescent="0.25">
      <c r="A276" s="303" t="s">
        <v>3238</v>
      </c>
      <c r="B276" s="303" t="s">
        <v>3237</v>
      </c>
      <c r="C276" s="328">
        <v>43237</v>
      </c>
      <c r="D276" s="303" t="s">
        <v>1961</v>
      </c>
      <c r="E276" s="303" t="s">
        <v>1960</v>
      </c>
      <c r="F276" s="303" t="s">
        <v>1745</v>
      </c>
      <c r="G276" s="303" t="s">
        <v>1478</v>
      </c>
      <c r="H276" s="303" t="s">
        <v>1956</v>
      </c>
      <c r="I276" s="304">
        <v>-50000</v>
      </c>
      <c r="J276" s="303" t="s">
        <v>1967</v>
      </c>
      <c r="K276" s="303" t="s">
        <v>1478</v>
      </c>
      <c r="L276" s="303" t="s">
        <v>1956</v>
      </c>
      <c r="M276" s="303" t="s">
        <v>2019</v>
      </c>
      <c r="N276" s="303" t="s">
        <v>1987</v>
      </c>
      <c r="O276" s="303" t="s">
        <v>1986</v>
      </c>
      <c r="P276" s="328">
        <v>43237</v>
      </c>
      <c r="Q276" s="303" t="s">
        <v>1952</v>
      </c>
      <c r="R276" s="303">
        <f t="shared" si="8"/>
        <v>0</v>
      </c>
      <c r="S276" s="303">
        <v>0</v>
      </c>
    </row>
    <row r="277" spans="1:19" x14ac:dyDescent="0.25">
      <c r="A277" s="303" t="s">
        <v>3236</v>
      </c>
      <c r="B277" s="303" t="s">
        <v>3235</v>
      </c>
      <c r="C277" s="328">
        <v>43248</v>
      </c>
      <c r="D277" s="303" t="s">
        <v>1965</v>
      </c>
      <c r="E277" s="303" t="s">
        <v>1964</v>
      </c>
      <c r="F277" s="303" t="s">
        <v>1914</v>
      </c>
      <c r="G277" s="303" t="s">
        <v>1379</v>
      </c>
      <c r="H277" s="303" t="s">
        <v>1956</v>
      </c>
      <c r="I277" s="304">
        <v>15229</v>
      </c>
      <c r="J277" s="303" t="s">
        <v>1852</v>
      </c>
      <c r="K277" s="303" t="s">
        <v>1957</v>
      </c>
      <c r="L277" s="303" t="s">
        <v>1956</v>
      </c>
      <c r="M277" s="303" t="s">
        <v>3234</v>
      </c>
      <c r="N277" s="303" t="s">
        <v>1987</v>
      </c>
      <c r="O277" s="303" t="s">
        <v>1986</v>
      </c>
      <c r="P277" s="328">
        <v>43248</v>
      </c>
      <c r="Q277" s="303" t="s">
        <v>1952</v>
      </c>
      <c r="R277" s="303">
        <f t="shared" si="8"/>
        <v>1</v>
      </c>
      <c r="S277" s="303">
        <v>1</v>
      </c>
    </row>
    <row r="278" spans="1:19" x14ac:dyDescent="0.25">
      <c r="A278" s="303" t="s">
        <v>3236</v>
      </c>
      <c r="B278" s="303" t="s">
        <v>3235</v>
      </c>
      <c r="C278" s="328">
        <v>43248</v>
      </c>
      <c r="D278" s="303" t="s">
        <v>1961</v>
      </c>
      <c r="E278" s="303" t="s">
        <v>1960</v>
      </c>
      <c r="F278" s="303" t="s">
        <v>1914</v>
      </c>
      <c r="G278" s="303" t="s">
        <v>1379</v>
      </c>
      <c r="H278" s="303" t="s">
        <v>1956</v>
      </c>
      <c r="I278" s="304">
        <v>-15229</v>
      </c>
      <c r="J278" s="303" t="s">
        <v>1852</v>
      </c>
      <c r="K278" s="303" t="s">
        <v>1957</v>
      </c>
      <c r="L278" s="303" t="s">
        <v>1956</v>
      </c>
      <c r="M278" s="303" t="s">
        <v>3234</v>
      </c>
      <c r="N278" s="303" t="s">
        <v>1987</v>
      </c>
      <c r="O278" s="303" t="s">
        <v>1986</v>
      </c>
      <c r="P278" s="328">
        <v>43248</v>
      </c>
      <c r="Q278" s="303" t="s">
        <v>1952</v>
      </c>
      <c r="R278" s="303">
        <f t="shared" si="8"/>
        <v>1</v>
      </c>
      <c r="S278" s="303">
        <v>1</v>
      </c>
    </row>
    <row r="279" spans="1:19" x14ac:dyDescent="0.25">
      <c r="A279" s="303" t="s">
        <v>3233</v>
      </c>
      <c r="B279" s="303" t="s">
        <v>3232</v>
      </c>
      <c r="C279" s="328">
        <v>43248</v>
      </c>
      <c r="D279" s="303" t="s">
        <v>1965</v>
      </c>
      <c r="E279" s="303" t="s">
        <v>1964</v>
      </c>
      <c r="F279" s="303" t="s">
        <v>1989</v>
      </c>
      <c r="G279" s="303" t="s">
        <v>1370</v>
      </c>
      <c r="H279" s="303" t="s">
        <v>1956</v>
      </c>
      <c r="I279" s="304">
        <v>48955</v>
      </c>
      <c r="J279" s="303" t="s">
        <v>1928</v>
      </c>
      <c r="K279" s="303" t="s">
        <v>1370</v>
      </c>
      <c r="L279" s="303" t="s">
        <v>1956</v>
      </c>
      <c r="M279" s="303" t="s">
        <v>3231</v>
      </c>
      <c r="N279" s="303" t="s">
        <v>1987</v>
      </c>
      <c r="O279" s="303" t="s">
        <v>1986</v>
      </c>
      <c r="P279" s="328">
        <v>43248</v>
      </c>
      <c r="Q279" s="303" t="s">
        <v>1952</v>
      </c>
      <c r="R279" s="303">
        <f t="shared" si="8"/>
        <v>1</v>
      </c>
      <c r="S279" s="303">
        <v>0</v>
      </c>
    </row>
    <row r="280" spans="1:19" x14ac:dyDescent="0.25">
      <c r="A280" s="303" t="s">
        <v>3233</v>
      </c>
      <c r="B280" s="303" t="s">
        <v>3232</v>
      </c>
      <c r="C280" s="328">
        <v>43248</v>
      </c>
      <c r="D280" s="303" t="s">
        <v>1961</v>
      </c>
      <c r="E280" s="303" t="s">
        <v>1960</v>
      </c>
      <c r="F280" s="303" t="s">
        <v>1989</v>
      </c>
      <c r="G280" s="303" t="s">
        <v>1370</v>
      </c>
      <c r="H280" s="303" t="s">
        <v>1956</v>
      </c>
      <c r="I280" s="304">
        <v>-48955</v>
      </c>
      <c r="J280" s="303" t="s">
        <v>1928</v>
      </c>
      <c r="K280" s="303" t="s">
        <v>1370</v>
      </c>
      <c r="L280" s="303" t="s">
        <v>1956</v>
      </c>
      <c r="M280" s="303" t="s">
        <v>3231</v>
      </c>
      <c r="N280" s="303" t="s">
        <v>1987</v>
      </c>
      <c r="O280" s="303" t="s">
        <v>1986</v>
      </c>
      <c r="P280" s="328">
        <v>43248</v>
      </c>
      <c r="Q280" s="303" t="s">
        <v>1952</v>
      </c>
      <c r="R280" s="303">
        <f t="shared" si="8"/>
        <v>1</v>
      </c>
      <c r="S280" s="303">
        <v>0</v>
      </c>
    </row>
    <row r="281" spans="1:19" x14ac:dyDescent="0.25">
      <c r="A281" s="303" t="s">
        <v>3230</v>
      </c>
      <c r="B281" s="303" t="s">
        <v>3229</v>
      </c>
      <c r="C281" s="328">
        <v>43249</v>
      </c>
      <c r="D281" s="303" t="s">
        <v>1965</v>
      </c>
      <c r="E281" s="303" t="s">
        <v>1964</v>
      </c>
      <c r="F281" s="303" t="s">
        <v>1687</v>
      </c>
      <c r="G281" s="303" t="s">
        <v>1540</v>
      </c>
      <c r="H281" s="303" t="s">
        <v>1956</v>
      </c>
      <c r="I281" s="304">
        <v>4700</v>
      </c>
      <c r="J281" s="303" t="s">
        <v>1958</v>
      </c>
      <c r="K281" s="303" t="s">
        <v>1957</v>
      </c>
      <c r="L281" s="303" t="s">
        <v>1956</v>
      </c>
      <c r="M281" s="303" t="s">
        <v>2022</v>
      </c>
      <c r="N281" s="303" t="s">
        <v>1987</v>
      </c>
      <c r="O281" s="303" t="s">
        <v>1986</v>
      </c>
      <c r="P281" s="328">
        <v>43249</v>
      </c>
      <c r="Q281" s="303" t="s">
        <v>1952</v>
      </c>
      <c r="R281" s="303">
        <f t="shared" si="8"/>
        <v>0</v>
      </c>
      <c r="S281" s="303">
        <v>0</v>
      </c>
    </row>
    <row r="282" spans="1:19" x14ac:dyDescent="0.25">
      <c r="A282" s="303" t="s">
        <v>3230</v>
      </c>
      <c r="B282" s="303" t="s">
        <v>3229</v>
      </c>
      <c r="C282" s="328">
        <v>43249</v>
      </c>
      <c r="D282" s="303" t="s">
        <v>1961</v>
      </c>
      <c r="E282" s="303" t="s">
        <v>1960</v>
      </c>
      <c r="F282" s="303" t="s">
        <v>1687</v>
      </c>
      <c r="G282" s="303" t="s">
        <v>1540</v>
      </c>
      <c r="H282" s="303" t="s">
        <v>1956</v>
      </c>
      <c r="I282" s="304">
        <v>-4700</v>
      </c>
      <c r="J282" s="303" t="s">
        <v>1958</v>
      </c>
      <c r="K282" s="303" t="s">
        <v>1957</v>
      </c>
      <c r="L282" s="303" t="s">
        <v>1956</v>
      </c>
      <c r="M282" s="303" t="s">
        <v>2022</v>
      </c>
      <c r="N282" s="303" t="s">
        <v>1987</v>
      </c>
      <c r="O282" s="303" t="s">
        <v>1986</v>
      </c>
      <c r="P282" s="328">
        <v>43249</v>
      </c>
      <c r="Q282" s="303" t="s">
        <v>1952</v>
      </c>
      <c r="R282" s="303">
        <f t="shared" si="8"/>
        <v>0</v>
      </c>
      <c r="S282" s="303">
        <v>0</v>
      </c>
    </row>
    <row r="283" spans="1:19" x14ac:dyDescent="0.25">
      <c r="A283" s="303" t="s">
        <v>3228</v>
      </c>
      <c r="B283" s="303" t="s">
        <v>3227</v>
      </c>
      <c r="C283" s="328">
        <v>43249</v>
      </c>
      <c r="D283" s="303" t="s">
        <v>1965</v>
      </c>
      <c r="E283" s="303" t="s">
        <v>1964</v>
      </c>
      <c r="F283" s="303" t="s">
        <v>1687</v>
      </c>
      <c r="G283" s="303" t="s">
        <v>1540</v>
      </c>
      <c r="H283" s="303" t="s">
        <v>1956</v>
      </c>
      <c r="I283" s="304">
        <v>20000</v>
      </c>
      <c r="J283" s="303" t="s">
        <v>1967</v>
      </c>
      <c r="K283" s="303" t="s">
        <v>1540</v>
      </c>
      <c r="L283" s="303" t="s">
        <v>1956</v>
      </c>
      <c r="M283" s="303" t="s">
        <v>2019</v>
      </c>
      <c r="N283" s="303" t="s">
        <v>1987</v>
      </c>
      <c r="O283" s="303" t="s">
        <v>1986</v>
      </c>
      <c r="P283" s="328">
        <v>43249</v>
      </c>
      <c r="Q283" s="303" t="s">
        <v>1952</v>
      </c>
      <c r="R283" s="303">
        <f t="shared" si="8"/>
        <v>0</v>
      </c>
      <c r="S283" s="303">
        <v>0</v>
      </c>
    </row>
    <row r="284" spans="1:19" x14ac:dyDescent="0.25">
      <c r="A284" s="303" t="s">
        <v>3228</v>
      </c>
      <c r="B284" s="303" t="s">
        <v>3227</v>
      </c>
      <c r="C284" s="328">
        <v>43249</v>
      </c>
      <c r="D284" s="303" t="s">
        <v>1961</v>
      </c>
      <c r="E284" s="303" t="s">
        <v>1960</v>
      </c>
      <c r="F284" s="303" t="s">
        <v>1687</v>
      </c>
      <c r="G284" s="303" t="s">
        <v>1540</v>
      </c>
      <c r="H284" s="303" t="s">
        <v>1956</v>
      </c>
      <c r="I284" s="304">
        <v>-20000</v>
      </c>
      <c r="J284" s="303" t="s">
        <v>1967</v>
      </c>
      <c r="K284" s="303" t="s">
        <v>1540</v>
      </c>
      <c r="L284" s="303" t="s">
        <v>1956</v>
      </c>
      <c r="M284" s="303" t="s">
        <v>2019</v>
      </c>
      <c r="N284" s="303" t="s">
        <v>1987</v>
      </c>
      <c r="O284" s="303" t="s">
        <v>1986</v>
      </c>
      <c r="P284" s="328">
        <v>43249</v>
      </c>
      <c r="Q284" s="303" t="s">
        <v>1952</v>
      </c>
      <c r="R284" s="303">
        <f t="shared" si="8"/>
        <v>0</v>
      </c>
      <c r="S284" s="303">
        <v>0</v>
      </c>
    </row>
    <row r="285" spans="1:19" x14ac:dyDescent="0.25">
      <c r="A285" s="303" t="s">
        <v>3226</v>
      </c>
      <c r="B285" s="303" t="s">
        <v>3225</v>
      </c>
      <c r="C285" s="328">
        <v>43252</v>
      </c>
      <c r="D285" s="303" t="s">
        <v>1965</v>
      </c>
      <c r="E285" s="303" t="s">
        <v>1964</v>
      </c>
      <c r="F285" s="303" t="s">
        <v>1807</v>
      </c>
      <c r="G285" s="303" t="s">
        <v>1448</v>
      </c>
      <c r="H285" s="303" t="s">
        <v>1956</v>
      </c>
      <c r="I285" s="304">
        <v>27656</v>
      </c>
      <c r="J285" s="303" t="s">
        <v>1958</v>
      </c>
      <c r="K285" s="303" t="s">
        <v>1957</v>
      </c>
      <c r="L285" s="303" t="s">
        <v>1956</v>
      </c>
      <c r="M285" s="303" t="s">
        <v>2022</v>
      </c>
      <c r="N285" s="303" t="s">
        <v>1987</v>
      </c>
      <c r="O285" s="303" t="s">
        <v>1986</v>
      </c>
      <c r="P285" s="328">
        <v>43252</v>
      </c>
      <c r="Q285" s="303" t="s">
        <v>1952</v>
      </c>
      <c r="R285" s="303">
        <f t="shared" si="8"/>
        <v>0</v>
      </c>
      <c r="S285" s="303">
        <v>0</v>
      </c>
    </row>
    <row r="286" spans="1:19" x14ac:dyDescent="0.25">
      <c r="A286" s="303" t="s">
        <v>3226</v>
      </c>
      <c r="B286" s="303" t="s">
        <v>3225</v>
      </c>
      <c r="C286" s="328">
        <v>43252</v>
      </c>
      <c r="D286" s="303" t="s">
        <v>1961</v>
      </c>
      <c r="E286" s="303" t="s">
        <v>1960</v>
      </c>
      <c r="F286" s="303" t="s">
        <v>1807</v>
      </c>
      <c r="G286" s="303" t="s">
        <v>1448</v>
      </c>
      <c r="H286" s="303" t="s">
        <v>1956</v>
      </c>
      <c r="I286" s="304">
        <v>-27656</v>
      </c>
      <c r="J286" s="303" t="s">
        <v>1958</v>
      </c>
      <c r="K286" s="303" t="s">
        <v>1957</v>
      </c>
      <c r="L286" s="303" t="s">
        <v>1956</v>
      </c>
      <c r="M286" s="303" t="s">
        <v>2022</v>
      </c>
      <c r="N286" s="303" t="s">
        <v>1987</v>
      </c>
      <c r="O286" s="303" t="s">
        <v>1986</v>
      </c>
      <c r="P286" s="328">
        <v>43252</v>
      </c>
      <c r="Q286" s="303" t="s">
        <v>1952</v>
      </c>
      <c r="R286" s="303">
        <f t="shared" si="8"/>
        <v>0</v>
      </c>
      <c r="S286" s="303">
        <v>0</v>
      </c>
    </row>
    <row r="287" spans="1:19" x14ac:dyDescent="0.25">
      <c r="A287" s="303" t="s">
        <v>3224</v>
      </c>
      <c r="B287" s="303" t="s">
        <v>3223</v>
      </c>
      <c r="C287" s="328">
        <v>43252</v>
      </c>
      <c r="D287" s="303" t="s">
        <v>1965</v>
      </c>
      <c r="E287" s="303" t="s">
        <v>1964</v>
      </c>
      <c r="F287" s="303" t="s">
        <v>1807</v>
      </c>
      <c r="G287" s="303" t="s">
        <v>1448</v>
      </c>
      <c r="H287" s="303" t="s">
        <v>1956</v>
      </c>
      <c r="I287" s="304">
        <v>117685</v>
      </c>
      <c r="J287" s="303" t="s">
        <v>1967</v>
      </c>
      <c r="K287" s="303" t="s">
        <v>1448</v>
      </c>
      <c r="L287" s="303" t="s">
        <v>1956</v>
      </c>
      <c r="M287" s="303" t="s">
        <v>2019</v>
      </c>
      <c r="N287" s="303" t="s">
        <v>1987</v>
      </c>
      <c r="O287" s="303" t="s">
        <v>1986</v>
      </c>
      <c r="P287" s="328">
        <v>43252</v>
      </c>
      <c r="Q287" s="303" t="s">
        <v>1952</v>
      </c>
      <c r="R287" s="303">
        <f t="shared" si="8"/>
        <v>0</v>
      </c>
      <c r="S287" s="303">
        <v>0</v>
      </c>
    </row>
    <row r="288" spans="1:19" x14ac:dyDescent="0.25">
      <c r="A288" s="303" t="s">
        <v>3224</v>
      </c>
      <c r="B288" s="303" t="s">
        <v>3223</v>
      </c>
      <c r="C288" s="328">
        <v>43252</v>
      </c>
      <c r="D288" s="303" t="s">
        <v>1961</v>
      </c>
      <c r="E288" s="303" t="s">
        <v>1960</v>
      </c>
      <c r="F288" s="303" t="s">
        <v>1807</v>
      </c>
      <c r="G288" s="303" t="s">
        <v>1448</v>
      </c>
      <c r="H288" s="303" t="s">
        <v>1956</v>
      </c>
      <c r="I288" s="304">
        <v>-117685</v>
      </c>
      <c r="J288" s="303" t="s">
        <v>1967</v>
      </c>
      <c r="K288" s="303" t="s">
        <v>1448</v>
      </c>
      <c r="L288" s="303" t="s">
        <v>1956</v>
      </c>
      <c r="M288" s="303" t="s">
        <v>2019</v>
      </c>
      <c r="N288" s="303" t="s">
        <v>1987</v>
      </c>
      <c r="O288" s="303" t="s">
        <v>1986</v>
      </c>
      <c r="P288" s="328">
        <v>43252</v>
      </c>
      <c r="Q288" s="303" t="s">
        <v>1952</v>
      </c>
      <c r="R288" s="303">
        <f t="shared" si="8"/>
        <v>0</v>
      </c>
      <c r="S288" s="303">
        <v>0</v>
      </c>
    </row>
    <row r="289" spans="1:19" x14ac:dyDescent="0.25">
      <c r="A289" s="303" t="s">
        <v>3222</v>
      </c>
      <c r="B289" s="303" t="s">
        <v>3221</v>
      </c>
      <c r="C289" s="328">
        <v>43252</v>
      </c>
      <c r="D289" s="303" t="s">
        <v>1965</v>
      </c>
      <c r="E289" s="303" t="s">
        <v>1964</v>
      </c>
      <c r="F289" s="303" t="s">
        <v>1697</v>
      </c>
      <c r="G289" s="303" t="s">
        <v>1529</v>
      </c>
      <c r="H289" s="303" t="s">
        <v>1956</v>
      </c>
      <c r="I289" s="304">
        <v>13453</v>
      </c>
      <c r="J289" s="303" t="s">
        <v>1958</v>
      </c>
      <c r="K289" s="303" t="s">
        <v>1957</v>
      </c>
      <c r="L289" s="303" t="s">
        <v>1956</v>
      </c>
      <c r="M289" s="303" t="s">
        <v>2022</v>
      </c>
      <c r="N289" s="303" t="s">
        <v>1987</v>
      </c>
      <c r="O289" s="303" t="s">
        <v>1986</v>
      </c>
      <c r="P289" s="328">
        <v>43252</v>
      </c>
      <c r="Q289" s="303" t="s">
        <v>1952</v>
      </c>
      <c r="R289" s="303">
        <f t="shared" si="8"/>
        <v>0</v>
      </c>
      <c r="S289" s="303">
        <v>0</v>
      </c>
    </row>
    <row r="290" spans="1:19" x14ac:dyDescent="0.25">
      <c r="A290" s="303" t="s">
        <v>3222</v>
      </c>
      <c r="B290" s="303" t="s">
        <v>3221</v>
      </c>
      <c r="C290" s="328">
        <v>43252</v>
      </c>
      <c r="D290" s="303" t="s">
        <v>1961</v>
      </c>
      <c r="E290" s="303" t="s">
        <v>1960</v>
      </c>
      <c r="F290" s="303" t="s">
        <v>1697</v>
      </c>
      <c r="G290" s="303" t="s">
        <v>1529</v>
      </c>
      <c r="H290" s="303" t="s">
        <v>1956</v>
      </c>
      <c r="I290" s="304">
        <v>-13453</v>
      </c>
      <c r="J290" s="303" t="s">
        <v>1958</v>
      </c>
      <c r="K290" s="303" t="s">
        <v>1957</v>
      </c>
      <c r="L290" s="303" t="s">
        <v>1956</v>
      </c>
      <c r="M290" s="303" t="s">
        <v>2022</v>
      </c>
      <c r="N290" s="303" t="s">
        <v>1987</v>
      </c>
      <c r="O290" s="303" t="s">
        <v>1986</v>
      </c>
      <c r="P290" s="328">
        <v>43252</v>
      </c>
      <c r="Q290" s="303" t="s">
        <v>1952</v>
      </c>
      <c r="R290" s="303">
        <f t="shared" si="8"/>
        <v>0</v>
      </c>
      <c r="S290" s="303">
        <v>0</v>
      </c>
    </row>
    <row r="291" spans="1:19" x14ac:dyDescent="0.25">
      <c r="A291" s="303" t="s">
        <v>3220</v>
      </c>
      <c r="B291" s="303" t="s">
        <v>3219</v>
      </c>
      <c r="C291" s="328">
        <v>43252</v>
      </c>
      <c r="D291" s="303" t="s">
        <v>1965</v>
      </c>
      <c r="E291" s="303" t="s">
        <v>1964</v>
      </c>
      <c r="F291" s="303" t="s">
        <v>1697</v>
      </c>
      <c r="G291" s="303" t="s">
        <v>1529</v>
      </c>
      <c r="H291" s="303" t="s">
        <v>1956</v>
      </c>
      <c r="I291" s="304">
        <v>57246</v>
      </c>
      <c r="J291" s="303" t="s">
        <v>1967</v>
      </c>
      <c r="K291" s="303" t="s">
        <v>1529</v>
      </c>
      <c r="L291" s="303" t="s">
        <v>1956</v>
      </c>
      <c r="M291" s="303" t="s">
        <v>2019</v>
      </c>
      <c r="N291" s="303" t="s">
        <v>1987</v>
      </c>
      <c r="O291" s="303" t="s">
        <v>1986</v>
      </c>
      <c r="P291" s="328">
        <v>43252</v>
      </c>
      <c r="Q291" s="303" t="s">
        <v>1952</v>
      </c>
      <c r="R291" s="303">
        <f t="shared" si="8"/>
        <v>0</v>
      </c>
      <c r="S291" s="303">
        <v>0</v>
      </c>
    </row>
    <row r="292" spans="1:19" x14ac:dyDescent="0.25">
      <c r="A292" s="303" t="s">
        <v>3220</v>
      </c>
      <c r="B292" s="303" t="s">
        <v>3219</v>
      </c>
      <c r="C292" s="328">
        <v>43252</v>
      </c>
      <c r="D292" s="303" t="s">
        <v>1961</v>
      </c>
      <c r="E292" s="303" t="s">
        <v>1960</v>
      </c>
      <c r="F292" s="303" t="s">
        <v>1697</v>
      </c>
      <c r="G292" s="303" t="s">
        <v>1529</v>
      </c>
      <c r="H292" s="303" t="s">
        <v>1956</v>
      </c>
      <c r="I292" s="304">
        <v>-57246</v>
      </c>
      <c r="J292" s="303" t="s">
        <v>1967</v>
      </c>
      <c r="K292" s="303" t="s">
        <v>1529</v>
      </c>
      <c r="L292" s="303" t="s">
        <v>1956</v>
      </c>
      <c r="M292" s="303" t="s">
        <v>2019</v>
      </c>
      <c r="N292" s="303" t="s">
        <v>1987</v>
      </c>
      <c r="O292" s="303" t="s">
        <v>1986</v>
      </c>
      <c r="P292" s="328">
        <v>43252</v>
      </c>
      <c r="Q292" s="303" t="s">
        <v>1952</v>
      </c>
      <c r="R292" s="303">
        <f t="shared" si="8"/>
        <v>0</v>
      </c>
      <c r="S292" s="303">
        <v>0</v>
      </c>
    </row>
    <row r="293" spans="1:19" x14ac:dyDescent="0.25">
      <c r="A293" s="303" t="s">
        <v>3218</v>
      </c>
      <c r="B293" s="303" t="s">
        <v>3217</v>
      </c>
      <c r="C293" s="328">
        <v>43257</v>
      </c>
      <c r="D293" s="303" t="s">
        <v>1961</v>
      </c>
      <c r="E293" s="303" t="s">
        <v>1960</v>
      </c>
      <c r="F293" s="303" t="s">
        <v>1609</v>
      </c>
      <c r="G293" s="303" t="s">
        <v>1609</v>
      </c>
      <c r="H293" s="303" t="s">
        <v>1609</v>
      </c>
      <c r="I293" s="304">
        <v>-1175</v>
      </c>
      <c r="J293" s="303" t="s">
        <v>1958</v>
      </c>
      <c r="K293" s="303" t="s">
        <v>1957</v>
      </c>
      <c r="L293" s="303" t="s">
        <v>1956</v>
      </c>
      <c r="M293" s="303" t="s">
        <v>3216</v>
      </c>
      <c r="N293" s="303" t="s">
        <v>1987</v>
      </c>
      <c r="O293" s="303" t="s">
        <v>1986</v>
      </c>
      <c r="P293" s="328">
        <v>43257</v>
      </c>
      <c r="Q293" s="303" t="s">
        <v>1952</v>
      </c>
      <c r="R293" s="303">
        <f t="shared" si="8"/>
        <v>1</v>
      </c>
      <c r="S293" s="303">
        <v>0</v>
      </c>
    </row>
    <row r="294" spans="1:19" x14ac:dyDescent="0.25">
      <c r="A294" s="303" t="s">
        <v>3215</v>
      </c>
      <c r="B294" s="303" t="s">
        <v>3214</v>
      </c>
      <c r="C294" s="328">
        <v>43257</v>
      </c>
      <c r="D294" s="303" t="s">
        <v>1961</v>
      </c>
      <c r="E294" s="303" t="s">
        <v>1960</v>
      </c>
      <c r="F294" s="303" t="s">
        <v>1609</v>
      </c>
      <c r="G294" s="303" t="s">
        <v>1609</v>
      </c>
      <c r="H294" s="303" t="s">
        <v>1609</v>
      </c>
      <c r="I294" s="304">
        <v>-5000</v>
      </c>
      <c r="J294" s="303" t="s">
        <v>1967</v>
      </c>
      <c r="K294" s="303" t="s">
        <v>1391</v>
      </c>
      <c r="L294" s="303" t="s">
        <v>1956</v>
      </c>
      <c r="M294" s="303" t="s">
        <v>3213</v>
      </c>
      <c r="N294" s="303" t="s">
        <v>1987</v>
      </c>
      <c r="O294" s="303" t="s">
        <v>1986</v>
      </c>
      <c r="P294" s="328">
        <v>43257</v>
      </c>
      <c r="Q294" s="303" t="s">
        <v>1952</v>
      </c>
      <c r="R294" s="303">
        <f t="shared" si="8"/>
        <v>1</v>
      </c>
      <c r="S294" s="303">
        <v>0</v>
      </c>
    </row>
    <row r="295" spans="1:19" x14ac:dyDescent="0.25">
      <c r="A295" s="303" t="s">
        <v>3212</v>
      </c>
      <c r="B295" s="303" t="s">
        <v>3211</v>
      </c>
      <c r="C295" s="328">
        <v>43258</v>
      </c>
      <c r="D295" s="303" t="s">
        <v>1965</v>
      </c>
      <c r="E295" s="303" t="s">
        <v>1964</v>
      </c>
      <c r="F295" s="303" t="s">
        <v>1693</v>
      </c>
      <c r="G295" s="303" t="s">
        <v>1535</v>
      </c>
      <c r="H295" s="303" t="s">
        <v>1956</v>
      </c>
      <c r="I295" s="304">
        <v>2113</v>
      </c>
      <c r="J295" s="303" t="s">
        <v>1609</v>
      </c>
      <c r="K295" s="303" t="s">
        <v>1609</v>
      </c>
      <c r="L295" s="303" t="s">
        <v>1609</v>
      </c>
      <c r="M295" s="303" t="s">
        <v>3210</v>
      </c>
      <c r="N295" s="303" t="s">
        <v>2031</v>
      </c>
      <c r="O295" s="303" t="s">
        <v>2030</v>
      </c>
      <c r="P295" s="328">
        <v>43258</v>
      </c>
      <c r="Q295" s="303" t="s">
        <v>1952</v>
      </c>
      <c r="R295" s="303">
        <f t="shared" si="8"/>
        <v>1</v>
      </c>
      <c r="S295" s="303">
        <v>1</v>
      </c>
    </row>
    <row r="296" spans="1:19" x14ac:dyDescent="0.25">
      <c r="A296" s="303" t="s">
        <v>3209</v>
      </c>
      <c r="B296" s="303" t="s">
        <v>3208</v>
      </c>
      <c r="C296" s="328">
        <v>43263</v>
      </c>
      <c r="D296" s="303" t="s">
        <v>1965</v>
      </c>
      <c r="E296" s="303" t="s">
        <v>1964</v>
      </c>
      <c r="F296" s="303" t="s">
        <v>1828</v>
      </c>
      <c r="G296" s="303" t="s">
        <v>2154</v>
      </c>
      <c r="H296" s="303" t="s">
        <v>1956</v>
      </c>
      <c r="I296" s="304">
        <v>1500</v>
      </c>
      <c r="J296" s="303" t="s">
        <v>1609</v>
      </c>
      <c r="K296" s="303" t="s">
        <v>1609</v>
      </c>
      <c r="L296" s="303" t="s">
        <v>1609</v>
      </c>
      <c r="M296" s="303" t="s">
        <v>3205</v>
      </c>
      <c r="N296" s="303" t="s">
        <v>2031</v>
      </c>
      <c r="O296" s="303" t="s">
        <v>2030</v>
      </c>
      <c r="P296" s="328">
        <v>43263</v>
      </c>
      <c r="Q296" s="303" t="s">
        <v>1952</v>
      </c>
      <c r="R296" s="303">
        <f t="shared" si="8"/>
        <v>1</v>
      </c>
      <c r="S296" s="303">
        <v>0</v>
      </c>
    </row>
    <row r="297" spans="1:19" x14ac:dyDescent="0.25">
      <c r="A297" s="303" t="s">
        <v>3207</v>
      </c>
      <c r="B297" s="303" t="s">
        <v>3206</v>
      </c>
      <c r="C297" s="328">
        <v>43263</v>
      </c>
      <c r="D297" s="303" t="s">
        <v>1965</v>
      </c>
      <c r="E297" s="303" t="s">
        <v>1964</v>
      </c>
      <c r="F297" s="303" t="s">
        <v>1846</v>
      </c>
      <c r="G297" s="303" t="s">
        <v>1959</v>
      </c>
      <c r="H297" s="303" t="s">
        <v>1956</v>
      </c>
      <c r="I297" s="304">
        <v>1500</v>
      </c>
      <c r="J297" s="303" t="s">
        <v>1609</v>
      </c>
      <c r="K297" s="303" t="s">
        <v>1609</v>
      </c>
      <c r="L297" s="303" t="s">
        <v>1609</v>
      </c>
      <c r="M297" s="303" t="s">
        <v>3205</v>
      </c>
      <c r="N297" s="303" t="s">
        <v>2031</v>
      </c>
      <c r="O297" s="303" t="s">
        <v>2030</v>
      </c>
      <c r="P297" s="328">
        <v>43263</v>
      </c>
      <c r="Q297" s="303" t="s">
        <v>1952</v>
      </c>
      <c r="R297" s="303">
        <f t="shared" si="8"/>
        <v>1</v>
      </c>
      <c r="S297" s="303">
        <v>0</v>
      </c>
    </row>
    <row r="298" spans="1:19" x14ac:dyDescent="0.25">
      <c r="A298" s="303" t="s">
        <v>3204</v>
      </c>
      <c r="B298" s="303" t="s">
        <v>3203</v>
      </c>
      <c r="C298" s="328">
        <v>43270</v>
      </c>
      <c r="D298" s="303" t="s">
        <v>1965</v>
      </c>
      <c r="E298" s="303" t="s">
        <v>1964</v>
      </c>
      <c r="F298" s="303" t="s">
        <v>1870</v>
      </c>
      <c r="G298" s="303" t="s">
        <v>1418</v>
      </c>
      <c r="H298" s="303" t="s">
        <v>1956</v>
      </c>
      <c r="I298" s="304">
        <v>7700</v>
      </c>
      <c r="J298" s="303" t="s">
        <v>1609</v>
      </c>
      <c r="K298" s="303" t="s">
        <v>1609</v>
      </c>
      <c r="L298" s="303" t="s">
        <v>1609</v>
      </c>
      <c r="M298" s="303" t="s">
        <v>3202</v>
      </c>
      <c r="N298" s="303" t="s">
        <v>2031</v>
      </c>
      <c r="O298" s="303" t="s">
        <v>2030</v>
      </c>
      <c r="P298" s="328">
        <v>43270</v>
      </c>
      <c r="Q298" s="303" t="s">
        <v>1952</v>
      </c>
      <c r="R298" s="303">
        <f t="shared" si="8"/>
        <v>1</v>
      </c>
      <c r="S298" s="303">
        <v>1</v>
      </c>
    </row>
    <row r="299" spans="1:19" x14ac:dyDescent="0.25">
      <c r="A299" s="303" t="s">
        <v>3201</v>
      </c>
      <c r="B299" s="303" t="s">
        <v>3200</v>
      </c>
      <c r="C299" s="328">
        <v>43270</v>
      </c>
      <c r="D299" s="303" t="s">
        <v>1965</v>
      </c>
      <c r="E299" s="303" t="s">
        <v>1964</v>
      </c>
      <c r="F299" s="303" t="s">
        <v>1870</v>
      </c>
      <c r="G299" s="303" t="s">
        <v>1418</v>
      </c>
      <c r="H299" s="303" t="s">
        <v>1956</v>
      </c>
      <c r="I299" s="304">
        <v>13289</v>
      </c>
      <c r="J299" s="303" t="s">
        <v>1609</v>
      </c>
      <c r="K299" s="303" t="s">
        <v>1609</v>
      </c>
      <c r="L299" s="303" t="s">
        <v>1609</v>
      </c>
      <c r="M299" s="303" t="s">
        <v>3199</v>
      </c>
      <c r="N299" s="303" t="s">
        <v>2031</v>
      </c>
      <c r="O299" s="303" t="s">
        <v>2030</v>
      </c>
      <c r="P299" s="328">
        <v>43270</v>
      </c>
      <c r="Q299" s="303" t="s">
        <v>1952</v>
      </c>
      <c r="R299" s="303">
        <f t="shared" si="8"/>
        <v>1</v>
      </c>
      <c r="S299" s="303">
        <v>1</v>
      </c>
    </row>
    <row r="300" spans="1:19" x14ac:dyDescent="0.25">
      <c r="A300" s="303" t="s">
        <v>3198</v>
      </c>
      <c r="B300" s="303" t="s">
        <v>3197</v>
      </c>
      <c r="C300" s="328">
        <v>43278</v>
      </c>
      <c r="D300" s="303" t="s">
        <v>1965</v>
      </c>
      <c r="E300" s="303" t="s">
        <v>1964</v>
      </c>
      <c r="F300" s="303" t="s">
        <v>1681</v>
      </c>
      <c r="G300" s="303" t="s">
        <v>1549</v>
      </c>
      <c r="H300" s="303" t="s">
        <v>1956</v>
      </c>
      <c r="I300" s="304">
        <v>14050</v>
      </c>
      <c r="J300" s="303" t="s">
        <v>1609</v>
      </c>
      <c r="K300" s="303" t="s">
        <v>1609</v>
      </c>
      <c r="L300" s="303" t="s">
        <v>1609</v>
      </c>
      <c r="M300" s="303" t="s">
        <v>3196</v>
      </c>
      <c r="N300" s="303" t="s">
        <v>2031</v>
      </c>
      <c r="O300" s="303" t="s">
        <v>2030</v>
      </c>
      <c r="P300" s="328">
        <v>43278</v>
      </c>
      <c r="Q300" s="303" t="s">
        <v>1952</v>
      </c>
      <c r="R300" s="303">
        <f t="shared" si="8"/>
        <v>1</v>
      </c>
      <c r="S300" s="303">
        <v>1</v>
      </c>
    </row>
    <row r="301" spans="1:19" x14ac:dyDescent="0.25">
      <c r="A301" s="303" t="s">
        <v>3195</v>
      </c>
      <c r="B301" s="303" t="s">
        <v>3194</v>
      </c>
      <c r="C301" s="328">
        <v>43278</v>
      </c>
      <c r="D301" s="303" t="s">
        <v>1965</v>
      </c>
      <c r="E301" s="303" t="s">
        <v>1964</v>
      </c>
      <c r="F301" s="303" t="s">
        <v>1655</v>
      </c>
      <c r="G301" s="303" t="s">
        <v>1561</v>
      </c>
      <c r="H301" s="303" t="s">
        <v>1956</v>
      </c>
      <c r="I301" s="304">
        <v>14952</v>
      </c>
      <c r="J301" s="303" t="s">
        <v>1609</v>
      </c>
      <c r="K301" s="303" t="s">
        <v>1609</v>
      </c>
      <c r="L301" s="303" t="s">
        <v>1609</v>
      </c>
      <c r="M301" s="303" t="s">
        <v>3193</v>
      </c>
      <c r="N301" s="303" t="s">
        <v>2031</v>
      </c>
      <c r="O301" s="303" t="s">
        <v>2030</v>
      </c>
      <c r="P301" s="328">
        <v>43278</v>
      </c>
      <c r="Q301" s="303" t="s">
        <v>1952</v>
      </c>
      <c r="R301" s="303">
        <f t="shared" si="8"/>
        <v>1</v>
      </c>
      <c r="S301" s="303">
        <v>1</v>
      </c>
    </row>
    <row r="302" spans="1:19" x14ac:dyDescent="0.25">
      <c r="A302" s="303" t="s">
        <v>3192</v>
      </c>
      <c r="B302" s="303" t="s">
        <v>3191</v>
      </c>
      <c r="C302" s="328">
        <v>43283</v>
      </c>
      <c r="D302" s="303" t="s">
        <v>1961</v>
      </c>
      <c r="E302" s="303" t="s">
        <v>1960</v>
      </c>
      <c r="F302" s="303" t="s">
        <v>1609</v>
      </c>
      <c r="G302" s="303" t="s">
        <v>1609</v>
      </c>
      <c r="H302" s="303" t="s">
        <v>1609</v>
      </c>
      <c r="I302" s="304">
        <v>-9621</v>
      </c>
      <c r="J302" s="303" t="s">
        <v>1673</v>
      </c>
      <c r="K302" s="303" t="s">
        <v>2316</v>
      </c>
      <c r="L302" s="303" t="s">
        <v>1956</v>
      </c>
      <c r="M302" s="303" t="s">
        <v>3190</v>
      </c>
      <c r="N302" s="303" t="s">
        <v>1987</v>
      </c>
      <c r="O302" s="303" t="s">
        <v>1986</v>
      </c>
      <c r="P302" s="328">
        <v>43283</v>
      </c>
      <c r="Q302" s="303" t="s">
        <v>1952</v>
      </c>
      <c r="R302" s="303">
        <f t="shared" si="8"/>
        <v>1</v>
      </c>
      <c r="S302" s="303">
        <v>0</v>
      </c>
    </row>
    <row r="303" spans="1:19" x14ac:dyDescent="0.25">
      <c r="A303" s="303" t="s">
        <v>3189</v>
      </c>
      <c r="B303" s="303" t="s">
        <v>3188</v>
      </c>
      <c r="C303" s="328">
        <v>43285</v>
      </c>
      <c r="D303" s="303" t="s">
        <v>1965</v>
      </c>
      <c r="E303" s="303" t="s">
        <v>1964</v>
      </c>
      <c r="F303" s="303" t="s">
        <v>1912</v>
      </c>
      <c r="G303" s="303" t="s">
        <v>1382</v>
      </c>
      <c r="H303" s="303" t="s">
        <v>1956</v>
      </c>
      <c r="I303" s="304">
        <v>7050</v>
      </c>
      <c r="J303" s="303" t="s">
        <v>1958</v>
      </c>
      <c r="K303" s="303" t="s">
        <v>1957</v>
      </c>
      <c r="L303" s="303" t="s">
        <v>1956</v>
      </c>
      <c r="M303" s="303" t="s">
        <v>2022</v>
      </c>
      <c r="N303" s="303" t="s">
        <v>1987</v>
      </c>
      <c r="O303" s="303" t="s">
        <v>1986</v>
      </c>
      <c r="P303" s="328">
        <v>43285</v>
      </c>
      <c r="Q303" s="303" t="s">
        <v>1952</v>
      </c>
      <c r="R303" s="303">
        <f t="shared" si="8"/>
        <v>0</v>
      </c>
      <c r="S303" s="303">
        <v>0</v>
      </c>
    </row>
    <row r="304" spans="1:19" x14ac:dyDescent="0.25">
      <c r="A304" s="303" t="s">
        <v>3189</v>
      </c>
      <c r="B304" s="303" t="s">
        <v>3188</v>
      </c>
      <c r="C304" s="328">
        <v>43285</v>
      </c>
      <c r="D304" s="303" t="s">
        <v>1961</v>
      </c>
      <c r="E304" s="303" t="s">
        <v>1960</v>
      </c>
      <c r="F304" s="303" t="s">
        <v>1912</v>
      </c>
      <c r="G304" s="303" t="s">
        <v>1382</v>
      </c>
      <c r="H304" s="303" t="s">
        <v>1956</v>
      </c>
      <c r="I304" s="304">
        <v>-7050</v>
      </c>
      <c r="J304" s="303" t="s">
        <v>1958</v>
      </c>
      <c r="K304" s="303" t="s">
        <v>1957</v>
      </c>
      <c r="L304" s="303" t="s">
        <v>1956</v>
      </c>
      <c r="M304" s="303" t="s">
        <v>2022</v>
      </c>
      <c r="N304" s="303" t="s">
        <v>1987</v>
      </c>
      <c r="O304" s="303" t="s">
        <v>1986</v>
      </c>
      <c r="P304" s="328">
        <v>43285</v>
      </c>
      <c r="Q304" s="303" t="s">
        <v>1952</v>
      </c>
      <c r="R304" s="303">
        <f t="shared" si="8"/>
        <v>0</v>
      </c>
      <c r="S304" s="303">
        <v>0</v>
      </c>
    </row>
    <row r="305" spans="1:19" x14ac:dyDescent="0.25">
      <c r="A305" s="303" t="s">
        <v>3187</v>
      </c>
      <c r="B305" s="303" t="s">
        <v>3186</v>
      </c>
      <c r="C305" s="328">
        <v>43285</v>
      </c>
      <c r="D305" s="303" t="s">
        <v>1965</v>
      </c>
      <c r="E305" s="303" t="s">
        <v>1964</v>
      </c>
      <c r="F305" s="303" t="s">
        <v>1912</v>
      </c>
      <c r="G305" s="303" t="s">
        <v>1382</v>
      </c>
      <c r="H305" s="303" t="s">
        <v>1956</v>
      </c>
      <c r="I305" s="304">
        <v>30000</v>
      </c>
      <c r="J305" s="303" t="s">
        <v>1967</v>
      </c>
      <c r="K305" s="303" t="s">
        <v>1382</v>
      </c>
      <c r="L305" s="303" t="s">
        <v>1956</v>
      </c>
      <c r="M305" s="303" t="s">
        <v>2019</v>
      </c>
      <c r="N305" s="303" t="s">
        <v>1987</v>
      </c>
      <c r="O305" s="303" t="s">
        <v>1986</v>
      </c>
      <c r="P305" s="328">
        <v>43285</v>
      </c>
      <c r="Q305" s="303" t="s">
        <v>1952</v>
      </c>
      <c r="R305" s="303">
        <f t="shared" si="8"/>
        <v>0</v>
      </c>
      <c r="S305" s="303">
        <v>0</v>
      </c>
    </row>
    <row r="306" spans="1:19" x14ac:dyDescent="0.25">
      <c r="A306" s="303" t="s">
        <v>3187</v>
      </c>
      <c r="B306" s="303" t="s">
        <v>3186</v>
      </c>
      <c r="C306" s="328">
        <v>43285</v>
      </c>
      <c r="D306" s="303" t="s">
        <v>1961</v>
      </c>
      <c r="E306" s="303" t="s">
        <v>1960</v>
      </c>
      <c r="F306" s="303" t="s">
        <v>1912</v>
      </c>
      <c r="G306" s="303" t="s">
        <v>1382</v>
      </c>
      <c r="H306" s="303" t="s">
        <v>1956</v>
      </c>
      <c r="I306" s="304">
        <v>-30000</v>
      </c>
      <c r="J306" s="303" t="s">
        <v>1967</v>
      </c>
      <c r="K306" s="303" t="s">
        <v>1382</v>
      </c>
      <c r="L306" s="303" t="s">
        <v>1956</v>
      </c>
      <c r="M306" s="303" t="s">
        <v>2019</v>
      </c>
      <c r="N306" s="303" t="s">
        <v>1987</v>
      </c>
      <c r="O306" s="303" t="s">
        <v>1986</v>
      </c>
      <c r="P306" s="328">
        <v>43285</v>
      </c>
      <c r="Q306" s="303" t="s">
        <v>1952</v>
      </c>
      <c r="R306" s="303">
        <f t="shared" si="8"/>
        <v>0</v>
      </c>
      <c r="S306" s="303">
        <v>0</v>
      </c>
    </row>
    <row r="307" spans="1:19" x14ac:dyDescent="0.25">
      <c r="A307" s="303" t="s">
        <v>3185</v>
      </c>
      <c r="B307" s="303" t="s">
        <v>3184</v>
      </c>
      <c r="C307" s="328">
        <v>43290</v>
      </c>
      <c r="D307" s="303" t="s">
        <v>1965</v>
      </c>
      <c r="E307" s="303" t="s">
        <v>1964</v>
      </c>
      <c r="F307" s="303" t="s">
        <v>1675</v>
      </c>
      <c r="G307" s="303" t="s">
        <v>2054</v>
      </c>
      <c r="H307" s="303" t="s">
        <v>1956</v>
      </c>
      <c r="I307" s="304">
        <v>325</v>
      </c>
      <c r="J307" s="303" t="s">
        <v>3177</v>
      </c>
      <c r="K307" s="303" t="s">
        <v>2161</v>
      </c>
      <c r="L307" s="303" t="s">
        <v>1956</v>
      </c>
      <c r="M307" s="303" t="s">
        <v>3167</v>
      </c>
      <c r="N307" s="303" t="s">
        <v>1987</v>
      </c>
      <c r="O307" s="303" t="s">
        <v>1986</v>
      </c>
      <c r="P307" s="328">
        <v>43290</v>
      </c>
      <c r="Q307" s="303" t="s">
        <v>1952</v>
      </c>
      <c r="R307" s="303">
        <f t="shared" si="8"/>
        <v>0</v>
      </c>
      <c r="S307" s="303">
        <v>0</v>
      </c>
    </row>
    <row r="308" spans="1:19" x14ac:dyDescent="0.25">
      <c r="A308" s="303" t="s">
        <v>3185</v>
      </c>
      <c r="B308" s="303" t="s">
        <v>3184</v>
      </c>
      <c r="C308" s="328">
        <v>43290</v>
      </c>
      <c r="D308" s="303" t="s">
        <v>1961</v>
      </c>
      <c r="E308" s="303" t="s">
        <v>1960</v>
      </c>
      <c r="F308" s="303" t="s">
        <v>1675</v>
      </c>
      <c r="G308" s="303" t="s">
        <v>2054</v>
      </c>
      <c r="H308" s="303" t="s">
        <v>1956</v>
      </c>
      <c r="I308" s="304">
        <v>-325</v>
      </c>
      <c r="J308" s="303" t="s">
        <v>3177</v>
      </c>
      <c r="K308" s="303" t="s">
        <v>2161</v>
      </c>
      <c r="L308" s="303" t="s">
        <v>1956</v>
      </c>
      <c r="M308" s="303" t="s">
        <v>3167</v>
      </c>
      <c r="N308" s="303" t="s">
        <v>1987</v>
      </c>
      <c r="O308" s="303" t="s">
        <v>1986</v>
      </c>
      <c r="P308" s="328">
        <v>43290</v>
      </c>
      <c r="Q308" s="303" t="s">
        <v>1952</v>
      </c>
      <c r="R308" s="303">
        <f t="shared" si="8"/>
        <v>0</v>
      </c>
      <c r="S308" s="303">
        <v>0</v>
      </c>
    </row>
    <row r="309" spans="1:19" x14ac:dyDescent="0.25">
      <c r="A309" s="303" t="s">
        <v>3183</v>
      </c>
      <c r="B309" s="303" t="s">
        <v>3182</v>
      </c>
      <c r="C309" s="328">
        <v>43290</v>
      </c>
      <c r="D309" s="303" t="s">
        <v>1965</v>
      </c>
      <c r="E309" s="303" t="s">
        <v>1964</v>
      </c>
      <c r="F309" s="303" t="s">
        <v>1775</v>
      </c>
      <c r="G309" s="303" t="s">
        <v>2138</v>
      </c>
      <c r="H309" s="303" t="s">
        <v>1956</v>
      </c>
      <c r="I309" s="304">
        <v>1285</v>
      </c>
      <c r="J309" s="303" t="s">
        <v>3177</v>
      </c>
      <c r="K309" s="303" t="s">
        <v>2161</v>
      </c>
      <c r="L309" s="303" t="s">
        <v>1956</v>
      </c>
      <c r="M309" s="303" t="s">
        <v>3167</v>
      </c>
      <c r="N309" s="303" t="s">
        <v>1987</v>
      </c>
      <c r="O309" s="303" t="s">
        <v>1986</v>
      </c>
      <c r="P309" s="328">
        <v>43290</v>
      </c>
      <c r="Q309" s="303" t="s">
        <v>1952</v>
      </c>
      <c r="R309" s="303">
        <f t="shared" si="8"/>
        <v>0</v>
      </c>
      <c r="S309" s="303">
        <v>0</v>
      </c>
    </row>
    <row r="310" spans="1:19" x14ac:dyDescent="0.25">
      <c r="A310" s="303" t="s">
        <v>3183</v>
      </c>
      <c r="B310" s="303" t="s">
        <v>3182</v>
      </c>
      <c r="C310" s="328">
        <v>43290</v>
      </c>
      <c r="D310" s="303" t="s">
        <v>1961</v>
      </c>
      <c r="E310" s="303" t="s">
        <v>1960</v>
      </c>
      <c r="F310" s="303" t="s">
        <v>1775</v>
      </c>
      <c r="G310" s="303" t="s">
        <v>2138</v>
      </c>
      <c r="H310" s="303" t="s">
        <v>1956</v>
      </c>
      <c r="I310" s="304">
        <v>-1285</v>
      </c>
      <c r="J310" s="303" t="s">
        <v>3177</v>
      </c>
      <c r="K310" s="303" t="s">
        <v>2161</v>
      </c>
      <c r="L310" s="303" t="s">
        <v>1956</v>
      </c>
      <c r="M310" s="303" t="s">
        <v>3167</v>
      </c>
      <c r="N310" s="303" t="s">
        <v>1987</v>
      </c>
      <c r="O310" s="303" t="s">
        <v>1986</v>
      </c>
      <c r="P310" s="328">
        <v>43290</v>
      </c>
      <c r="Q310" s="303" t="s">
        <v>1952</v>
      </c>
      <c r="R310" s="303">
        <f t="shared" si="8"/>
        <v>0</v>
      </c>
      <c r="S310" s="303">
        <v>0</v>
      </c>
    </row>
    <row r="311" spans="1:19" x14ac:dyDescent="0.25">
      <c r="A311" s="303" t="s">
        <v>3181</v>
      </c>
      <c r="B311" s="303" t="s">
        <v>3180</v>
      </c>
      <c r="C311" s="328">
        <v>43290</v>
      </c>
      <c r="D311" s="303" t="s">
        <v>1965</v>
      </c>
      <c r="E311" s="303" t="s">
        <v>1964</v>
      </c>
      <c r="F311" s="303" t="s">
        <v>1852</v>
      </c>
      <c r="G311" s="303" t="s">
        <v>1957</v>
      </c>
      <c r="H311" s="303" t="s">
        <v>1956</v>
      </c>
      <c r="I311" s="304">
        <v>7210</v>
      </c>
      <c r="J311" s="303" t="s">
        <v>3177</v>
      </c>
      <c r="K311" s="303" t="s">
        <v>2161</v>
      </c>
      <c r="L311" s="303" t="s">
        <v>1956</v>
      </c>
      <c r="M311" s="303" t="s">
        <v>3167</v>
      </c>
      <c r="N311" s="303" t="s">
        <v>1987</v>
      </c>
      <c r="O311" s="303" t="s">
        <v>1986</v>
      </c>
      <c r="P311" s="328">
        <v>43290</v>
      </c>
      <c r="Q311" s="303" t="s">
        <v>1952</v>
      </c>
      <c r="R311" s="303">
        <f t="shared" si="8"/>
        <v>0</v>
      </c>
      <c r="S311" s="303">
        <v>0</v>
      </c>
    </row>
    <row r="312" spans="1:19" x14ac:dyDescent="0.25">
      <c r="A312" s="303" t="s">
        <v>3181</v>
      </c>
      <c r="B312" s="303" t="s">
        <v>3180</v>
      </c>
      <c r="C312" s="328">
        <v>43290</v>
      </c>
      <c r="D312" s="303" t="s">
        <v>1961</v>
      </c>
      <c r="E312" s="303" t="s">
        <v>1960</v>
      </c>
      <c r="F312" s="303" t="s">
        <v>1852</v>
      </c>
      <c r="G312" s="303" t="s">
        <v>1957</v>
      </c>
      <c r="H312" s="303" t="s">
        <v>1956</v>
      </c>
      <c r="I312" s="304">
        <v>-7210</v>
      </c>
      <c r="J312" s="303" t="s">
        <v>3177</v>
      </c>
      <c r="K312" s="303" t="s">
        <v>2161</v>
      </c>
      <c r="L312" s="303" t="s">
        <v>1956</v>
      </c>
      <c r="M312" s="303" t="s">
        <v>3167</v>
      </c>
      <c r="N312" s="303" t="s">
        <v>1987</v>
      </c>
      <c r="O312" s="303" t="s">
        <v>1986</v>
      </c>
      <c r="P312" s="328">
        <v>43290</v>
      </c>
      <c r="Q312" s="303" t="s">
        <v>1952</v>
      </c>
      <c r="R312" s="303">
        <f t="shared" si="8"/>
        <v>0</v>
      </c>
      <c r="S312" s="303">
        <v>0</v>
      </c>
    </row>
    <row r="313" spans="1:19" x14ac:dyDescent="0.25">
      <c r="A313" s="303" t="s">
        <v>3179</v>
      </c>
      <c r="B313" s="303" t="s">
        <v>3178</v>
      </c>
      <c r="C313" s="328">
        <v>43290</v>
      </c>
      <c r="D313" s="303" t="s">
        <v>1965</v>
      </c>
      <c r="E313" s="303" t="s">
        <v>1964</v>
      </c>
      <c r="F313" s="303" t="s">
        <v>3177</v>
      </c>
      <c r="G313" s="303" t="s">
        <v>2161</v>
      </c>
      <c r="H313" s="303" t="s">
        <v>1956</v>
      </c>
      <c r="I313" s="304">
        <v>14193</v>
      </c>
      <c r="J313" s="303" t="s">
        <v>1828</v>
      </c>
      <c r="K313" s="303" t="s">
        <v>2154</v>
      </c>
      <c r="L313" s="303" t="s">
        <v>1956</v>
      </c>
      <c r="M313" s="303" t="s">
        <v>3167</v>
      </c>
      <c r="N313" s="303" t="s">
        <v>1987</v>
      </c>
      <c r="O313" s="303" t="s">
        <v>1986</v>
      </c>
      <c r="P313" s="328">
        <v>43290</v>
      </c>
      <c r="Q313" s="303" t="s">
        <v>1952</v>
      </c>
      <c r="R313" s="303">
        <f t="shared" si="8"/>
        <v>0</v>
      </c>
      <c r="S313" s="303">
        <v>0</v>
      </c>
    </row>
    <row r="314" spans="1:19" x14ac:dyDescent="0.25">
      <c r="A314" s="303" t="s">
        <v>3179</v>
      </c>
      <c r="B314" s="303" t="s">
        <v>3178</v>
      </c>
      <c r="C314" s="328">
        <v>43290</v>
      </c>
      <c r="D314" s="303" t="s">
        <v>1961</v>
      </c>
      <c r="E314" s="303" t="s">
        <v>1960</v>
      </c>
      <c r="F314" s="303" t="s">
        <v>3177</v>
      </c>
      <c r="G314" s="303" t="s">
        <v>2161</v>
      </c>
      <c r="H314" s="303" t="s">
        <v>1956</v>
      </c>
      <c r="I314" s="304">
        <v>-14193</v>
      </c>
      <c r="J314" s="303" t="s">
        <v>1828</v>
      </c>
      <c r="K314" s="303" t="s">
        <v>2154</v>
      </c>
      <c r="L314" s="303" t="s">
        <v>1956</v>
      </c>
      <c r="M314" s="303" t="s">
        <v>3167</v>
      </c>
      <c r="N314" s="303" t="s">
        <v>1987</v>
      </c>
      <c r="O314" s="303" t="s">
        <v>1986</v>
      </c>
      <c r="P314" s="328">
        <v>43290</v>
      </c>
      <c r="Q314" s="303" t="s">
        <v>1952</v>
      </c>
      <c r="R314" s="303">
        <f t="shared" si="8"/>
        <v>0</v>
      </c>
      <c r="S314" s="303">
        <v>0</v>
      </c>
    </row>
    <row r="315" spans="1:19" x14ac:dyDescent="0.25">
      <c r="A315" s="303" t="s">
        <v>3176</v>
      </c>
      <c r="B315" s="303" t="s">
        <v>3175</v>
      </c>
      <c r="C315" s="328">
        <v>43292</v>
      </c>
      <c r="D315" s="303" t="s">
        <v>1965</v>
      </c>
      <c r="E315" s="303" t="s">
        <v>1964</v>
      </c>
      <c r="F315" s="303" t="s">
        <v>1709</v>
      </c>
      <c r="G315" s="303" t="s">
        <v>1520</v>
      </c>
      <c r="H315" s="303" t="s">
        <v>1956</v>
      </c>
      <c r="I315" s="304">
        <v>1293</v>
      </c>
      <c r="J315" s="303" t="s">
        <v>1958</v>
      </c>
      <c r="K315" s="303" t="s">
        <v>1957</v>
      </c>
      <c r="L315" s="303" t="s">
        <v>1956</v>
      </c>
      <c r="M315" s="303" t="s">
        <v>2022</v>
      </c>
      <c r="N315" s="303" t="s">
        <v>1987</v>
      </c>
      <c r="O315" s="303" t="s">
        <v>1986</v>
      </c>
      <c r="P315" s="328">
        <v>43292</v>
      </c>
      <c r="Q315" s="303" t="s">
        <v>1952</v>
      </c>
      <c r="R315" s="303">
        <f t="shared" si="8"/>
        <v>0</v>
      </c>
      <c r="S315" s="303">
        <v>0</v>
      </c>
    </row>
    <row r="316" spans="1:19" x14ac:dyDescent="0.25">
      <c r="A316" s="303" t="s">
        <v>3176</v>
      </c>
      <c r="B316" s="303" t="s">
        <v>3175</v>
      </c>
      <c r="C316" s="328">
        <v>43292</v>
      </c>
      <c r="D316" s="303" t="s">
        <v>1961</v>
      </c>
      <c r="E316" s="303" t="s">
        <v>1960</v>
      </c>
      <c r="F316" s="303" t="s">
        <v>1709</v>
      </c>
      <c r="G316" s="303" t="s">
        <v>1520</v>
      </c>
      <c r="H316" s="303" t="s">
        <v>1956</v>
      </c>
      <c r="I316" s="304">
        <v>-1293</v>
      </c>
      <c r="J316" s="303" t="s">
        <v>1958</v>
      </c>
      <c r="K316" s="303" t="s">
        <v>1957</v>
      </c>
      <c r="L316" s="303" t="s">
        <v>1956</v>
      </c>
      <c r="M316" s="303" t="s">
        <v>2022</v>
      </c>
      <c r="N316" s="303" t="s">
        <v>1987</v>
      </c>
      <c r="O316" s="303" t="s">
        <v>1986</v>
      </c>
      <c r="P316" s="328">
        <v>43292</v>
      </c>
      <c r="Q316" s="303" t="s">
        <v>1952</v>
      </c>
      <c r="R316" s="303">
        <f t="shared" si="8"/>
        <v>0</v>
      </c>
      <c r="S316" s="303">
        <v>0</v>
      </c>
    </row>
    <row r="317" spans="1:19" x14ac:dyDescent="0.25">
      <c r="A317" s="303" t="s">
        <v>3174</v>
      </c>
      <c r="B317" s="303" t="s">
        <v>3173</v>
      </c>
      <c r="C317" s="328">
        <v>43292</v>
      </c>
      <c r="D317" s="303" t="s">
        <v>1965</v>
      </c>
      <c r="E317" s="303" t="s">
        <v>1964</v>
      </c>
      <c r="F317" s="303" t="s">
        <v>1709</v>
      </c>
      <c r="G317" s="303" t="s">
        <v>1520</v>
      </c>
      <c r="H317" s="303" t="s">
        <v>1956</v>
      </c>
      <c r="I317" s="304">
        <v>5500</v>
      </c>
      <c r="J317" s="303" t="s">
        <v>1967</v>
      </c>
      <c r="K317" s="303" t="s">
        <v>1520</v>
      </c>
      <c r="L317" s="303" t="s">
        <v>1956</v>
      </c>
      <c r="M317" s="303" t="s">
        <v>2019</v>
      </c>
      <c r="N317" s="303" t="s">
        <v>1987</v>
      </c>
      <c r="O317" s="303" t="s">
        <v>1986</v>
      </c>
      <c r="P317" s="328">
        <v>43292</v>
      </c>
      <c r="Q317" s="303" t="s">
        <v>1952</v>
      </c>
      <c r="R317" s="303">
        <f t="shared" si="8"/>
        <v>0</v>
      </c>
      <c r="S317" s="303">
        <v>0</v>
      </c>
    </row>
    <row r="318" spans="1:19" x14ac:dyDescent="0.25">
      <c r="A318" s="303" t="s">
        <v>3174</v>
      </c>
      <c r="B318" s="303" t="s">
        <v>3173</v>
      </c>
      <c r="C318" s="328">
        <v>43292</v>
      </c>
      <c r="D318" s="303" t="s">
        <v>1961</v>
      </c>
      <c r="E318" s="303" t="s">
        <v>1960</v>
      </c>
      <c r="F318" s="303" t="s">
        <v>1709</v>
      </c>
      <c r="G318" s="303" t="s">
        <v>1520</v>
      </c>
      <c r="H318" s="303" t="s">
        <v>1956</v>
      </c>
      <c r="I318" s="304">
        <v>-5500</v>
      </c>
      <c r="J318" s="303" t="s">
        <v>1967</v>
      </c>
      <c r="K318" s="303" t="s">
        <v>1520</v>
      </c>
      <c r="L318" s="303" t="s">
        <v>1956</v>
      </c>
      <c r="M318" s="303" t="s">
        <v>2019</v>
      </c>
      <c r="N318" s="303" t="s">
        <v>1987</v>
      </c>
      <c r="O318" s="303" t="s">
        <v>1986</v>
      </c>
      <c r="P318" s="328">
        <v>43292</v>
      </c>
      <c r="Q318" s="303" t="s">
        <v>1952</v>
      </c>
      <c r="R318" s="303">
        <f t="shared" si="8"/>
        <v>0</v>
      </c>
      <c r="S318" s="303">
        <v>0</v>
      </c>
    </row>
    <row r="319" spans="1:19" x14ac:dyDescent="0.25">
      <c r="A319" s="303" t="s">
        <v>3172</v>
      </c>
      <c r="B319" s="303" t="s">
        <v>3171</v>
      </c>
      <c r="C319" s="328">
        <v>43297</v>
      </c>
      <c r="D319" s="303" t="s">
        <v>1965</v>
      </c>
      <c r="E319" s="303" t="s">
        <v>1964</v>
      </c>
      <c r="F319" s="303" t="s">
        <v>3168</v>
      </c>
      <c r="G319" s="303" t="s">
        <v>2161</v>
      </c>
      <c r="H319" s="303" t="s">
        <v>1956</v>
      </c>
      <c r="I319" s="304">
        <v>157</v>
      </c>
      <c r="J319" s="303" t="s">
        <v>1828</v>
      </c>
      <c r="K319" s="303" t="s">
        <v>2154</v>
      </c>
      <c r="L319" s="303" t="s">
        <v>1956</v>
      </c>
      <c r="M319" s="303" t="s">
        <v>3167</v>
      </c>
      <c r="N319" s="303" t="s">
        <v>1987</v>
      </c>
      <c r="O319" s="303" t="s">
        <v>1986</v>
      </c>
      <c r="P319" s="328">
        <v>43297</v>
      </c>
      <c r="Q319" s="303" t="s">
        <v>1952</v>
      </c>
      <c r="R319" s="303">
        <f t="shared" si="8"/>
        <v>0</v>
      </c>
      <c r="S319" s="303">
        <v>0</v>
      </c>
    </row>
    <row r="320" spans="1:19" x14ac:dyDescent="0.25">
      <c r="A320" s="303" t="s">
        <v>3172</v>
      </c>
      <c r="B320" s="303" t="s">
        <v>3171</v>
      </c>
      <c r="C320" s="328">
        <v>43297</v>
      </c>
      <c r="D320" s="303" t="s">
        <v>1961</v>
      </c>
      <c r="E320" s="303" t="s">
        <v>1960</v>
      </c>
      <c r="F320" s="303" t="s">
        <v>3168</v>
      </c>
      <c r="G320" s="303" t="s">
        <v>2161</v>
      </c>
      <c r="H320" s="303" t="s">
        <v>1956</v>
      </c>
      <c r="I320" s="304">
        <v>-157</v>
      </c>
      <c r="J320" s="303" t="s">
        <v>1828</v>
      </c>
      <c r="K320" s="303" t="s">
        <v>2154</v>
      </c>
      <c r="L320" s="303" t="s">
        <v>1956</v>
      </c>
      <c r="M320" s="303" t="s">
        <v>3167</v>
      </c>
      <c r="N320" s="303" t="s">
        <v>1987</v>
      </c>
      <c r="O320" s="303" t="s">
        <v>1986</v>
      </c>
      <c r="P320" s="328">
        <v>43297</v>
      </c>
      <c r="Q320" s="303" t="s">
        <v>1952</v>
      </c>
      <c r="R320" s="303">
        <f t="shared" si="8"/>
        <v>0</v>
      </c>
      <c r="S320" s="303">
        <v>0</v>
      </c>
    </row>
    <row r="321" spans="1:19" x14ac:dyDescent="0.25">
      <c r="A321" s="303" t="s">
        <v>3170</v>
      </c>
      <c r="B321" s="303" t="s">
        <v>3169</v>
      </c>
      <c r="C321" s="328">
        <v>43297</v>
      </c>
      <c r="D321" s="303" t="s">
        <v>1965</v>
      </c>
      <c r="E321" s="303" t="s">
        <v>1964</v>
      </c>
      <c r="F321" s="303" t="s">
        <v>3168</v>
      </c>
      <c r="G321" s="303" t="s">
        <v>2161</v>
      </c>
      <c r="H321" s="303" t="s">
        <v>1956</v>
      </c>
      <c r="I321" s="304">
        <v>121</v>
      </c>
      <c r="J321" s="303" t="s">
        <v>1852</v>
      </c>
      <c r="K321" s="303" t="s">
        <v>1957</v>
      </c>
      <c r="L321" s="303" t="s">
        <v>1956</v>
      </c>
      <c r="M321" s="303" t="s">
        <v>3167</v>
      </c>
      <c r="N321" s="303" t="s">
        <v>1987</v>
      </c>
      <c r="O321" s="303" t="s">
        <v>1986</v>
      </c>
      <c r="P321" s="328">
        <v>43297</v>
      </c>
      <c r="Q321" s="303" t="s">
        <v>1952</v>
      </c>
      <c r="R321" s="303">
        <f t="shared" si="8"/>
        <v>0</v>
      </c>
      <c r="S321" s="303">
        <v>0</v>
      </c>
    </row>
    <row r="322" spans="1:19" x14ac:dyDescent="0.25">
      <c r="A322" s="303" t="s">
        <v>3170</v>
      </c>
      <c r="B322" s="303" t="s">
        <v>3169</v>
      </c>
      <c r="C322" s="328">
        <v>43297</v>
      </c>
      <c r="D322" s="303" t="s">
        <v>1961</v>
      </c>
      <c r="E322" s="303" t="s">
        <v>1960</v>
      </c>
      <c r="F322" s="303" t="s">
        <v>3168</v>
      </c>
      <c r="G322" s="303" t="s">
        <v>2161</v>
      </c>
      <c r="H322" s="303" t="s">
        <v>1956</v>
      </c>
      <c r="I322" s="304">
        <v>-121</v>
      </c>
      <c r="J322" s="303" t="s">
        <v>1852</v>
      </c>
      <c r="K322" s="303" t="s">
        <v>1957</v>
      </c>
      <c r="L322" s="303" t="s">
        <v>1956</v>
      </c>
      <c r="M322" s="303" t="s">
        <v>3167</v>
      </c>
      <c r="N322" s="303" t="s">
        <v>1987</v>
      </c>
      <c r="O322" s="303" t="s">
        <v>1986</v>
      </c>
      <c r="P322" s="328">
        <v>43297</v>
      </c>
      <c r="Q322" s="303" t="s">
        <v>1952</v>
      </c>
      <c r="R322" s="303">
        <f t="shared" si="8"/>
        <v>0</v>
      </c>
      <c r="S322" s="303">
        <v>0</v>
      </c>
    </row>
    <row r="323" spans="1:19" x14ac:dyDescent="0.25">
      <c r="A323" s="303" t="s">
        <v>3166</v>
      </c>
      <c r="B323" s="303" t="s">
        <v>3165</v>
      </c>
      <c r="C323" s="328">
        <v>43298</v>
      </c>
      <c r="D323" s="303" t="s">
        <v>1965</v>
      </c>
      <c r="E323" s="303" t="s">
        <v>1964</v>
      </c>
      <c r="F323" s="303" t="s">
        <v>1745</v>
      </c>
      <c r="G323" s="303" t="s">
        <v>1478</v>
      </c>
      <c r="H323" s="303" t="s">
        <v>1956</v>
      </c>
      <c r="I323" s="304">
        <v>8928</v>
      </c>
      <c r="J323" s="303" t="s">
        <v>1958</v>
      </c>
      <c r="K323" s="303" t="s">
        <v>1957</v>
      </c>
      <c r="L323" s="303" t="s">
        <v>1956</v>
      </c>
      <c r="M323" s="303" t="s">
        <v>2022</v>
      </c>
      <c r="N323" s="303" t="s">
        <v>1987</v>
      </c>
      <c r="O323" s="303" t="s">
        <v>1986</v>
      </c>
      <c r="P323" s="328">
        <v>43298</v>
      </c>
      <c r="Q323" s="303" t="s">
        <v>1952</v>
      </c>
      <c r="R323" s="303">
        <f t="shared" ref="R323:R386" si="9">IF(OR(M323="transfert de B vers A",M323="transfert de B vers D",M323="transfert de A vers B",M323="transfert de D vers B",M323="carryover 2017 -&gt; 2018",IF(ISERR(SEARCH("fidélité",M323)),FALSE,TRUE),M323="Fermeture STI-FORM",M323="répartition AE/AC"),0,1)</f>
        <v>0</v>
      </c>
      <c r="S323" s="303">
        <v>0</v>
      </c>
    </row>
    <row r="324" spans="1:19" x14ac:dyDescent="0.25">
      <c r="A324" s="303" t="s">
        <v>3166</v>
      </c>
      <c r="B324" s="303" t="s">
        <v>3165</v>
      </c>
      <c r="C324" s="328">
        <v>43298</v>
      </c>
      <c r="D324" s="303" t="s">
        <v>1961</v>
      </c>
      <c r="E324" s="303" t="s">
        <v>1960</v>
      </c>
      <c r="F324" s="303" t="s">
        <v>1745</v>
      </c>
      <c r="G324" s="303" t="s">
        <v>1478</v>
      </c>
      <c r="H324" s="303" t="s">
        <v>1956</v>
      </c>
      <c r="I324" s="304">
        <v>-8928</v>
      </c>
      <c r="J324" s="303" t="s">
        <v>1958</v>
      </c>
      <c r="K324" s="303" t="s">
        <v>1957</v>
      </c>
      <c r="L324" s="303" t="s">
        <v>1956</v>
      </c>
      <c r="M324" s="303" t="s">
        <v>2022</v>
      </c>
      <c r="N324" s="303" t="s">
        <v>1987</v>
      </c>
      <c r="O324" s="303" t="s">
        <v>1986</v>
      </c>
      <c r="P324" s="328">
        <v>43298</v>
      </c>
      <c r="Q324" s="303" t="s">
        <v>1952</v>
      </c>
      <c r="R324" s="303">
        <f t="shared" si="9"/>
        <v>0</v>
      </c>
      <c r="S324" s="303">
        <v>0</v>
      </c>
    </row>
    <row r="325" spans="1:19" x14ac:dyDescent="0.25">
      <c r="A325" s="303" t="s">
        <v>3164</v>
      </c>
      <c r="B325" s="303" t="s">
        <v>3163</v>
      </c>
      <c r="C325" s="328">
        <v>43298</v>
      </c>
      <c r="D325" s="303" t="s">
        <v>1965</v>
      </c>
      <c r="E325" s="303" t="s">
        <v>1964</v>
      </c>
      <c r="F325" s="303" t="s">
        <v>1745</v>
      </c>
      <c r="G325" s="303" t="s">
        <v>1478</v>
      </c>
      <c r="H325" s="303" t="s">
        <v>1956</v>
      </c>
      <c r="I325" s="304">
        <v>37991</v>
      </c>
      <c r="J325" s="303" t="s">
        <v>1967</v>
      </c>
      <c r="K325" s="303" t="s">
        <v>1478</v>
      </c>
      <c r="L325" s="303" t="s">
        <v>1956</v>
      </c>
      <c r="M325" s="303" t="s">
        <v>2019</v>
      </c>
      <c r="N325" s="303" t="s">
        <v>1987</v>
      </c>
      <c r="O325" s="303" t="s">
        <v>1986</v>
      </c>
      <c r="P325" s="328">
        <v>43298</v>
      </c>
      <c r="Q325" s="303" t="s">
        <v>1952</v>
      </c>
      <c r="R325" s="303">
        <f t="shared" si="9"/>
        <v>0</v>
      </c>
      <c r="S325" s="303">
        <v>0</v>
      </c>
    </row>
    <row r="326" spans="1:19" x14ac:dyDescent="0.25">
      <c r="A326" s="303" t="s">
        <v>3164</v>
      </c>
      <c r="B326" s="303" t="s">
        <v>3163</v>
      </c>
      <c r="C326" s="328">
        <v>43298</v>
      </c>
      <c r="D326" s="303" t="s">
        <v>1961</v>
      </c>
      <c r="E326" s="303" t="s">
        <v>1960</v>
      </c>
      <c r="F326" s="303" t="s">
        <v>1745</v>
      </c>
      <c r="G326" s="303" t="s">
        <v>1478</v>
      </c>
      <c r="H326" s="303" t="s">
        <v>1956</v>
      </c>
      <c r="I326" s="304">
        <v>-37991</v>
      </c>
      <c r="J326" s="303" t="s">
        <v>1967</v>
      </c>
      <c r="K326" s="303" t="s">
        <v>1478</v>
      </c>
      <c r="L326" s="303" t="s">
        <v>1956</v>
      </c>
      <c r="M326" s="303" t="s">
        <v>2019</v>
      </c>
      <c r="N326" s="303" t="s">
        <v>1987</v>
      </c>
      <c r="O326" s="303" t="s">
        <v>1986</v>
      </c>
      <c r="P326" s="328">
        <v>43298</v>
      </c>
      <c r="Q326" s="303" t="s">
        <v>1952</v>
      </c>
      <c r="R326" s="303">
        <f t="shared" si="9"/>
        <v>0</v>
      </c>
      <c r="S326" s="303">
        <v>0</v>
      </c>
    </row>
    <row r="327" spans="1:19" x14ac:dyDescent="0.25">
      <c r="A327" s="303" t="s">
        <v>3162</v>
      </c>
      <c r="B327" s="303" t="s">
        <v>3161</v>
      </c>
      <c r="C327" s="328">
        <v>43298</v>
      </c>
      <c r="D327" s="303" t="s">
        <v>1965</v>
      </c>
      <c r="E327" s="303" t="s">
        <v>1964</v>
      </c>
      <c r="F327" s="303" t="s">
        <v>1967</v>
      </c>
      <c r="G327" s="303" t="s">
        <v>1957</v>
      </c>
      <c r="H327" s="303" t="s">
        <v>1956</v>
      </c>
      <c r="I327" s="304">
        <v>2440</v>
      </c>
      <c r="J327" s="303" t="s">
        <v>1967</v>
      </c>
      <c r="K327" s="303" t="s">
        <v>2134</v>
      </c>
      <c r="L327" s="303" t="s">
        <v>1956</v>
      </c>
      <c r="M327" s="303" t="s">
        <v>3160</v>
      </c>
      <c r="N327" s="303" t="s">
        <v>1987</v>
      </c>
      <c r="O327" s="303" t="s">
        <v>1986</v>
      </c>
      <c r="P327" s="328">
        <v>43298</v>
      </c>
      <c r="Q327" s="303" t="s">
        <v>1952</v>
      </c>
      <c r="R327" s="303">
        <f t="shared" si="9"/>
        <v>0</v>
      </c>
      <c r="S327" s="303">
        <v>0</v>
      </c>
    </row>
    <row r="328" spans="1:19" x14ac:dyDescent="0.25">
      <c r="A328" s="303" t="s">
        <v>3162</v>
      </c>
      <c r="B328" s="303" t="s">
        <v>3161</v>
      </c>
      <c r="C328" s="328">
        <v>43298</v>
      </c>
      <c r="D328" s="303" t="s">
        <v>1961</v>
      </c>
      <c r="E328" s="303" t="s">
        <v>1960</v>
      </c>
      <c r="F328" s="303" t="s">
        <v>1967</v>
      </c>
      <c r="G328" s="303" t="s">
        <v>1957</v>
      </c>
      <c r="H328" s="303" t="s">
        <v>1956</v>
      </c>
      <c r="I328" s="304">
        <v>-2440</v>
      </c>
      <c r="J328" s="303" t="s">
        <v>1967</v>
      </c>
      <c r="K328" s="303" t="s">
        <v>2134</v>
      </c>
      <c r="L328" s="303" t="s">
        <v>1956</v>
      </c>
      <c r="M328" s="303" t="s">
        <v>3160</v>
      </c>
      <c r="N328" s="303" t="s">
        <v>1987</v>
      </c>
      <c r="O328" s="303" t="s">
        <v>1986</v>
      </c>
      <c r="P328" s="328">
        <v>43298</v>
      </c>
      <c r="Q328" s="303" t="s">
        <v>1952</v>
      </c>
      <c r="R328" s="303">
        <f t="shared" si="9"/>
        <v>0</v>
      </c>
      <c r="S328" s="303">
        <v>0</v>
      </c>
    </row>
    <row r="329" spans="1:19" x14ac:dyDescent="0.25">
      <c r="A329" s="303" t="s">
        <v>3159</v>
      </c>
      <c r="B329" s="303" t="s">
        <v>3158</v>
      </c>
      <c r="C329" s="328">
        <v>43298</v>
      </c>
      <c r="D329" s="303" t="s">
        <v>1965</v>
      </c>
      <c r="E329" s="303" t="s">
        <v>1964</v>
      </c>
      <c r="F329" s="303" t="s">
        <v>1967</v>
      </c>
      <c r="G329" s="303" t="s">
        <v>3157</v>
      </c>
      <c r="H329" s="303" t="s">
        <v>1956</v>
      </c>
      <c r="I329" s="304">
        <v>16065</v>
      </c>
      <c r="J329" s="303" t="s">
        <v>1967</v>
      </c>
      <c r="K329" s="303" t="s">
        <v>2134</v>
      </c>
      <c r="L329" s="303" t="s">
        <v>1956</v>
      </c>
      <c r="M329" s="303" t="s">
        <v>3156</v>
      </c>
      <c r="N329" s="303" t="s">
        <v>1987</v>
      </c>
      <c r="O329" s="303" t="s">
        <v>1986</v>
      </c>
      <c r="P329" s="328">
        <v>43298</v>
      </c>
      <c r="Q329" s="303" t="s">
        <v>1952</v>
      </c>
      <c r="R329" s="303">
        <f t="shared" si="9"/>
        <v>0</v>
      </c>
      <c r="S329" s="303">
        <v>0</v>
      </c>
    </row>
    <row r="330" spans="1:19" x14ac:dyDescent="0.25">
      <c r="A330" s="303" t="s">
        <v>3159</v>
      </c>
      <c r="B330" s="303" t="s">
        <v>3158</v>
      </c>
      <c r="C330" s="328">
        <v>43298</v>
      </c>
      <c r="D330" s="303" t="s">
        <v>1961</v>
      </c>
      <c r="E330" s="303" t="s">
        <v>1960</v>
      </c>
      <c r="F330" s="303" t="s">
        <v>1967</v>
      </c>
      <c r="G330" s="303" t="s">
        <v>3157</v>
      </c>
      <c r="H330" s="303" t="s">
        <v>1956</v>
      </c>
      <c r="I330" s="304">
        <v>-16065</v>
      </c>
      <c r="J330" s="303" t="s">
        <v>1967</v>
      </c>
      <c r="K330" s="303" t="s">
        <v>2134</v>
      </c>
      <c r="L330" s="303" t="s">
        <v>1956</v>
      </c>
      <c r="M330" s="303" t="s">
        <v>3156</v>
      </c>
      <c r="N330" s="303" t="s">
        <v>1987</v>
      </c>
      <c r="O330" s="303" t="s">
        <v>1986</v>
      </c>
      <c r="P330" s="328">
        <v>43298</v>
      </c>
      <c r="Q330" s="303" t="s">
        <v>1952</v>
      </c>
      <c r="R330" s="303">
        <f t="shared" si="9"/>
        <v>0</v>
      </c>
      <c r="S330" s="303">
        <v>0</v>
      </c>
    </row>
    <row r="331" spans="1:19" x14ac:dyDescent="0.25">
      <c r="A331" s="303" t="s">
        <v>3155</v>
      </c>
      <c r="B331" s="303" t="s">
        <v>3154</v>
      </c>
      <c r="C331" s="328">
        <v>43298</v>
      </c>
      <c r="D331" s="303" t="s">
        <v>1965</v>
      </c>
      <c r="E331" s="303" t="s">
        <v>1964</v>
      </c>
      <c r="F331" s="303" t="s">
        <v>1967</v>
      </c>
      <c r="G331" s="303" t="s">
        <v>1409</v>
      </c>
      <c r="H331" s="303" t="s">
        <v>1956</v>
      </c>
      <c r="I331" s="304">
        <v>1626</v>
      </c>
      <c r="J331" s="303" t="s">
        <v>1967</v>
      </c>
      <c r="K331" s="303" t="s">
        <v>2134</v>
      </c>
      <c r="L331" s="303" t="s">
        <v>1956</v>
      </c>
      <c r="M331" s="303" t="s">
        <v>3147</v>
      </c>
      <c r="N331" s="303" t="s">
        <v>1987</v>
      </c>
      <c r="O331" s="303" t="s">
        <v>1986</v>
      </c>
      <c r="P331" s="328">
        <v>43298</v>
      </c>
      <c r="Q331" s="303" t="s">
        <v>1952</v>
      </c>
      <c r="R331" s="303">
        <f t="shared" si="9"/>
        <v>0</v>
      </c>
      <c r="S331" s="303">
        <v>0</v>
      </c>
    </row>
    <row r="332" spans="1:19" x14ac:dyDescent="0.25">
      <c r="A332" s="303" t="s">
        <v>3155</v>
      </c>
      <c r="B332" s="303" t="s">
        <v>3154</v>
      </c>
      <c r="C332" s="328">
        <v>43298</v>
      </c>
      <c r="D332" s="303" t="s">
        <v>1961</v>
      </c>
      <c r="E332" s="303" t="s">
        <v>1960</v>
      </c>
      <c r="F332" s="303" t="s">
        <v>1967</v>
      </c>
      <c r="G332" s="303" t="s">
        <v>1409</v>
      </c>
      <c r="H332" s="303" t="s">
        <v>1956</v>
      </c>
      <c r="I332" s="304">
        <v>-1626</v>
      </c>
      <c r="J332" s="303" t="s">
        <v>1967</v>
      </c>
      <c r="K332" s="303" t="s">
        <v>2134</v>
      </c>
      <c r="L332" s="303" t="s">
        <v>1956</v>
      </c>
      <c r="M332" s="303" t="s">
        <v>3147</v>
      </c>
      <c r="N332" s="303" t="s">
        <v>1987</v>
      </c>
      <c r="O332" s="303" t="s">
        <v>1986</v>
      </c>
      <c r="P332" s="328">
        <v>43298</v>
      </c>
      <c r="Q332" s="303" t="s">
        <v>1952</v>
      </c>
      <c r="R332" s="303">
        <f t="shared" si="9"/>
        <v>0</v>
      </c>
      <c r="S332" s="303">
        <v>0</v>
      </c>
    </row>
    <row r="333" spans="1:19" x14ac:dyDescent="0.25">
      <c r="A333" s="303" t="s">
        <v>3153</v>
      </c>
      <c r="B333" s="303" t="s">
        <v>3152</v>
      </c>
      <c r="C333" s="328">
        <v>43298</v>
      </c>
      <c r="D333" s="303" t="s">
        <v>1965</v>
      </c>
      <c r="E333" s="303" t="s">
        <v>1964</v>
      </c>
      <c r="F333" s="303" t="s">
        <v>1967</v>
      </c>
      <c r="G333" s="303" t="s">
        <v>3151</v>
      </c>
      <c r="H333" s="303" t="s">
        <v>1956</v>
      </c>
      <c r="I333" s="304">
        <v>4509</v>
      </c>
      <c r="J333" s="303" t="s">
        <v>1967</v>
      </c>
      <c r="K333" s="303" t="s">
        <v>2134</v>
      </c>
      <c r="L333" s="303" t="s">
        <v>1956</v>
      </c>
      <c r="M333" s="303" t="s">
        <v>3150</v>
      </c>
      <c r="N333" s="303" t="s">
        <v>1987</v>
      </c>
      <c r="O333" s="303" t="s">
        <v>1986</v>
      </c>
      <c r="P333" s="328">
        <v>43298</v>
      </c>
      <c r="Q333" s="303" t="s">
        <v>1952</v>
      </c>
      <c r="R333" s="303">
        <f t="shared" si="9"/>
        <v>0</v>
      </c>
      <c r="S333" s="303">
        <v>0</v>
      </c>
    </row>
    <row r="334" spans="1:19" x14ac:dyDescent="0.25">
      <c r="A334" s="303" t="s">
        <v>3153</v>
      </c>
      <c r="B334" s="303" t="s">
        <v>3152</v>
      </c>
      <c r="C334" s="328">
        <v>43298</v>
      </c>
      <c r="D334" s="303" t="s">
        <v>1961</v>
      </c>
      <c r="E334" s="303" t="s">
        <v>1960</v>
      </c>
      <c r="F334" s="303" t="s">
        <v>1967</v>
      </c>
      <c r="G334" s="303" t="s">
        <v>3151</v>
      </c>
      <c r="H334" s="303" t="s">
        <v>1956</v>
      </c>
      <c r="I334" s="304">
        <v>-4509</v>
      </c>
      <c r="J334" s="303" t="s">
        <v>1967</v>
      </c>
      <c r="K334" s="303" t="s">
        <v>2134</v>
      </c>
      <c r="L334" s="303" t="s">
        <v>1956</v>
      </c>
      <c r="M334" s="303" t="s">
        <v>3150</v>
      </c>
      <c r="N334" s="303" t="s">
        <v>1987</v>
      </c>
      <c r="O334" s="303" t="s">
        <v>1986</v>
      </c>
      <c r="P334" s="328">
        <v>43298</v>
      </c>
      <c r="Q334" s="303" t="s">
        <v>1952</v>
      </c>
      <c r="R334" s="303">
        <f t="shared" si="9"/>
        <v>0</v>
      </c>
      <c r="S334" s="303">
        <v>0</v>
      </c>
    </row>
    <row r="335" spans="1:19" x14ac:dyDescent="0.25">
      <c r="A335" s="303" t="s">
        <v>3149</v>
      </c>
      <c r="B335" s="303" t="s">
        <v>3148</v>
      </c>
      <c r="C335" s="328">
        <v>43298</v>
      </c>
      <c r="D335" s="303" t="s">
        <v>1965</v>
      </c>
      <c r="E335" s="303" t="s">
        <v>1964</v>
      </c>
      <c r="F335" s="303" t="s">
        <v>1967</v>
      </c>
      <c r="G335" s="303" t="s">
        <v>2183</v>
      </c>
      <c r="H335" s="303" t="s">
        <v>1956</v>
      </c>
      <c r="I335" s="304">
        <v>406</v>
      </c>
      <c r="J335" s="303" t="s">
        <v>1967</v>
      </c>
      <c r="K335" s="303" t="s">
        <v>2134</v>
      </c>
      <c r="L335" s="303" t="s">
        <v>1956</v>
      </c>
      <c r="M335" s="303" t="s">
        <v>3147</v>
      </c>
      <c r="N335" s="303" t="s">
        <v>1987</v>
      </c>
      <c r="O335" s="303" t="s">
        <v>1986</v>
      </c>
      <c r="P335" s="328">
        <v>43298</v>
      </c>
      <c r="Q335" s="303" t="s">
        <v>1952</v>
      </c>
      <c r="R335" s="303">
        <f t="shared" si="9"/>
        <v>0</v>
      </c>
      <c r="S335" s="303">
        <v>0</v>
      </c>
    </row>
    <row r="336" spans="1:19" x14ac:dyDescent="0.25">
      <c r="A336" s="303" t="s">
        <v>3149</v>
      </c>
      <c r="B336" s="303" t="s">
        <v>3148</v>
      </c>
      <c r="C336" s="328">
        <v>43298</v>
      </c>
      <c r="D336" s="303" t="s">
        <v>1961</v>
      </c>
      <c r="E336" s="303" t="s">
        <v>1960</v>
      </c>
      <c r="F336" s="303" t="s">
        <v>1967</v>
      </c>
      <c r="G336" s="303" t="s">
        <v>2183</v>
      </c>
      <c r="H336" s="303" t="s">
        <v>1956</v>
      </c>
      <c r="I336" s="304">
        <v>-406</v>
      </c>
      <c r="J336" s="303" t="s">
        <v>1967</v>
      </c>
      <c r="K336" s="303" t="s">
        <v>2134</v>
      </c>
      <c r="L336" s="303" t="s">
        <v>1956</v>
      </c>
      <c r="M336" s="303" t="s">
        <v>3147</v>
      </c>
      <c r="N336" s="303" t="s">
        <v>1987</v>
      </c>
      <c r="O336" s="303" t="s">
        <v>1986</v>
      </c>
      <c r="P336" s="328">
        <v>43298</v>
      </c>
      <c r="Q336" s="303" t="s">
        <v>1952</v>
      </c>
      <c r="R336" s="303">
        <f t="shared" si="9"/>
        <v>0</v>
      </c>
      <c r="S336" s="303">
        <v>0</v>
      </c>
    </row>
    <row r="337" spans="1:19" x14ac:dyDescent="0.25">
      <c r="A337" s="303" t="s">
        <v>3146</v>
      </c>
      <c r="B337" s="303" t="s">
        <v>3145</v>
      </c>
      <c r="C337" s="328">
        <v>43298</v>
      </c>
      <c r="D337" s="303" t="s">
        <v>1965</v>
      </c>
      <c r="E337" s="303" t="s">
        <v>1964</v>
      </c>
      <c r="F337" s="303" t="s">
        <v>1967</v>
      </c>
      <c r="G337" s="303" t="s">
        <v>2123</v>
      </c>
      <c r="H337" s="303" t="s">
        <v>1956</v>
      </c>
      <c r="I337" s="304">
        <v>2483</v>
      </c>
      <c r="J337" s="303" t="s">
        <v>1967</v>
      </c>
      <c r="K337" s="303" t="s">
        <v>2134</v>
      </c>
      <c r="L337" s="303" t="s">
        <v>1956</v>
      </c>
      <c r="M337" s="303" t="s">
        <v>3144</v>
      </c>
      <c r="N337" s="303" t="s">
        <v>1987</v>
      </c>
      <c r="O337" s="303" t="s">
        <v>1986</v>
      </c>
      <c r="P337" s="328">
        <v>43298</v>
      </c>
      <c r="Q337" s="303" t="s">
        <v>1952</v>
      </c>
      <c r="R337" s="303">
        <f t="shared" si="9"/>
        <v>0</v>
      </c>
      <c r="S337" s="303">
        <v>0</v>
      </c>
    </row>
    <row r="338" spans="1:19" x14ac:dyDescent="0.25">
      <c r="A338" s="303" t="s">
        <v>3146</v>
      </c>
      <c r="B338" s="303" t="s">
        <v>3145</v>
      </c>
      <c r="C338" s="328">
        <v>43298</v>
      </c>
      <c r="D338" s="303" t="s">
        <v>1961</v>
      </c>
      <c r="E338" s="303" t="s">
        <v>1960</v>
      </c>
      <c r="F338" s="303" t="s">
        <v>1967</v>
      </c>
      <c r="G338" s="303" t="s">
        <v>2123</v>
      </c>
      <c r="H338" s="303" t="s">
        <v>1956</v>
      </c>
      <c r="I338" s="304">
        <v>-2483</v>
      </c>
      <c r="J338" s="303" t="s">
        <v>1967</v>
      </c>
      <c r="K338" s="303" t="s">
        <v>2134</v>
      </c>
      <c r="L338" s="303" t="s">
        <v>1956</v>
      </c>
      <c r="M338" s="303" t="s">
        <v>3144</v>
      </c>
      <c r="N338" s="303" t="s">
        <v>1987</v>
      </c>
      <c r="O338" s="303" t="s">
        <v>1986</v>
      </c>
      <c r="P338" s="328">
        <v>43298</v>
      </c>
      <c r="Q338" s="303" t="s">
        <v>1952</v>
      </c>
      <c r="R338" s="303">
        <f t="shared" si="9"/>
        <v>0</v>
      </c>
      <c r="S338" s="303">
        <v>0</v>
      </c>
    </row>
    <row r="339" spans="1:19" x14ac:dyDescent="0.25">
      <c r="A339" s="303" t="s">
        <v>3143</v>
      </c>
      <c r="B339" s="303" t="s">
        <v>3142</v>
      </c>
      <c r="C339" s="328">
        <v>43298</v>
      </c>
      <c r="D339" s="303" t="s">
        <v>1965</v>
      </c>
      <c r="E339" s="303" t="s">
        <v>1964</v>
      </c>
      <c r="F339" s="303" t="s">
        <v>1967</v>
      </c>
      <c r="G339" s="303" t="s">
        <v>2123</v>
      </c>
      <c r="H339" s="303" t="s">
        <v>1956</v>
      </c>
      <c r="I339" s="304">
        <v>3632</v>
      </c>
      <c r="J339" s="303" t="s">
        <v>1967</v>
      </c>
      <c r="K339" s="303" t="s">
        <v>2134</v>
      </c>
      <c r="L339" s="303" t="s">
        <v>1956</v>
      </c>
      <c r="M339" s="303" t="s">
        <v>3123</v>
      </c>
      <c r="N339" s="303" t="s">
        <v>1987</v>
      </c>
      <c r="O339" s="303" t="s">
        <v>1986</v>
      </c>
      <c r="P339" s="328">
        <v>43298</v>
      </c>
      <c r="Q339" s="303" t="s">
        <v>1952</v>
      </c>
      <c r="R339" s="303">
        <f t="shared" si="9"/>
        <v>0</v>
      </c>
      <c r="S339" s="303">
        <v>0</v>
      </c>
    </row>
    <row r="340" spans="1:19" x14ac:dyDescent="0.25">
      <c r="A340" s="303" t="s">
        <v>3143</v>
      </c>
      <c r="B340" s="303" t="s">
        <v>3142</v>
      </c>
      <c r="C340" s="328">
        <v>43298</v>
      </c>
      <c r="D340" s="303" t="s">
        <v>1961</v>
      </c>
      <c r="E340" s="303" t="s">
        <v>1960</v>
      </c>
      <c r="F340" s="303" t="s">
        <v>1967</v>
      </c>
      <c r="G340" s="303" t="s">
        <v>2123</v>
      </c>
      <c r="H340" s="303" t="s">
        <v>1956</v>
      </c>
      <c r="I340" s="304">
        <v>-3632</v>
      </c>
      <c r="J340" s="303" t="s">
        <v>1967</v>
      </c>
      <c r="K340" s="303" t="s">
        <v>2134</v>
      </c>
      <c r="L340" s="303" t="s">
        <v>1956</v>
      </c>
      <c r="M340" s="303" t="s">
        <v>3123</v>
      </c>
      <c r="N340" s="303" t="s">
        <v>1987</v>
      </c>
      <c r="O340" s="303" t="s">
        <v>1986</v>
      </c>
      <c r="P340" s="328">
        <v>43298</v>
      </c>
      <c r="Q340" s="303" t="s">
        <v>1952</v>
      </c>
      <c r="R340" s="303">
        <f t="shared" si="9"/>
        <v>0</v>
      </c>
      <c r="S340" s="303">
        <v>0</v>
      </c>
    </row>
    <row r="341" spans="1:19" x14ac:dyDescent="0.25">
      <c r="A341" s="303" t="s">
        <v>3141</v>
      </c>
      <c r="B341" s="303" t="s">
        <v>3140</v>
      </c>
      <c r="C341" s="328">
        <v>43298</v>
      </c>
      <c r="D341" s="303" t="s">
        <v>1965</v>
      </c>
      <c r="E341" s="303" t="s">
        <v>1964</v>
      </c>
      <c r="F341" s="303" t="s">
        <v>1967</v>
      </c>
      <c r="G341" s="303" t="s">
        <v>1424</v>
      </c>
      <c r="H341" s="303" t="s">
        <v>1956</v>
      </c>
      <c r="I341" s="304">
        <v>1230</v>
      </c>
      <c r="J341" s="303" t="s">
        <v>1967</v>
      </c>
      <c r="K341" s="303" t="s">
        <v>2134</v>
      </c>
      <c r="L341" s="303" t="s">
        <v>1956</v>
      </c>
      <c r="M341" s="303" t="s">
        <v>3135</v>
      </c>
      <c r="N341" s="303" t="s">
        <v>1987</v>
      </c>
      <c r="O341" s="303" t="s">
        <v>1986</v>
      </c>
      <c r="P341" s="328">
        <v>43298</v>
      </c>
      <c r="Q341" s="303" t="s">
        <v>1952</v>
      </c>
      <c r="R341" s="303">
        <f t="shared" si="9"/>
        <v>0</v>
      </c>
      <c r="S341" s="303">
        <v>0</v>
      </c>
    </row>
    <row r="342" spans="1:19" x14ac:dyDescent="0.25">
      <c r="A342" s="303" t="s">
        <v>3141</v>
      </c>
      <c r="B342" s="303" t="s">
        <v>3140</v>
      </c>
      <c r="C342" s="328">
        <v>43298</v>
      </c>
      <c r="D342" s="303" t="s">
        <v>1961</v>
      </c>
      <c r="E342" s="303" t="s">
        <v>1960</v>
      </c>
      <c r="F342" s="303" t="s">
        <v>1967</v>
      </c>
      <c r="G342" s="303" t="s">
        <v>1424</v>
      </c>
      <c r="H342" s="303" t="s">
        <v>1956</v>
      </c>
      <c r="I342" s="304">
        <v>-1230</v>
      </c>
      <c r="J342" s="303" t="s">
        <v>1967</v>
      </c>
      <c r="K342" s="303" t="s">
        <v>2134</v>
      </c>
      <c r="L342" s="303" t="s">
        <v>1956</v>
      </c>
      <c r="M342" s="303" t="s">
        <v>3135</v>
      </c>
      <c r="N342" s="303" t="s">
        <v>1987</v>
      </c>
      <c r="O342" s="303" t="s">
        <v>1986</v>
      </c>
      <c r="P342" s="328">
        <v>43298</v>
      </c>
      <c r="Q342" s="303" t="s">
        <v>1952</v>
      </c>
      <c r="R342" s="303">
        <f t="shared" si="9"/>
        <v>0</v>
      </c>
      <c r="S342" s="303">
        <v>0</v>
      </c>
    </row>
    <row r="343" spans="1:19" x14ac:dyDescent="0.25">
      <c r="A343" s="303" t="s">
        <v>3139</v>
      </c>
      <c r="B343" s="303" t="s">
        <v>3138</v>
      </c>
      <c r="C343" s="328">
        <v>43298</v>
      </c>
      <c r="D343" s="303" t="s">
        <v>1965</v>
      </c>
      <c r="E343" s="303" t="s">
        <v>1964</v>
      </c>
      <c r="F343" s="303" t="s">
        <v>1967</v>
      </c>
      <c r="G343" s="303" t="s">
        <v>1442</v>
      </c>
      <c r="H343" s="303" t="s">
        <v>1956</v>
      </c>
      <c r="I343" s="304">
        <v>1230</v>
      </c>
      <c r="J343" s="303" t="s">
        <v>1967</v>
      </c>
      <c r="K343" s="303" t="s">
        <v>2134</v>
      </c>
      <c r="L343" s="303" t="s">
        <v>1956</v>
      </c>
      <c r="M343" s="303" t="s">
        <v>3135</v>
      </c>
      <c r="N343" s="303" t="s">
        <v>1987</v>
      </c>
      <c r="O343" s="303" t="s">
        <v>1986</v>
      </c>
      <c r="P343" s="328">
        <v>43298</v>
      </c>
      <c r="Q343" s="303" t="s">
        <v>1952</v>
      </c>
      <c r="R343" s="303">
        <f t="shared" si="9"/>
        <v>0</v>
      </c>
      <c r="S343" s="303">
        <v>0</v>
      </c>
    </row>
    <row r="344" spans="1:19" x14ac:dyDescent="0.25">
      <c r="A344" s="303" t="s">
        <v>3139</v>
      </c>
      <c r="B344" s="303" t="s">
        <v>3138</v>
      </c>
      <c r="C344" s="328">
        <v>43298</v>
      </c>
      <c r="D344" s="303" t="s">
        <v>1961</v>
      </c>
      <c r="E344" s="303" t="s">
        <v>1960</v>
      </c>
      <c r="F344" s="303" t="s">
        <v>1967</v>
      </c>
      <c r="G344" s="303" t="s">
        <v>1442</v>
      </c>
      <c r="H344" s="303" t="s">
        <v>1956</v>
      </c>
      <c r="I344" s="304">
        <v>-1230</v>
      </c>
      <c r="J344" s="303" t="s">
        <v>1967</v>
      </c>
      <c r="K344" s="303" t="s">
        <v>2134</v>
      </c>
      <c r="L344" s="303" t="s">
        <v>1956</v>
      </c>
      <c r="M344" s="303" t="s">
        <v>3135</v>
      </c>
      <c r="N344" s="303" t="s">
        <v>1987</v>
      </c>
      <c r="O344" s="303" t="s">
        <v>1986</v>
      </c>
      <c r="P344" s="328">
        <v>43298</v>
      </c>
      <c r="Q344" s="303" t="s">
        <v>1952</v>
      </c>
      <c r="R344" s="303">
        <f t="shared" si="9"/>
        <v>0</v>
      </c>
      <c r="S344" s="303">
        <v>0</v>
      </c>
    </row>
    <row r="345" spans="1:19" x14ac:dyDescent="0.25">
      <c r="A345" s="303" t="s">
        <v>3137</v>
      </c>
      <c r="B345" s="303" t="s">
        <v>3136</v>
      </c>
      <c r="C345" s="328">
        <v>43298</v>
      </c>
      <c r="D345" s="303" t="s">
        <v>1965</v>
      </c>
      <c r="E345" s="303" t="s">
        <v>1964</v>
      </c>
      <c r="F345" s="303" t="s">
        <v>1967</v>
      </c>
      <c r="G345" s="303" t="s">
        <v>1436</v>
      </c>
      <c r="H345" s="303" t="s">
        <v>1956</v>
      </c>
      <c r="I345" s="304">
        <v>1640</v>
      </c>
      <c r="J345" s="303" t="s">
        <v>1967</v>
      </c>
      <c r="K345" s="303" t="s">
        <v>2134</v>
      </c>
      <c r="L345" s="303" t="s">
        <v>1956</v>
      </c>
      <c r="M345" s="303" t="s">
        <v>3135</v>
      </c>
      <c r="N345" s="303" t="s">
        <v>1987</v>
      </c>
      <c r="O345" s="303" t="s">
        <v>1986</v>
      </c>
      <c r="P345" s="328">
        <v>43298</v>
      </c>
      <c r="Q345" s="303" t="s">
        <v>1952</v>
      </c>
      <c r="R345" s="303">
        <f t="shared" si="9"/>
        <v>0</v>
      </c>
      <c r="S345" s="303">
        <v>0</v>
      </c>
    </row>
    <row r="346" spans="1:19" x14ac:dyDescent="0.25">
      <c r="A346" s="303" t="s">
        <v>3137</v>
      </c>
      <c r="B346" s="303" t="s">
        <v>3136</v>
      </c>
      <c r="C346" s="328">
        <v>43298</v>
      </c>
      <c r="D346" s="303" t="s">
        <v>1961</v>
      </c>
      <c r="E346" s="303" t="s">
        <v>1960</v>
      </c>
      <c r="F346" s="303" t="s">
        <v>1967</v>
      </c>
      <c r="G346" s="303" t="s">
        <v>1436</v>
      </c>
      <c r="H346" s="303" t="s">
        <v>1956</v>
      </c>
      <c r="I346" s="304">
        <v>-1640</v>
      </c>
      <c r="J346" s="303" t="s">
        <v>1967</v>
      </c>
      <c r="K346" s="303" t="s">
        <v>2134</v>
      </c>
      <c r="L346" s="303" t="s">
        <v>1956</v>
      </c>
      <c r="M346" s="303" t="s">
        <v>3135</v>
      </c>
      <c r="N346" s="303" t="s">
        <v>1987</v>
      </c>
      <c r="O346" s="303" t="s">
        <v>1986</v>
      </c>
      <c r="P346" s="328">
        <v>43298</v>
      </c>
      <c r="Q346" s="303" t="s">
        <v>1952</v>
      </c>
      <c r="R346" s="303">
        <f t="shared" si="9"/>
        <v>0</v>
      </c>
      <c r="S346" s="303">
        <v>0</v>
      </c>
    </row>
    <row r="347" spans="1:19" x14ac:dyDescent="0.25">
      <c r="A347" s="303" t="s">
        <v>3134</v>
      </c>
      <c r="B347" s="303" t="s">
        <v>3133</v>
      </c>
      <c r="C347" s="328">
        <v>43298</v>
      </c>
      <c r="D347" s="303" t="s">
        <v>1965</v>
      </c>
      <c r="E347" s="303" t="s">
        <v>1964</v>
      </c>
      <c r="F347" s="303" t="s">
        <v>1967</v>
      </c>
      <c r="G347" s="303" t="s">
        <v>1436</v>
      </c>
      <c r="H347" s="303" t="s">
        <v>1956</v>
      </c>
      <c r="I347" s="304">
        <v>2664</v>
      </c>
      <c r="J347" s="303" t="s">
        <v>1967</v>
      </c>
      <c r="K347" s="303" t="s">
        <v>2134</v>
      </c>
      <c r="L347" s="303" t="s">
        <v>1956</v>
      </c>
      <c r="M347" s="303" t="s">
        <v>3132</v>
      </c>
      <c r="N347" s="303" t="s">
        <v>1987</v>
      </c>
      <c r="O347" s="303" t="s">
        <v>1986</v>
      </c>
      <c r="P347" s="328">
        <v>43298</v>
      </c>
      <c r="Q347" s="303" t="s">
        <v>1952</v>
      </c>
      <c r="R347" s="303">
        <f t="shared" si="9"/>
        <v>0</v>
      </c>
      <c r="S347" s="303">
        <v>0</v>
      </c>
    </row>
    <row r="348" spans="1:19" x14ac:dyDescent="0.25">
      <c r="A348" s="303" t="s">
        <v>3134</v>
      </c>
      <c r="B348" s="303" t="s">
        <v>3133</v>
      </c>
      <c r="C348" s="328">
        <v>43298</v>
      </c>
      <c r="D348" s="303" t="s">
        <v>1961</v>
      </c>
      <c r="E348" s="303" t="s">
        <v>1960</v>
      </c>
      <c r="F348" s="303" t="s">
        <v>1967</v>
      </c>
      <c r="G348" s="303" t="s">
        <v>1436</v>
      </c>
      <c r="H348" s="303" t="s">
        <v>1956</v>
      </c>
      <c r="I348" s="304">
        <v>-2664</v>
      </c>
      <c r="J348" s="303" t="s">
        <v>1967</v>
      </c>
      <c r="K348" s="303" t="s">
        <v>2134</v>
      </c>
      <c r="L348" s="303" t="s">
        <v>1956</v>
      </c>
      <c r="M348" s="303" t="s">
        <v>3132</v>
      </c>
      <c r="N348" s="303" t="s">
        <v>1987</v>
      </c>
      <c r="O348" s="303" t="s">
        <v>1986</v>
      </c>
      <c r="P348" s="328">
        <v>43298</v>
      </c>
      <c r="Q348" s="303" t="s">
        <v>1952</v>
      </c>
      <c r="R348" s="303">
        <f t="shared" si="9"/>
        <v>0</v>
      </c>
      <c r="S348" s="303">
        <v>0</v>
      </c>
    </row>
    <row r="349" spans="1:19" x14ac:dyDescent="0.25">
      <c r="A349" s="303" t="s">
        <v>3131</v>
      </c>
      <c r="B349" s="303" t="s">
        <v>3130</v>
      </c>
      <c r="C349" s="328">
        <v>43298</v>
      </c>
      <c r="D349" s="303" t="s">
        <v>1965</v>
      </c>
      <c r="E349" s="303" t="s">
        <v>1964</v>
      </c>
      <c r="F349" s="303" t="s">
        <v>1967</v>
      </c>
      <c r="G349" s="303" t="s">
        <v>2228</v>
      </c>
      <c r="H349" s="303" t="s">
        <v>1956</v>
      </c>
      <c r="I349" s="304">
        <v>835</v>
      </c>
      <c r="J349" s="303" t="s">
        <v>1967</v>
      </c>
      <c r="K349" s="303" t="s">
        <v>2134</v>
      </c>
      <c r="L349" s="303" t="s">
        <v>1956</v>
      </c>
      <c r="M349" s="303" t="s">
        <v>3129</v>
      </c>
      <c r="N349" s="303" t="s">
        <v>1987</v>
      </c>
      <c r="O349" s="303" t="s">
        <v>1986</v>
      </c>
      <c r="P349" s="328">
        <v>43298</v>
      </c>
      <c r="Q349" s="303" t="s">
        <v>1952</v>
      </c>
      <c r="R349" s="303">
        <f t="shared" si="9"/>
        <v>0</v>
      </c>
      <c r="S349" s="303">
        <v>0</v>
      </c>
    </row>
    <row r="350" spans="1:19" x14ac:dyDescent="0.25">
      <c r="A350" s="303" t="s">
        <v>3131</v>
      </c>
      <c r="B350" s="303" t="s">
        <v>3130</v>
      </c>
      <c r="C350" s="328">
        <v>43298</v>
      </c>
      <c r="D350" s="303" t="s">
        <v>1961</v>
      </c>
      <c r="E350" s="303" t="s">
        <v>1960</v>
      </c>
      <c r="F350" s="303" t="s">
        <v>1967</v>
      </c>
      <c r="G350" s="303" t="s">
        <v>2228</v>
      </c>
      <c r="H350" s="303" t="s">
        <v>1956</v>
      </c>
      <c r="I350" s="304">
        <v>-835</v>
      </c>
      <c r="J350" s="303" t="s">
        <v>1967</v>
      </c>
      <c r="K350" s="303" t="s">
        <v>2134</v>
      </c>
      <c r="L350" s="303" t="s">
        <v>1956</v>
      </c>
      <c r="M350" s="303" t="s">
        <v>3129</v>
      </c>
      <c r="N350" s="303" t="s">
        <v>1987</v>
      </c>
      <c r="O350" s="303" t="s">
        <v>1986</v>
      </c>
      <c r="P350" s="328">
        <v>43298</v>
      </c>
      <c r="Q350" s="303" t="s">
        <v>1952</v>
      </c>
      <c r="R350" s="303">
        <f t="shared" si="9"/>
        <v>0</v>
      </c>
      <c r="S350" s="303">
        <v>0</v>
      </c>
    </row>
    <row r="351" spans="1:19" x14ac:dyDescent="0.25">
      <c r="A351" s="303" t="s">
        <v>3128</v>
      </c>
      <c r="B351" s="303" t="s">
        <v>3127</v>
      </c>
      <c r="C351" s="328">
        <v>43298</v>
      </c>
      <c r="D351" s="303" t="s">
        <v>1965</v>
      </c>
      <c r="E351" s="303" t="s">
        <v>1964</v>
      </c>
      <c r="F351" s="303" t="s">
        <v>1967</v>
      </c>
      <c r="G351" s="303" t="s">
        <v>1433</v>
      </c>
      <c r="H351" s="303" t="s">
        <v>1956</v>
      </c>
      <c r="I351" s="304">
        <v>2295</v>
      </c>
      <c r="J351" s="303" t="s">
        <v>1967</v>
      </c>
      <c r="K351" s="303" t="s">
        <v>2134</v>
      </c>
      <c r="L351" s="303" t="s">
        <v>1956</v>
      </c>
      <c r="M351" s="303" t="s">
        <v>3126</v>
      </c>
      <c r="N351" s="303" t="s">
        <v>1987</v>
      </c>
      <c r="O351" s="303" t="s">
        <v>1986</v>
      </c>
      <c r="P351" s="328">
        <v>43298</v>
      </c>
      <c r="Q351" s="303" t="s">
        <v>1952</v>
      </c>
      <c r="R351" s="303">
        <f t="shared" si="9"/>
        <v>0</v>
      </c>
      <c r="S351" s="303">
        <v>0</v>
      </c>
    </row>
    <row r="352" spans="1:19" x14ac:dyDescent="0.25">
      <c r="A352" s="303" t="s">
        <v>3128</v>
      </c>
      <c r="B352" s="303" t="s">
        <v>3127</v>
      </c>
      <c r="C352" s="328">
        <v>43298</v>
      </c>
      <c r="D352" s="303" t="s">
        <v>1961</v>
      </c>
      <c r="E352" s="303" t="s">
        <v>1960</v>
      </c>
      <c r="F352" s="303" t="s">
        <v>1967</v>
      </c>
      <c r="G352" s="303" t="s">
        <v>1433</v>
      </c>
      <c r="H352" s="303" t="s">
        <v>1956</v>
      </c>
      <c r="I352" s="304">
        <v>-2295</v>
      </c>
      <c r="J352" s="303" t="s">
        <v>1967</v>
      </c>
      <c r="K352" s="303" t="s">
        <v>2134</v>
      </c>
      <c r="L352" s="303" t="s">
        <v>1956</v>
      </c>
      <c r="M352" s="303" t="s">
        <v>3126</v>
      </c>
      <c r="N352" s="303" t="s">
        <v>1987</v>
      </c>
      <c r="O352" s="303" t="s">
        <v>1986</v>
      </c>
      <c r="P352" s="328">
        <v>43298</v>
      </c>
      <c r="Q352" s="303" t="s">
        <v>1952</v>
      </c>
      <c r="R352" s="303">
        <f t="shared" si="9"/>
        <v>0</v>
      </c>
      <c r="S352" s="303">
        <v>0</v>
      </c>
    </row>
    <row r="353" spans="1:19" x14ac:dyDescent="0.25">
      <c r="A353" s="303" t="s">
        <v>3125</v>
      </c>
      <c r="B353" s="303" t="s">
        <v>3124</v>
      </c>
      <c r="C353" s="328">
        <v>43298</v>
      </c>
      <c r="D353" s="303" t="s">
        <v>1965</v>
      </c>
      <c r="E353" s="303" t="s">
        <v>1964</v>
      </c>
      <c r="F353" s="303" t="s">
        <v>1967</v>
      </c>
      <c r="G353" s="303" t="s">
        <v>2154</v>
      </c>
      <c r="H353" s="303" t="s">
        <v>1956</v>
      </c>
      <c r="I353" s="304">
        <v>2422</v>
      </c>
      <c r="J353" s="303" t="s">
        <v>1967</v>
      </c>
      <c r="K353" s="303" t="s">
        <v>2134</v>
      </c>
      <c r="L353" s="303" t="s">
        <v>1956</v>
      </c>
      <c r="M353" s="303" t="s">
        <v>3123</v>
      </c>
      <c r="N353" s="303" t="s">
        <v>1987</v>
      </c>
      <c r="O353" s="303" t="s">
        <v>1986</v>
      </c>
      <c r="P353" s="328">
        <v>43298</v>
      </c>
      <c r="Q353" s="303" t="s">
        <v>1952</v>
      </c>
      <c r="R353" s="303">
        <f t="shared" si="9"/>
        <v>0</v>
      </c>
      <c r="S353" s="303">
        <v>0</v>
      </c>
    </row>
    <row r="354" spans="1:19" x14ac:dyDescent="0.25">
      <c r="A354" s="303" t="s">
        <v>3125</v>
      </c>
      <c r="B354" s="303" t="s">
        <v>3124</v>
      </c>
      <c r="C354" s="328">
        <v>43298</v>
      </c>
      <c r="D354" s="303" t="s">
        <v>1961</v>
      </c>
      <c r="E354" s="303" t="s">
        <v>1960</v>
      </c>
      <c r="F354" s="303" t="s">
        <v>1967</v>
      </c>
      <c r="G354" s="303" t="s">
        <v>2154</v>
      </c>
      <c r="H354" s="303" t="s">
        <v>1956</v>
      </c>
      <c r="I354" s="304">
        <v>-2422</v>
      </c>
      <c r="J354" s="303" t="s">
        <v>1967</v>
      </c>
      <c r="K354" s="303" t="s">
        <v>2134</v>
      </c>
      <c r="L354" s="303" t="s">
        <v>1956</v>
      </c>
      <c r="M354" s="303" t="s">
        <v>3123</v>
      </c>
      <c r="N354" s="303" t="s">
        <v>1987</v>
      </c>
      <c r="O354" s="303" t="s">
        <v>1986</v>
      </c>
      <c r="P354" s="328">
        <v>43298</v>
      </c>
      <c r="Q354" s="303" t="s">
        <v>1952</v>
      </c>
      <c r="R354" s="303">
        <f t="shared" si="9"/>
        <v>0</v>
      </c>
      <c r="S354" s="303">
        <v>0</v>
      </c>
    </row>
    <row r="355" spans="1:19" x14ac:dyDescent="0.25">
      <c r="A355" s="303" t="s">
        <v>3122</v>
      </c>
      <c r="B355" s="303" t="s">
        <v>3121</v>
      </c>
      <c r="C355" s="328">
        <v>43298</v>
      </c>
      <c r="D355" s="303" t="s">
        <v>1965</v>
      </c>
      <c r="E355" s="303" t="s">
        <v>1964</v>
      </c>
      <c r="F355" s="303" t="s">
        <v>1967</v>
      </c>
      <c r="G355" s="303" t="s">
        <v>2112</v>
      </c>
      <c r="H355" s="303" t="s">
        <v>1956</v>
      </c>
      <c r="I355" s="304">
        <v>5248</v>
      </c>
      <c r="J355" s="303" t="s">
        <v>1967</v>
      </c>
      <c r="K355" s="303" t="s">
        <v>2134</v>
      </c>
      <c r="L355" s="303" t="s">
        <v>1956</v>
      </c>
      <c r="M355" s="303" t="s">
        <v>3111</v>
      </c>
      <c r="N355" s="303" t="s">
        <v>1987</v>
      </c>
      <c r="O355" s="303" t="s">
        <v>1986</v>
      </c>
      <c r="P355" s="328">
        <v>43298</v>
      </c>
      <c r="Q355" s="303" t="s">
        <v>1952</v>
      </c>
      <c r="R355" s="303">
        <f t="shared" si="9"/>
        <v>0</v>
      </c>
      <c r="S355" s="303">
        <v>0</v>
      </c>
    </row>
    <row r="356" spans="1:19" x14ac:dyDescent="0.25">
      <c r="A356" s="303" t="s">
        <v>3122</v>
      </c>
      <c r="B356" s="303" t="s">
        <v>3121</v>
      </c>
      <c r="C356" s="328">
        <v>43298</v>
      </c>
      <c r="D356" s="303" t="s">
        <v>1961</v>
      </c>
      <c r="E356" s="303" t="s">
        <v>1960</v>
      </c>
      <c r="F356" s="303" t="s">
        <v>1967</v>
      </c>
      <c r="G356" s="303" t="s">
        <v>2112</v>
      </c>
      <c r="H356" s="303" t="s">
        <v>1956</v>
      </c>
      <c r="I356" s="304">
        <v>-5248</v>
      </c>
      <c r="J356" s="303" t="s">
        <v>1967</v>
      </c>
      <c r="K356" s="303" t="s">
        <v>2134</v>
      </c>
      <c r="L356" s="303" t="s">
        <v>1956</v>
      </c>
      <c r="M356" s="303" t="s">
        <v>3111</v>
      </c>
      <c r="N356" s="303" t="s">
        <v>1987</v>
      </c>
      <c r="O356" s="303" t="s">
        <v>1986</v>
      </c>
      <c r="P356" s="328">
        <v>43298</v>
      </c>
      <c r="Q356" s="303" t="s">
        <v>1952</v>
      </c>
      <c r="R356" s="303">
        <f t="shared" si="9"/>
        <v>0</v>
      </c>
      <c r="S356" s="303">
        <v>0</v>
      </c>
    </row>
    <row r="357" spans="1:19" x14ac:dyDescent="0.25">
      <c r="A357" s="303" t="s">
        <v>3120</v>
      </c>
      <c r="B357" s="303" t="s">
        <v>3119</v>
      </c>
      <c r="C357" s="328">
        <v>43298</v>
      </c>
      <c r="D357" s="303" t="s">
        <v>1965</v>
      </c>
      <c r="E357" s="303" t="s">
        <v>1964</v>
      </c>
      <c r="F357" s="303" t="s">
        <v>1967</v>
      </c>
      <c r="G357" s="303" t="s">
        <v>2112</v>
      </c>
      <c r="H357" s="303" t="s">
        <v>1956</v>
      </c>
      <c r="I357" s="304">
        <v>747</v>
      </c>
      <c r="J357" s="303" t="s">
        <v>1967</v>
      </c>
      <c r="K357" s="303" t="s">
        <v>2134</v>
      </c>
      <c r="L357" s="303" t="s">
        <v>1956</v>
      </c>
      <c r="M357" s="303" t="s">
        <v>3118</v>
      </c>
      <c r="N357" s="303" t="s">
        <v>1987</v>
      </c>
      <c r="O357" s="303" t="s">
        <v>1986</v>
      </c>
      <c r="P357" s="328">
        <v>43298</v>
      </c>
      <c r="Q357" s="303" t="s">
        <v>1952</v>
      </c>
      <c r="R357" s="303">
        <f t="shared" si="9"/>
        <v>0</v>
      </c>
      <c r="S357" s="303">
        <v>0</v>
      </c>
    </row>
    <row r="358" spans="1:19" x14ac:dyDescent="0.25">
      <c r="A358" s="303" t="s">
        <v>3120</v>
      </c>
      <c r="B358" s="303" t="s">
        <v>3119</v>
      </c>
      <c r="C358" s="328">
        <v>43298</v>
      </c>
      <c r="D358" s="303" t="s">
        <v>1961</v>
      </c>
      <c r="E358" s="303" t="s">
        <v>1960</v>
      </c>
      <c r="F358" s="303" t="s">
        <v>1967</v>
      </c>
      <c r="G358" s="303" t="s">
        <v>2112</v>
      </c>
      <c r="H358" s="303" t="s">
        <v>1956</v>
      </c>
      <c r="I358" s="304">
        <v>-747</v>
      </c>
      <c r="J358" s="303" t="s">
        <v>1967</v>
      </c>
      <c r="K358" s="303" t="s">
        <v>2134</v>
      </c>
      <c r="L358" s="303" t="s">
        <v>1956</v>
      </c>
      <c r="M358" s="303" t="s">
        <v>3118</v>
      </c>
      <c r="N358" s="303" t="s">
        <v>1987</v>
      </c>
      <c r="O358" s="303" t="s">
        <v>1986</v>
      </c>
      <c r="P358" s="328">
        <v>43298</v>
      </c>
      <c r="Q358" s="303" t="s">
        <v>1952</v>
      </c>
      <c r="R358" s="303">
        <f t="shared" si="9"/>
        <v>0</v>
      </c>
      <c r="S358" s="303">
        <v>0</v>
      </c>
    </row>
    <row r="359" spans="1:19" x14ac:dyDescent="0.25">
      <c r="A359" s="303" t="s">
        <v>3117</v>
      </c>
      <c r="B359" s="303" t="s">
        <v>3116</v>
      </c>
      <c r="C359" s="328">
        <v>43298</v>
      </c>
      <c r="D359" s="303" t="s">
        <v>1965</v>
      </c>
      <c r="E359" s="303" t="s">
        <v>1964</v>
      </c>
      <c r="F359" s="303" t="s">
        <v>1967</v>
      </c>
      <c r="G359" s="303" t="s">
        <v>3115</v>
      </c>
      <c r="H359" s="303" t="s">
        <v>1956</v>
      </c>
      <c r="I359" s="304">
        <v>6450</v>
      </c>
      <c r="J359" s="303" t="s">
        <v>1967</v>
      </c>
      <c r="K359" s="303" t="s">
        <v>2134</v>
      </c>
      <c r="L359" s="303" t="s">
        <v>1956</v>
      </c>
      <c r="M359" s="303" t="s">
        <v>3114</v>
      </c>
      <c r="N359" s="303" t="s">
        <v>1987</v>
      </c>
      <c r="O359" s="303" t="s">
        <v>1986</v>
      </c>
      <c r="P359" s="328">
        <v>43298</v>
      </c>
      <c r="Q359" s="303" t="s">
        <v>1952</v>
      </c>
      <c r="R359" s="303">
        <f t="shared" si="9"/>
        <v>0</v>
      </c>
      <c r="S359" s="303">
        <v>0</v>
      </c>
    </row>
    <row r="360" spans="1:19" x14ac:dyDescent="0.25">
      <c r="A360" s="303" t="s">
        <v>3117</v>
      </c>
      <c r="B360" s="303" t="s">
        <v>3116</v>
      </c>
      <c r="C360" s="328">
        <v>43298</v>
      </c>
      <c r="D360" s="303" t="s">
        <v>1961</v>
      </c>
      <c r="E360" s="303" t="s">
        <v>1960</v>
      </c>
      <c r="F360" s="303" t="s">
        <v>1967</v>
      </c>
      <c r="G360" s="303" t="s">
        <v>3115</v>
      </c>
      <c r="H360" s="303" t="s">
        <v>1956</v>
      </c>
      <c r="I360" s="304">
        <v>-6450</v>
      </c>
      <c r="J360" s="303" t="s">
        <v>1967</v>
      </c>
      <c r="K360" s="303" t="s">
        <v>2134</v>
      </c>
      <c r="L360" s="303" t="s">
        <v>1956</v>
      </c>
      <c r="M360" s="303" t="s">
        <v>3114</v>
      </c>
      <c r="N360" s="303" t="s">
        <v>1987</v>
      </c>
      <c r="O360" s="303" t="s">
        <v>1986</v>
      </c>
      <c r="P360" s="328">
        <v>43298</v>
      </c>
      <c r="Q360" s="303" t="s">
        <v>1952</v>
      </c>
      <c r="R360" s="303">
        <f t="shared" si="9"/>
        <v>0</v>
      </c>
      <c r="S360" s="303">
        <v>0</v>
      </c>
    </row>
    <row r="361" spans="1:19" x14ac:dyDescent="0.25">
      <c r="A361" s="303" t="s">
        <v>3113</v>
      </c>
      <c r="B361" s="303" t="s">
        <v>3112</v>
      </c>
      <c r="C361" s="328">
        <v>43298</v>
      </c>
      <c r="D361" s="303" t="s">
        <v>1965</v>
      </c>
      <c r="E361" s="303" t="s">
        <v>1964</v>
      </c>
      <c r="F361" s="303" t="s">
        <v>1967</v>
      </c>
      <c r="G361" s="303" t="s">
        <v>2072</v>
      </c>
      <c r="H361" s="303" t="s">
        <v>1956</v>
      </c>
      <c r="I361" s="304">
        <v>5248</v>
      </c>
      <c r="J361" s="303" t="s">
        <v>1967</v>
      </c>
      <c r="K361" s="303" t="s">
        <v>2134</v>
      </c>
      <c r="L361" s="303" t="s">
        <v>1956</v>
      </c>
      <c r="M361" s="303" t="s">
        <v>3111</v>
      </c>
      <c r="N361" s="303" t="s">
        <v>1987</v>
      </c>
      <c r="O361" s="303" t="s">
        <v>1986</v>
      </c>
      <c r="P361" s="328">
        <v>43298</v>
      </c>
      <c r="Q361" s="303" t="s">
        <v>1952</v>
      </c>
      <c r="R361" s="303">
        <f t="shared" si="9"/>
        <v>0</v>
      </c>
      <c r="S361" s="303">
        <v>0</v>
      </c>
    </row>
    <row r="362" spans="1:19" x14ac:dyDescent="0.25">
      <c r="A362" s="303" t="s">
        <v>3113</v>
      </c>
      <c r="B362" s="303" t="s">
        <v>3112</v>
      </c>
      <c r="C362" s="328">
        <v>43298</v>
      </c>
      <c r="D362" s="303" t="s">
        <v>1961</v>
      </c>
      <c r="E362" s="303" t="s">
        <v>1960</v>
      </c>
      <c r="F362" s="303" t="s">
        <v>1967</v>
      </c>
      <c r="G362" s="303" t="s">
        <v>2072</v>
      </c>
      <c r="H362" s="303" t="s">
        <v>1956</v>
      </c>
      <c r="I362" s="304">
        <v>-5248</v>
      </c>
      <c r="J362" s="303" t="s">
        <v>1967</v>
      </c>
      <c r="K362" s="303" t="s">
        <v>2134</v>
      </c>
      <c r="L362" s="303" t="s">
        <v>1956</v>
      </c>
      <c r="M362" s="303" t="s">
        <v>3111</v>
      </c>
      <c r="N362" s="303" t="s">
        <v>1987</v>
      </c>
      <c r="O362" s="303" t="s">
        <v>1986</v>
      </c>
      <c r="P362" s="328">
        <v>43298</v>
      </c>
      <c r="Q362" s="303" t="s">
        <v>1952</v>
      </c>
      <c r="R362" s="303">
        <f t="shared" si="9"/>
        <v>0</v>
      </c>
      <c r="S362" s="303">
        <v>0</v>
      </c>
    </row>
    <row r="363" spans="1:19" x14ac:dyDescent="0.25">
      <c r="A363" s="303" t="s">
        <v>3110</v>
      </c>
      <c r="B363" s="303" t="s">
        <v>3109</v>
      </c>
      <c r="C363" s="328">
        <v>43298</v>
      </c>
      <c r="D363" s="303" t="s">
        <v>1965</v>
      </c>
      <c r="E363" s="303" t="s">
        <v>1964</v>
      </c>
      <c r="F363" s="303" t="s">
        <v>1967</v>
      </c>
      <c r="G363" s="303" t="s">
        <v>2130</v>
      </c>
      <c r="H363" s="303" t="s">
        <v>1956</v>
      </c>
      <c r="I363" s="304">
        <v>13744</v>
      </c>
      <c r="J363" s="303" t="s">
        <v>1967</v>
      </c>
      <c r="K363" s="303" t="s">
        <v>2134</v>
      </c>
      <c r="L363" s="303" t="s">
        <v>1956</v>
      </c>
      <c r="M363" s="303" t="s">
        <v>3108</v>
      </c>
      <c r="N363" s="303" t="s">
        <v>1987</v>
      </c>
      <c r="O363" s="303" t="s">
        <v>1986</v>
      </c>
      <c r="P363" s="328">
        <v>43298</v>
      </c>
      <c r="Q363" s="303" t="s">
        <v>1952</v>
      </c>
      <c r="R363" s="303">
        <f t="shared" si="9"/>
        <v>0</v>
      </c>
      <c r="S363" s="303">
        <v>0</v>
      </c>
    </row>
    <row r="364" spans="1:19" x14ac:dyDescent="0.25">
      <c r="A364" s="303" t="s">
        <v>3110</v>
      </c>
      <c r="B364" s="303" t="s">
        <v>3109</v>
      </c>
      <c r="C364" s="328">
        <v>43298</v>
      </c>
      <c r="D364" s="303" t="s">
        <v>1961</v>
      </c>
      <c r="E364" s="303" t="s">
        <v>1960</v>
      </c>
      <c r="F364" s="303" t="s">
        <v>1967</v>
      </c>
      <c r="G364" s="303" t="s">
        <v>2130</v>
      </c>
      <c r="H364" s="303" t="s">
        <v>1956</v>
      </c>
      <c r="I364" s="304">
        <v>-13744</v>
      </c>
      <c r="J364" s="303" t="s">
        <v>1967</v>
      </c>
      <c r="K364" s="303" t="s">
        <v>2134</v>
      </c>
      <c r="L364" s="303" t="s">
        <v>1956</v>
      </c>
      <c r="M364" s="303" t="s">
        <v>3108</v>
      </c>
      <c r="N364" s="303" t="s">
        <v>1987</v>
      </c>
      <c r="O364" s="303" t="s">
        <v>1986</v>
      </c>
      <c r="P364" s="328">
        <v>43298</v>
      </c>
      <c r="Q364" s="303" t="s">
        <v>1952</v>
      </c>
      <c r="R364" s="303">
        <f t="shared" si="9"/>
        <v>0</v>
      </c>
      <c r="S364" s="303">
        <v>0</v>
      </c>
    </row>
    <row r="365" spans="1:19" x14ac:dyDescent="0.25">
      <c r="A365" s="303" t="s">
        <v>3107</v>
      </c>
      <c r="B365" s="303" t="s">
        <v>3106</v>
      </c>
      <c r="C365" s="328">
        <v>43298</v>
      </c>
      <c r="D365" s="303" t="s">
        <v>1965</v>
      </c>
      <c r="E365" s="303" t="s">
        <v>1964</v>
      </c>
      <c r="F365" s="303" t="s">
        <v>1967</v>
      </c>
      <c r="G365" s="303" t="s">
        <v>2135</v>
      </c>
      <c r="H365" s="303" t="s">
        <v>1956</v>
      </c>
      <c r="I365" s="304">
        <v>16012</v>
      </c>
      <c r="J365" s="303" t="s">
        <v>1967</v>
      </c>
      <c r="K365" s="303" t="s">
        <v>2134</v>
      </c>
      <c r="L365" s="303" t="s">
        <v>1956</v>
      </c>
      <c r="M365" s="303" t="s">
        <v>3105</v>
      </c>
      <c r="N365" s="303" t="s">
        <v>1987</v>
      </c>
      <c r="O365" s="303" t="s">
        <v>1986</v>
      </c>
      <c r="P365" s="328">
        <v>43298</v>
      </c>
      <c r="Q365" s="303" t="s">
        <v>1952</v>
      </c>
      <c r="R365" s="303">
        <f t="shared" si="9"/>
        <v>0</v>
      </c>
      <c r="S365" s="303">
        <v>0</v>
      </c>
    </row>
    <row r="366" spans="1:19" x14ac:dyDescent="0.25">
      <c r="A366" s="303" t="s">
        <v>3107</v>
      </c>
      <c r="B366" s="303" t="s">
        <v>3106</v>
      </c>
      <c r="C366" s="328">
        <v>43298</v>
      </c>
      <c r="D366" s="303" t="s">
        <v>1961</v>
      </c>
      <c r="E366" s="303" t="s">
        <v>1960</v>
      </c>
      <c r="F366" s="303" t="s">
        <v>1967</v>
      </c>
      <c r="G366" s="303" t="s">
        <v>2135</v>
      </c>
      <c r="H366" s="303" t="s">
        <v>1956</v>
      </c>
      <c r="I366" s="304">
        <v>-16012</v>
      </c>
      <c r="J366" s="303" t="s">
        <v>1967</v>
      </c>
      <c r="K366" s="303" t="s">
        <v>2134</v>
      </c>
      <c r="L366" s="303" t="s">
        <v>1956</v>
      </c>
      <c r="M366" s="303" t="s">
        <v>3105</v>
      </c>
      <c r="N366" s="303" t="s">
        <v>1987</v>
      </c>
      <c r="O366" s="303" t="s">
        <v>1986</v>
      </c>
      <c r="P366" s="328">
        <v>43298</v>
      </c>
      <c r="Q366" s="303" t="s">
        <v>1952</v>
      </c>
      <c r="R366" s="303">
        <f t="shared" si="9"/>
        <v>0</v>
      </c>
      <c r="S366" s="303">
        <v>0</v>
      </c>
    </row>
    <row r="367" spans="1:19" x14ac:dyDescent="0.25">
      <c r="A367" s="303" t="s">
        <v>3104</v>
      </c>
      <c r="B367" s="303" t="s">
        <v>3103</v>
      </c>
      <c r="C367" s="328">
        <v>43298</v>
      </c>
      <c r="D367" s="303" t="s">
        <v>1965</v>
      </c>
      <c r="E367" s="303" t="s">
        <v>1964</v>
      </c>
      <c r="F367" s="303" t="s">
        <v>1967</v>
      </c>
      <c r="G367" s="303" t="s">
        <v>2150</v>
      </c>
      <c r="H367" s="303" t="s">
        <v>1956</v>
      </c>
      <c r="I367" s="304">
        <v>852</v>
      </c>
      <c r="J367" s="303" t="s">
        <v>1967</v>
      </c>
      <c r="K367" s="303" t="s">
        <v>2134</v>
      </c>
      <c r="L367" s="303" t="s">
        <v>1956</v>
      </c>
      <c r="M367" s="303" t="s">
        <v>3102</v>
      </c>
      <c r="N367" s="303" t="s">
        <v>1987</v>
      </c>
      <c r="O367" s="303" t="s">
        <v>1986</v>
      </c>
      <c r="P367" s="328">
        <v>43298</v>
      </c>
      <c r="Q367" s="303" t="s">
        <v>1952</v>
      </c>
      <c r="R367" s="303">
        <f t="shared" si="9"/>
        <v>0</v>
      </c>
      <c r="S367" s="303">
        <v>0</v>
      </c>
    </row>
    <row r="368" spans="1:19" x14ac:dyDescent="0.25">
      <c r="A368" s="303" t="s">
        <v>3104</v>
      </c>
      <c r="B368" s="303" t="s">
        <v>3103</v>
      </c>
      <c r="C368" s="328">
        <v>43298</v>
      </c>
      <c r="D368" s="303" t="s">
        <v>1961</v>
      </c>
      <c r="E368" s="303" t="s">
        <v>1960</v>
      </c>
      <c r="F368" s="303" t="s">
        <v>1967</v>
      </c>
      <c r="G368" s="303" t="s">
        <v>2150</v>
      </c>
      <c r="H368" s="303" t="s">
        <v>1956</v>
      </c>
      <c r="I368" s="304">
        <v>-852</v>
      </c>
      <c r="J368" s="303" t="s">
        <v>1967</v>
      </c>
      <c r="K368" s="303" t="s">
        <v>2134</v>
      </c>
      <c r="L368" s="303" t="s">
        <v>1956</v>
      </c>
      <c r="M368" s="303" t="s">
        <v>3102</v>
      </c>
      <c r="N368" s="303" t="s">
        <v>1987</v>
      </c>
      <c r="O368" s="303" t="s">
        <v>1986</v>
      </c>
      <c r="P368" s="328">
        <v>43298</v>
      </c>
      <c r="Q368" s="303" t="s">
        <v>1952</v>
      </c>
      <c r="R368" s="303">
        <f t="shared" si="9"/>
        <v>0</v>
      </c>
      <c r="S368" s="303">
        <v>0</v>
      </c>
    </row>
    <row r="369" spans="1:19" x14ac:dyDescent="0.25">
      <c r="A369" s="303" t="s">
        <v>3101</v>
      </c>
      <c r="B369" s="303" t="s">
        <v>3100</v>
      </c>
      <c r="C369" s="328">
        <v>43298</v>
      </c>
      <c r="D369" s="303" t="s">
        <v>1965</v>
      </c>
      <c r="E369" s="303" t="s">
        <v>1964</v>
      </c>
      <c r="F369" s="303" t="s">
        <v>1967</v>
      </c>
      <c r="G369" s="303" t="s">
        <v>2054</v>
      </c>
      <c r="H369" s="303" t="s">
        <v>1956</v>
      </c>
      <c r="I369" s="304">
        <v>2448</v>
      </c>
      <c r="J369" s="303" t="s">
        <v>1967</v>
      </c>
      <c r="K369" s="303" t="s">
        <v>2134</v>
      </c>
      <c r="L369" s="303" t="s">
        <v>1956</v>
      </c>
      <c r="M369" s="303" t="s">
        <v>3079</v>
      </c>
      <c r="N369" s="303" t="s">
        <v>1987</v>
      </c>
      <c r="O369" s="303" t="s">
        <v>1986</v>
      </c>
      <c r="P369" s="328">
        <v>43298</v>
      </c>
      <c r="Q369" s="303" t="s">
        <v>1952</v>
      </c>
      <c r="R369" s="303">
        <f t="shared" si="9"/>
        <v>0</v>
      </c>
      <c r="S369" s="303">
        <v>0</v>
      </c>
    </row>
    <row r="370" spans="1:19" x14ac:dyDescent="0.25">
      <c r="A370" s="303" t="s">
        <v>3101</v>
      </c>
      <c r="B370" s="303" t="s">
        <v>3100</v>
      </c>
      <c r="C370" s="328">
        <v>43298</v>
      </c>
      <c r="D370" s="303" t="s">
        <v>1961</v>
      </c>
      <c r="E370" s="303" t="s">
        <v>1960</v>
      </c>
      <c r="F370" s="303" t="s">
        <v>1967</v>
      </c>
      <c r="G370" s="303" t="s">
        <v>2054</v>
      </c>
      <c r="H370" s="303" t="s">
        <v>1956</v>
      </c>
      <c r="I370" s="304">
        <v>-2448</v>
      </c>
      <c r="J370" s="303" t="s">
        <v>1967</v>
      </c>
      <c r="K370" s="303" t="s">
        <v>2134</v>
      </c>
      <c r="L370" s="303" t="s">
        <v>1956</v>
      </c>
      <c r="M370" s="303" t="s">
        <v>3079</v>
      </c>
      <c r="N370" s="303" t="s">
        <v>1987</v>
      </c>
      <c r="O370" s="303" t="s">
        <v>1986</v>
      </c>
      <c r="P370" s="328">
        <v>43298</v>
      </c>
      <c r="Q370" s="303" t="s">
        <v>1952</v>
      </c>
      <c r="R370" s="303">
        <f t="shared" si="9"/>
        <v>0</v>
      </c>
      <c r="S370" s="303">
        <v>0</v>
      </c>
    </row>
    <row r="371" spans="1:19" x14ac:dyDescent="0.25">
      <c r="A371" s="303" t="s">
        <v>3099</v>
      </c>
      <c r="B371" s="303" t="s">
        <v>3098</v>
      </c>
      <c r="C371" s="328">
        <v>43298</v>
      </c>
      <c r="D371" s="303" t="s">
        <v>1965</v>
      </c>
      <c r="E371" s="303" t="s">
        <v>1964</v>
      </c>
      <c r="F371" s="303" t="s">
        <v>1967</v>
      </c>
      <c r="G371" s="303" t="s">
        <v>1517</v>
      </c>
      <c r="H371" s="303" t="s">
        <v>1956</v>
      </c>
      <c r="I371" s="304">
        <v>3771</v>
      </c>
      <c r="J371" s="303" t="s">
        <v>1967</v>
      </c>
      <c r="K371" s="303" t="s">
        <v>2134</v>
      </c>
      <c r="L371" s="303" t="s">
        <v>1956</v>
      </c>
      <c r="M371" s="303" t="s">
        <v>3097</v>
      </c>
      <c r="N371" s="303" t="s">
        <v>1987</v>
      </c>
      <c r="O371" s="303" t="s">
        <v>1986</v>
      </c>
      <c r="P371" s="328">
        <v>43298</v>
      </c>
      <c r="Q371" s="303" t="s">
        <v>1952</v>
      </c>
      <c r="R371" s="303">
        <f t="shared" si="9"/>
        <v>0</v>
      </c>
      <c r="S371" s="303">
        <v>0</v>
      </c>
    </row>
    <row r="372" spans="1:19" x14ac:dyDescent="0.25">
      <c r="A372" s="303" t="s">
        <v>3099</v>
      </c>
      <c r="B372" s="303" t="s">
        <v>3098</v>
      </c>
      <c r="C372" s="328">
        <v>43298</v>
      </c>
      <c r="D372" s="303" t="s">
        <v>1961</v>
      </c>
      <c r="E372" s="303" t="s">
        <v>1960</v>
      </c>
      <c r="F372" s="303" t="s">
        <v>1967</v>
      </c>
      <c r="G372" s="303" t="s">
        <v>1517</v>
      </c>
      <c r="H372" s="303" t="s">
        <v>1956</v>
      </c>
      <c r="I372" s="304">
        <v>-3771</v>
      </c>
      <c r="J372" s="303" t="s">
        <v>1967</v>
      </c>
      <c r="K372" s="303" t="s">
        <v>2134</v>
      </c>
      <c r="L372" s="303" t="s">
        <v>1956</v>
      </c>
      <c r="M372" s="303" t="s">
        <v>3097</v>
      </c>
      <c r="N372" s="303" t="s">
        <v>1987</v>
      </c>
      <c r="O372" s="303" t="s">
        <v>1986</v>
      </c>
      <c r="P372" s="328">
        <v>43298</v>
      </c>
      <c r="Q372" s="303" t="s">
        <v>1952</v>
      </c>
      <c r="R372" s="303">
        <f t="shared" si="9"/>
        <v>0</v>
      </c>
      <c r="S372" s="303">
        <v>0</v>
      </c>
    </row>
    <row r="373" spans="1:19" x14ac:dyDescent="0.25">
      <c r="A373" s="303" t="s">
        <v>3096</v>
      </c>
      <c r="B373" s="303" t="s">
        <v>3095</v>
      </c>
      <c r="C373" s="328">
        <v>43298</v>
      </c>
      <c r="D373" s="303" t="s">
        <v>1965</v>
      </c>
      <c r="E373" s="303" t="s">
        <v>1964</v>
      </c>
      <c r="F373" s="303" t="s">
        <v>1967</v>
      </c>
      <c r="G373" s="303" t="s">
        <v>1514</v>
      </c>
      <c r="H373" s="303" t="s">
        <v>1956</v>
      </c>
      <c r="I373" s="304">
        <v>13778</v>
      </c>
      <c r="J373" s="303" t="s">
        <v>1967</v>
      </c>
      <c r="K373" s="303" t="s">
        <v>2134</v>
      </c>
      <c r="L373" s="303" t="s">
        <v>1956</v>
      </c>
      <c r="M373" s="303" t="s">
        <v>3094</v>
      </c>
      <c r="N373" s="303" t="s">
        <v>1987</v>
      </c>
      <c r="O373" s="303" t="s">
        <v>1986</v>
      </c>
      <c r="P373" s="328">
        <v>43298</v>
      </c>
      <c r="Q373" s="303" t="s">
        <v>1952</v>
      </c>
      <c r="R373" s="303">
        <f t="shared" si="9"/>
        <v>0</v>
      </c>
      <c r="S373" s="303">
        <v>0</v>
      </c>
    </row>
    <row r="374" spans="1:19" x14ac:dyDescent="0.25">
      <c r="A374" s="303" t="s">
        <v>3096</v>
      </c>
      <c r="B374" s="303" t="s">
        <v>3095</v>
      </c>
      <c r="C374" s="328">
        <v>43298</v>
      </c>
      <c r="D374" s="303" t="s">
        <v>1961</v>
      </c>
      <c r="E374" s="303" t="s">
        <v>1960</v>
      </c>
      <c r="F374" s="303" t="s">
        <v>1967</v>
      </c>
      <c r="G374" s="303" t="s">
        <v>1514</v>
      </c>
      <c r="H374" s="303" t="s">
        <v>1956</v>
      </c>
      <c r="I374" s="304">
        <v>-13778</v>
      </c>
      <c r="J374" s="303" t="s">
        <v>1967</v>
      </c>
      <c r="K374" s="303" t="s">
        <v>2134</v>
      </c>
      <c r="L374" s="303" t="s">
        <v>1956</v>
      </c>
      <c r="M374" s="303" t="s">
        <v>3094</v>
      </c>
      <c r="N374" s="303" t="s">
        <v>1987</v>
      </c>
      <c r="O374" s="303" t="s">
        <v>1986</v>
      </c>
      <c r="P374" s="328">
        <v>43298</v>
      </c>
      <c r="Q374" s="303" t="s">
        <v>1952</v>
      </c>
      <c r="R374" s="303">
        <f t="shared" si="9"/>
        <v>0</v>
      </c>
      <c r="S374" s="303">
        <v>0</v>
      </c>
    </row>
    <row r="375" spans="1:19" x14ac:dyDescent="0.25">
      <c r="A375" s="303" t="s">
        <v>3093</v>
      </c>
      <c r="B375" s="303" t="s">
        <v>3092</v>
      </c>
      <c r="C375" s="328">
        <v>43298</v>
      </c>
      <c r="D375" s="303" t="s">
        <v>1965</v>
      </c>
      <c r="E375" s="303" t="s">
        <v>1964</v>
      </c>
      <c r="F375" s="303" t="s">
        <v>1967</v>
      </c>
      <c r="G375" s="303" t="s">
        <v>1603</v>
      </c>
      <c r="H375" s="303" t="s">
        <v>1956</v>
      </c>
      <c r="I375" s="304">
        <v>4742</v>
      </c>
      <c r="J375" s="303" t="s">
        <v>1967</v>
      </c>
      <c r="K375" s="303" t="s">
        <v>2134</v>
      </c>
      <c r="L375" s="303" t="s">
        <v>1956</v>
      </c>
      <c r="M375" s="303" t="s">
        <v>3091</v>
      </c>
      <c r="N375" s="303" t="s">
        <v>1987</v>
      </c>
      <c r="O375" s="303" t="s">
        <v>1986</v>
      </c>
      <c r="P375" s="328">
        <v>43298</v>
      </c>
      <c r="Q375" s="303" t="s">
        <v>1952</v>
      </c>
      <c r="R375" s="303">
        <f t="shared" si="9"/>
        <v>0</v>
      </c>
      <c r="S375" s="303">
        <v>0</v>
      </c>
    </row>
    <row r="376" spans="1:19" x14ac:dyDescent="0.25">
      <c r="A376" s="303" t="s">
        <v>3093</v>
      </c>
      <c r="B376" s="303" t="s">
        <v>3092</v>
      </c>
      <c r="C376" s="328">
        <v>43298</v>
      </c>
      <c r="D376" s="303" t="s">
        <v>1961</v>
      </c>
      <c r="E376" s="303" t="s">
        <v>1960</v>
      </c>
      <c r="F376" s="303" t="s">
        <v>1967</v>
      </c>
      <c r="G376" s="303" t="s">
        <v>1603</v>
      </c>
      <c r="H376" s="303" t="s">
        <v>1956</v>
      </c>
      <c r="I376" s="304">
        <v>-4742</v>
      </c>
      <c r="J376" s="303" t="s">
        <v>1967</v>
      </c>
      <c r="K376" s="303" t="s">
        <v>2134</v>
      </c>
      <c r="L376" s="303" t="s">
        <v>1956</v>
      </c>
      <c r="M376" s="303" t="s">
        <v>3091</v>
      </c>
      <c r="N376" s="303" t="s">
        <v>1987</v>
      </c>
      <c r="O376" s="303" t="s">
        <v>1986</v>
      </c>
      <c r="P376" s="328">
        <v>43298</v>
      </c>
      <c r="Q376" s="303" t="s">
        <v>1952</v>
      </c>
      <c r="R376" s="303">
        <f t="shared" si="9"/>
        <v>0</v>
      </c>
      <c r="S376" s="303">
        <v>0</v>
      </c>
    </row>
    <row r="377" spans="1:19" x14ac:dyDescent="0.25">
      <c r="A377" s="303" t="s">
        <v>3090</v>
      </c>
      <c r="B377" s="303" t="s">
        <v>3089</v>
      </c>
      <c r="C377" s="328">
        <v>43298</v>
      </c>
      <c r="D377" s="303" t="s">
        <v>1965</v>
      </c>
      <c r="E377" s="303" t="s">
        <v>1964</v>
      </c>
      <c r="F377" s="303" t="s">
        <v>1967</v>
      </c>
      <c r="G377" s="303" t="s">
        <v>1591</v>
      </c>
      <c r="H377" s="303" t="s">
        <v>1956</v>
      </c>
      <c r="I377" s="304">
        <v>4939</v>
      </c>
      <c r="J377" s="303" t="s">
        <v>1967</v>
      </c>
      <c r="K377" s="303" t="s">
        <v>2134</v>
      </c>
      <c r="L377" s="303" t="s">
        <v>1956</v>
      </c>
      <c r="M377" s="303" t="s">
        <v>3088</v>
      </c>
      <c r="N377" s="303" t="s">
        <v>1987</v>
      </c>
      <c r="O377" s="303" t="s">
        <v>1986</v>
      </c>
      <c r="P377" s="328">
        <v>43298</v>
      </c>
      <c r="Q377" s="303" t="s">
        <v>1952</v>
      </c>
      <c r="R377" s="303">
        <f t="shared" si="9"/>
        <v>0</v>
      </c>
      <c r="S377" s="303">
        <v>0</v>
      </c>
    </row>
    <row r="378" spans="1:19" x14ac:dyDescent="0.25">
      <c r="A378" s="303" t="s">
        <v>3090</v>
      </c>
      <c r="B378" s="303" t="s">
        <v>3089</v>
      </c>
      <c r="C378" s="328">
        <v>43298</v>
      </c>
      <c r="D378" s="303" t="s">
        <v>1961</v>
      </c>
      <c r="E378" s="303" t="s">
        <v>1960</v>
      </c>
      <c r="F378" s="303" t="s">
        <v>1967</v>
      </c>
      <c r="G378" s="303" t="s">
        <v>1591</v>
      </c>
      <c r="H378" s="303" t="s">
        <v>1956</v>
      </c>
      <c r="I378" s="304">
        <v>-4939</v>
      </c>
      <c r="J378" s="303" t="s">
        <v>1967</v>
      </c>
      <c r="K378" s="303" t="s">
        <v>2134</v>
      </c>
      <c r="L378" s="303" t="s">
        <v>1956</v>
      </c>
      <c r="M378" s="303" t="s">
        <v>3088</v>
      </c>
      <c r="N378" s="303" t="s">
        <v>1987</v>
      </c>
      <c r="O378" s="303" t="s">
        <v>1986</v>
      </c>
      <c r="P378" s="328">
        <v>43298</v>
      </c>
      <c r="Q378" s="303" t="s">
        <v>1952</v>
      </c>
      <c r="R378" s="303">
        <f t="shared" si="9"/>
        <v>0</v>
      </c>
      <c r="S378" s="303">
        <v>0</v>
      </c>
    </row>
    <row r="379" spans="1:19" x14ac:dyDescent="0.25">
      <c r="A379" s="303" t="s">
        <v>3087</v>
      </c>
      <c r="B379" s="303" t="s">
        <v>3086</v>
      </c>
      <c r="C379" s="328">
        <v>43298</v>
      </c>
      <c r="D379" s="303" t="s">
        <v>1965</v>
      </c>
      <c r="E379" s="303" t="s">
        <v>1964</v>
      </c>
      <c r="F379" s="303" t="s">
        <v>1967</v>
      </c>
      <c r="G379" s="303" t="s">
        <v>1558</v>
      </c>
      <c r="H379" s="303" t="s">
        <v>1956</v>
      </c>
      <c r="I379" s="304">
        <v>2041</v>
      </c>
      <c r="J379" s="303" t="s">
        <v>1967</v>
      </c>
      <c r="K379" s="303" t="s">
        <v>2134</v>
      </c>
      <c r="L379" s="303" t="s">
        <v>1956</v>
      </c>
      <c r="M379" s="303" t="s">
        <v>3085</v>
      </c>
      <c r="N379" s="303" t="s">
        <v>1987</v>
      </c>
      <c r="O379" s="303" t="s">
        <v>1986</v>
      </c>
      <c r="P379" s="328">
        <v>43298</v>
      </c>
      <c r="Q379" s="303" t="s">
        <v>1952</v>
      </c>
      <c r="R379" s="303">
        <f t="shared" si="9"/>
        <v>0</v>
      </c>
      <c r="S379" s="303">
        <v>0</v>
      </c>
    </row>
    <row r="380" spans="1:19" x14ac:dyDescent="0.25">
      <c r="A380" s="303" t="s">
        <v>3087</v>
      </c>
      <c r="B380" s="303" t="s">
        <v>3086</v>
      </c>
      <c r="C380" s="328">
        <v>43298</v>
      </c>
      <c r="D380" s="303" t="s">
        <v>1961</v>
      </c>
      <c r="E380" s="303" t="s">
        <v>1960</v>
      </c>
      <c r="F380" s="303" t="s">
        <v>1967</v>
      </c>
      <c r="G380" s="303" t="s">
        <v>1558</v>
      </c>
      <c r="H380" s="303" t="s">
        <v>1956</v>
      </c>
      <c r="I380" s="304">
        <v>-2041</v>
      </c>
      <c r="J380" s="303" t="s">
        <v>1967</v>
      </c>
      <c r="K380" s="303" t="s">
        <v>2134</v>
      </c>
      <c r="L380" s="303" t="s">
        <v>1956</v>
      </c>
      <c r="M380" s="303" t="s">
        <v>3085</v>
      </c>
      <c r="N380" s="303" t="s">
        <v>1987</v>
      </c>
      <c r="O380" s="303" t="s">
        <v>1986</v>
      </c>
      <c r="P380" s="328">
        <v>43298</v>
      </c>
      <c r="Q380" s="303" t="s">
        <v>1952</v>
      </c>
      <c r="R380" s="303">
        <f t="shared" si="9"/>
        <v>0</v>
      </c>
      <c r="S380" s="303">
        <v>0</v>
      </c>
    </row>
    <row r="381" spans="1:19" x14ac:dyDescent="0.25">
      <c r="A381" s="303" t="s">
        <v>3084</v>
      </c>
      <c r="B381" s="303" t="s">
        <v>3083</v>
      </c>
      <c r="C381" s="328">
        <v>43298</v>
      </c>
      <c r="D381" s="303" t="s">
        <v>1965</v>
      </c>
      <c r="E381" s="303" t="s">
        <v>1964</v>
      </c>
      <c r="F381" s="303" t="s">
        <v>1967</v>
      </c>
      <c r="G381" s="303" t="s">
        <v>1558</v>
      </c>
      <c r="H381" s="303" t="s">
        <v>1956</v>
      </c>
      <c r="I381" s="304">
        <v>11121</v>
      </c>
      <c r="J381" s="303" t="s">
        <v>1967</v>
      </c>
      <c r="K381" s="303" t="s">
        <v>2134</v>
      </c>
      <c r="L381" s="303" t="s">
        <v>1956</v>
      </c>
      <c r="M381" s="303" t="s">
        <v>3082</v>
      </c>
      <c r="N381" s="303" t="s">
        <v>1987</v>
      </c>
      <c r="O381" s="303" t="s">
        <v>1986</v>
      </c>
      <c r="P381" s="328">
        <v>43298</v>
      </c>
      <c r="Q381" s="303" t="s">
        <v>1952</v>
      </c>
      <c r="R381" s="303">
        <f t="shared" si="9"/>
        <v>0</v>
      </c>
      <c r="S381" s="303">
        <v>0</v>
      </c>
    </row>
    <row r="382" spans="1:19" x14ac:dyDescent="0.25">
      <c r="A382" s="303" t="s">
        <v>3084</v>
      </c>
      <c r="B382" s="303" t="s">
        <v>3083</v>
      </c>
      <c r="C382" s="328">
        <v>43298</v>
      </c>
      <c r="D382" s="303" t="s">
        <v>1961</v>
      </c>
      <c r="E382" s="303" t="s">
        <v>1960</v>
      </c>
      <c r="F382" s="303" t="s">
        <v>1967</v>
      </c>
      <c r="G382" s="303" t="s">
        <v>1558</v>
      </c>
      <c r="H382" s="303" t="s">
        <v>1956</v>
      </c>
      <c r="I382" s="304">
        <v>-11121</v>
      </c>
      <c r="J382" s="303" t="s">
        <v>1967</v>
      </c>
      <c r="K382" s="303" t="s">
        <v>2134</v>
      </c>
      <c r="L382" s="303" t="s">
        <v>1956</v>
      </c>
      <c r="M382" s="303" t="s">
        <v>3082</v>
      </c>
      <c r="N382" s="303" t="s">
        <v>1987</v>
      </c>
      <c r="O382" s="303" t="s">
        <v>1986</v>
      </c>
      <c r="P382" s="328">
        <v>43298</v>
      </c>
      <c r="Q382" s="303" t="s">
        <v>1952</v>
      </c>
      <c r="R382" s="303">
        <f t="shared" si="9"/>
        <v>0</v>
      </c>
      <c r="S382" s="303">
        <v>0</v>
      </c>
    </row>
    <row r="383" spans="1:19" x14ac:dyDescent="0.25">
      <c r="A383" s="303" t="s">
        <v>3081</v>
      </c>
      <c r="B383" s="303" t="s">
        <v>3080</v>
      </c>
      <c r="C383" s="328">
        <v>43298</v>
      </c>
      <c r="D383" s="303" t="s">
        <v>1965</v>
      </c>
      <c r="E383" s="303" t="s">
        <v>1964</v>
      </c>
      <c r="F383" s="303" t="s">
        <v>1967</v>
      </c>
      <c r="G383" s="303" t="s">
        <v>2036</v>
      </c>
      <c r="H383" s="303" t="s">
        <v>1956</v>
      </c>
      <c r="I383" s="304">
        <v>816</v>
      </c>
      <c r="J383" s="303" t="s">
        <v>1967</v>
      </c>
      <c r="K383" s="303" t="s">
        <v>2134</v>
      </c>
      <c r="L383" s="303" t="s">
        <v>1956</v>
      </c>
      <c r="M383" s="303" t="s">
        <v>3079</v>
      </c>
      <c r="N383" s="303" t="s">
        <v>1987</v>
      </c>
      <c r="O383" s="303" t="s">
        <v>1986</v>
      </c>
      <c r="P383" s="328">
        <v>43298</v>
      </c>
      <c r="Q383" s="303" t="s">
        <v>1952</v>
      </c>
      <c r="R383" s="303">
        <f t="shared" si="9"/>
        <v>0</v>
      </c>
      <c r="S383" s="303">
        <v>0</v>
      </c>
    </row>
    <row r="384" spans="1:19" x14ac:dyDescent="0.25">
      <c r="A384" s="303" t="s">
        <v>3081</v>
      </c>
      <c r="B384" s="303" t="s">
        <v>3080</v>
      </c>
      <c r="C384" s="328">
        <v>43298</v>
      </c>
      <c r="D384" s="303" t="s">
        <v>1961</v>
      </c>
      <c r="E384" s="303" t="s">
        <v>1960</v>
      </c>
      <c r="F384" s="303" t="s">
        <v>1967</v>
      </c>
      <c r="G384" s="303" t="s">
        <v>2036</v>
      </c>
      <c r="H384" s="303" t="s">
        <v>1956</v>
      </c>
      <c r="I384" s="304">
        <v>-816</v>
      </c>
      <c r="J384" s="303" t="s">
        <v>1967</v>
      </c>
      <c r="K384" s="303" t="s">
        <v>2134</v>
      </c>
      <c r="L384" s="303" t="s">
        <v>1956</v>
      </c>
      <c r="M384" s="303" t="s">
        <v>3079</v>
      </c>
      <c r="N384" s="303" t="s">
        <v>1987</v>
      </c>
      <c r="O384" s="303" t="s">
        <v>1986</v>
      </c>
      <c r="P384" s="328">
        <v>43298</v>
      </c>
      <c r="Q384" s="303" t="s">
        <v>1952</v>
      </c>
      <c r="R384" s="303">
        <f t="shared" si="9"/>
        <v>0</v>
      </c>
      <c r="S384" s="303">
        <v>0</v>
      </c>
    </row>
    <row r="385" spans="1:19" x14ac:dyDescent="0.25">
      <c r="A385" s="303" t="s">
        <v>3078</v>
      </c>
      <c r="B385" s="303" t="s">
        <v>3077</v>
      </c>
      <c r="C385" s="328">
        <v>43299</v>
      </c>
      <c r="D385" s="303" t="s">
        <v>1965</v>
      </c>
      <c r="E385" s="303" t="s">
        <v>1964</v>
      </c>
      <c r="F385" s="303" t="s">
        <v>1967</v>
      </c>
      <c r="G385" s="303" t="s">
        <v>1379</v>
      </c>
      <c r="H385" s="303" t="s">
        <v>1956</v>
      </c>
      <c r="I385" s="304">
        <v>62310</v>
      </c>
      <c r="J385" s="303" t="s">
        <v>1967</v>
      </c>
      <c r="K385" s="303" t="s">
        <v>1400</v>
      </c>
      <c r="L385" s="303" t="s">
        <v>1956</v>
      </c>
      <c r="M385" s="303" t="s">
        <v>3076</v>
      </c>
      <c r="N385" s="303" t="s">
        <v>1987</v>
      </c>
      <c r="O385" s="303" t="s">
        <v>1986</v>
      </c>
      <c r="P385" s="328">
        <v>43299</v>
      </c>
      <c r="Q385" s="303" t="s">
        <v>1952</v>
      </c>
      <c r="R385" s="303">
        <f t="shared" si="9"/>
        <v>1</v>
      </c>
      <c r="S385" s="303">
        <v>0</v>
      </c>
    </row>
    <row r="386" spans="1:19" x14ac:dyDescent="0.25">
      <c r="A386" s="303" t="s">
        <v>3078</v>
      </c>
      <c r="B386" s="303" t="s">
        <v>3077</v>
      </c>
      <c r="C386" s="328">
        <v>43299</v>
      </c>
      <c r="D386" s="303" t="s">
        <v>1961</v>
      </c>
      <c r="E386" s="303" t="s">
        <v>1960</v>
      </c>
      <c r="F386" s="303" t="s">
        <v>1967</v>
      </c>
      <c r="G386" s="303" t="s">
        <v>1379</v>
      </c>
      <c r="H386" s="303" t="s">
        <v>1956</v>
      </c>
      <c r="I386" s="304">
        <v>-62310</v>
      </c>
      <c r="J386" s="303" t="s">
        <v>1967</v>
      </c>
      <c r="K386" s="303" t="s">
        <v>1400</v>
      </c>
      <c r="L386" s="303" t="s">
        <v>1956</v>
      </c>
      <c r="M386" s="303" t="s">
        <v>3076</v>
      </c>
      <c r="N386" s="303" t="s">
        <v>1987</v>
      </c>
      <c r="O386" s="303" t="s">
        <v>1986</v>
      </c>
      <c r="P386" s="328">
        <v>43299</v>
      </c>
      <c r="Q386" s="303" t="s">
        <v>1952</v>
      </c>
      <c r="R386" s="303">
        <f t="shared" si="9"/>
        <v>1</v>
      </c>
      <c r="S386" s="303">
        <v>0</v>
      </c>
    </row>
    <row r="387" spans="1:19" x14ac:dyDescent="0.25">
      <c r="A387" s="303" t="s">
        <v>3075</v>
      </c>
      <c r="B387" s="303" t="s">
        <v>3074</v>
      </c>
      <c r="C387" s="328">
        <v>43299</v>
      </c>
      <c r="D387" s="303" t="s">
        <v>1965</v>
      </c>
      <c r="E387" s="303" t="s">
        <v>1964</v>
      </c>
      <c r="F387" s="303" t="s">
        <v>1967</v>
      </c>
      <c r="G387" s="303" t="s">
        <v>1388</v>
      </c>
      <c r="H387" s="303" t="s">
        <v>1956</v>
      </c>
      <c r="I387" s="304">
        <v>103064</v>
      </c>
      <c r="J387" s="303" t="s">
        <v>1967</v>
      </c>
      <c r="K387" s="303" t="s">
        <v>1959</v>
      </c>
      <c r="L387" s="303" t="s">
        <v>1956</v>
      </c>
      <c r="M387" s="303" t="s">
        <v>3073</v>
      </c>
      <c r="N387" s="303" t="s">
        <v>1987</v>
      </c>
      <c r="O387" s="303" t="s">
        <v>1986</v>
      </c>
      <c r="P387" s="328">
        <v>43299</v>
      </c>
      <c r="Q387" s="303" t="s">
        <v>1952</v>
      </c>
      <c r="R387" s="303">
        <f t="shared" ref="R387:R450" si="10">IF(OR(M387="transfert de B vers A",M387="transfert de B vers D",M387="transfert de A vers B",M387="transfert de D vers B",M387="carryover 2017 -&gt; 2018",IF(ISERR(SEARCH("fidélité",M387)),FALSE,TRUE),M387="Fermeture STI-FORM",M387="répartition AE/AC"),0,1)</f>
        <v>1</v>
      </c>
      <c r="S387" s="303">
        <v>0</v>
      </c>
    </row>
    <row r="388" spans="1:19" x14ac:dyDescent="0.25">
      <c r="A388" s="303" t="s">
        <v>3075</v>
      </c>
      <c r="B388" s="303" t="s">
        <v>3074</v>
      </c>
      <c r="C388" s="328">
        <v>43299</v>
      </c>
      <c r="D388" s="303" t="s">
        <v>1961</v>
      </c>
      <c r="E388" s="303" t="s">
        <v>1960</v>
      </c>
      <c r="F388" s="303" t="s">
        <v>1967</v>
      </c>
      <c r="G388" s="303" t="s">
        <v>1388</v>
      </c>
      <c r="H388" s="303" t="s">
        <v>1956</v>
      </c>
      <c r="I388" s="304">
        <v>-103064</v>
      </c>
      <c r="J388" s="303" t="s">
        <v>1967</v>
      </c>
      <c r="K388" s="303" t="s">
        <v>1959</v>
      </c>
      <c r="L388" s="303" t="s">
        <v>1956</v>
      </c>
      <c r="M388" s="303" t="s">
        <v>3073</v>
      </c>
      <c r="N388" s="303" t="s">
        <v>1987</v>
      </c>
      <c r="O388" s="303" t="s">
        <v>1986</v>
      </c>
      <c r="P388" s="328">
        <v>43299</v>
      </c>
      <c r="Q388" s="303" t="s">
        <v>1952</v>
      </c>
      <c r="R388" s="303">
        <f t="shared" si="10"/>
        <v>1</v>
      </c>
      <c r="S388" s="303">
        <v>0</v>
      </c>
    </row>
    <row r="389" spans="1:19" x14ac:dyDescent="0.25">
      <c r="A389" s="303" t="s">
        <v>3072</v>
      </c>
      <c r="B389" s="303" t="s">
        <v>3071</v>
      </c>
      <c r="C389" s="328">
        <v>43299</v>
      </c>
      <c r="D389" s="303" t="s">
        <v>1965</v>
      </c>
      <c r="E389" s="303" t="s">
        <v>1964</v>
      </c>
      <c r="F389" s="303" t="s">
        <v>1967</v>
      </c>
      <c r="G389" s="303" t="s">
        <v>3064</v>
      </c>
      <c r="H389" s="303" t="s">
        <v>1956</v>
      </c>
      <c r="I389" s="304">
        <v>1371</v>
      </c>
      <c r="J389" s="303" t="s">
        <v>1967</v>
      </c>
      <c r="K389" s="303" t="s">
        <v>1959</v>
      </c>
      <c r="L389" s="303" t="s">
        <v>1956</v>
      </c>
      <c r="M389" s="303" t="s">
        <v>3070</v>
      </c>
      <c r="N389" s="303" t="s">
        <v>1987</v>
      </c>
      <c r="O389" s="303" t="s">
        <v>1986</v>
      </c>
      <c r="P389" s="328">
        <v>43299</v>
      </c>
      <c r="Q389" s="303" t="s">
        <v>1952</v>
      </c>
      <c r="R389" s="303">
        <f t="shared" si="10"/>
        <v>1</v>
      </c>
      <c r="S389" s="303">
        <v>0</v>
      </c>
    </row>
    <row r="390" spans="1:19" x14ac:dyDescent="0.25">
      <c r="A390" s="303" t="s">
        <v>3072</v>
      </c>
      <c r="B390" s="303" t="s">
        <v>3071</v>
      </c>
      <c r="C390" s="328">
        <v>43299</v>
      </c>
      <c r="D390" s="303" t="s">
        <v>1961</v>
      </c>
      <c r="E390" s="303" t="s">
        <v>1960</v>
      </c>
      <c r="F390" s="303" t="s">
        <v>1967</v>
      </c>
      <c r="G390" s="303" t="s">
        <v>3064</v>
      </c>
      <c r="H390" s="303" t="s">
        <v>1956</v>
      </c>
      <c r="I390" s="304">
        <v>-1371</v>
      </c>
      <c r="J390" s="303" t="s">
        <v>1967</v>
      </c>
      <c r="K390" s="303" t="s">
        <v>1959</v>
      </c>
      <c r="L390" s="303" t="s">
        <v>1956</v>
      </c>
      <c r="M390" s="303" t="s">
        <v>3070</v>
      </c>
      <c r="N390" s="303" t="s">
        <v>1987</v>
      </c>
      <c r="O390" s="303" t="s">
        <v>1986</v>
      </c>
      <c r="P390" s="328">
        <v>43299</v>
      </c>
      <c r="Q390" s="303" t="s">
        <v>1952</v>
      </c>
      <c r="R390" s="303">
        <f t="shared" si="10"/>
        <v>1</v>
      </c>
      <c r="S390" s="303">
        <v>0</v>
      </c>
    </row>
    <row r="391" spans="1:19" x14ac:dyDescent="0.25">
      <c r="A391" s="303" t="s">
        <v>3069</v>
      </c>
      <c r="B391" s="303" t="s">
        <v>3068</v>
      </c>
      <c r="C391" s="328">
        <v>43299</v>
      </c>
      <c r="D391" s="303" t="s">
        <v>1965</v>
      </c>
      <c r="E391" s="303" t="s">
        <v>1964</v>
      </c>
      <c r="F391" s="303" t="s">
        <v>1967</v>
      </c>
      <c r="G391" s="303" t="s">
        <v>1436</v>
      </c>
      <c r="H391" s="303" t="s">
        <v>1956</v>
      </c>
      <c r="I391" s="304">
        <v>7043</v>
      </c>
      <c r="J391" s="303" t="s">
        <v>1967</v>
      </c>
      <c r="K391" s="303" t="s">
        <v>3064</v>
      </c>
      <c r="L391" s="303" t="s">
        <v>1956</v>
      </c>
      <c r="M391" s="303" t="s">
        <v>3067</v>
      </c>
      <c r="N391" s="303" t="s">
        <v>1987</v>
      </c>
      <c r="O391" s="303" t="s">
        <v>1986</v>
      </c>
      <c r="P391" s="328">
        <v>43299</v>
      </c>
      <c r="Q391" s="303" t="s">
        <v>1952</v>
      </c>
      <c r="R391" s="303">
        <f t="shared" si="10"/>
        <v>1</v>
      </c>
      <c r="S391" s="303">
        <v>0</v>
      </c>
    </row>
    <row r="392" spans="1:19" x14ac:dyDescent="0.25">
      <c r="A392" s="303" t="s">
        <v>3069</v>
      </c>
      <c r="B392" s="303" t="s">
        <v>3068</v>
      </c>
      <c r="C392" s="328">
        <v>43299</v>
      </c>
      <c r="D392" s="303" t="s">
        <v>1961</v>
      </c>
      <c r="E392" s="303" t="s">
        <v>1960</v>
      </c>
      <c r="F392" s="303" t="s">
        <v>1967</v>
      </c>
      <c r="G392" s="303" t="s">
        <v>1436</v>
      </c>
      <c r="H392" s="303" t="s">
        <v>1956</v>
      </c>
      <c r="I392" s="304">
        <v>-7043</v>
      </c>
      <c r="J392" s="303" t="s">
        <v>1967</v>
      </c>
      <c r="K392" s="303" t="s">
        <v>3064</v>
      </c>
      <c r="L392" s="303" t="s">
        <v>1956</v>
      </c>
      <c r="M392" s="303" t="s">
        <v>3067</v>
      </c>
      <c r="N392" s="303" t="s">
        <v>1987</v>
      </c>
      <c r="O392" s="303" t="s">
        <v>1986</v>
      </c>
      <c r="P392" s="328">
        <v>43299</v>
      </c>
      <c r="Q392" s="303" t="s">
        <v>1952</v>
      </c>
      <c r="R392" s="303">
        <f t="shared" si="10"/>
        <v>1</v>
      </c>
      <c r="S392" s="303">
        <v>0</v>
      </c>
    </row>
    <row r="393" spans="1:19" x14ac:dyDescent="0.25">
      <c r="A393" s="303" t="s">
        <v>3066</v>
      </c>
      <c r="B393" s="303" t="s">
        <v>3065</v>
      </c>
      <c r="C393" s="328">
        <v>43299</v>
      </c>
      <c r="D393" s="303" t="s">
        <v>1965</v>
      </c>
      <c r="E393" s="303" t="s">
        <v>1964</v>
      </c>
      <c r="F393" s="303" t="s">
        <v>1967</v>
      </c>
      <c r="G393" s="303" t="s">
        <v>1436</v>
      </c>
      <c r="H393" s="303" t="s">
        <v>1956</v>
      </c>
      <c r="I393" s="304">
        <v>4101</v>
      </c>
      <c r="J393" s="303" t="s">
        <v>1967</v>
      </c>
      <c r="K393" s="303" t="s">
        <v>3064</v>
      </c>
      <c r="L393" s="303" t="s">
        <v>1956</v>
      </c>
      <c r="M393" s="303" t="s">
        <v>3063</v>
      </c>
      <c r="N393" s="303" t="s">
        <v>1987</v>
      </c>
      <c r="O393" s="303" t="s">
        <v>1986</v>
      </c>
      <c r="P393" s="328">
        <v>43299</v>
      </c>
      <c r="Q393" s="303" t="s">
        <v>1952</v>
      </c>
      <c r="R393" s="303">
        <f t="shared" si="10"/>
        <v>1</v>
      </c>
      <c r="S393" s="303">
        <v>0</v>
      </c>
    </row>
    <row r="394" spans="1:19" x14ac:dyDescent="0.25">
      <c r="A394" s="303" t="s">
        <v>3066</v>
      </c>
      <c r="B394" s="303" t="s">
        <v>3065</v>
      </c>
      <c r="C394" s="328">
        <v>43299</v>
      </c>
      <c r="D394" s="303" t="s">
        <v>1961</v>
      </c>
      <c r="E394" s="303" t="s">
        <v>1960</v>
      </c>
      <c r="F394" s="303" t="s">
        <v>1967</v>
      </c>
      <c r="G394" s="303" t="s">
        <v>1436</v>
      </c>
      <c r="H394" s="303" t="s">
        <v>1956</v>
      </c>
      <c r="I394" s="304">
        <v>-4101</v>
      </c>
      <c r="J394" s="303" t="s">
        <v>1967</v>
      </c>
      <c r="K394" s="303" t="s">
        <v>3064</v>
      </c>
      <c r="L394" s="303" t="s">
        <v>1956</v>
      </c>
      <c r="M394" s="303" t="s">
        <v>3063</v>
      </c>
      <c r="N394" s="303" t="s">
        <v>1987</v>
      </c>
      <c r="O394" s="303" t="s">
        <v>1986</v>
      </c>
      <c r="P394" s="328">
        <v>43299</v>
      </c>
      <c r="Q394" s="303" t="s">
        <v>1952</v>
      </c>
      <c r="R394" s="303">
        <f t="shared" si="10"/>
        <v>1</v>
      </c>
      <c r="S394" s="303">
        <v>0</v>
      </c>
    </row>
    <row r="395" spans="1:19" x14ac:dyDescent="0.25">
      <c r="A395" s="303" t="s">
        <v>3062</v>
      </c>
      <c r="B395" s="303" t="s">
        <v>3061</v>
      </c>
      <c r="C395" s="328">
        <v>43299</v>
      </c>
      <c r="D395" s="303" t="s">
        <v>1965</v>
      </c>
      <c r="E395" s="303" t="s">
        <v>1964</v>
      </c>
      <c r="F395" s="303" t="s">
        <v>1967</v>
      </c>
      <c r="G395" s="303" t="s">
        <v>1957</v>
      </c>
      <c r="H395" s="303" t="s">
        <v>1956</v>
      </c>
      <c r="I395" s="304">
        <v>32266</v>
      </c>
      <c r="J395" s="303" t="s">
        <v>1967</v>
      </c>
      <c r="K395" s="303" t="s">
        <v>2161</v>
      </c>
      <c r="L395" s="303" t="s">
        <v>1956</v>
      </c>
      <c r="M395" s="303" t="s">
        <v>3060</v>
      </c>
      <c r="N395" s="303" t="s">
        <v>1987</v>
      </c>
      <c r="O395" s="303" t="s">
        <v>1986</v>
      </c>
      <c r="P395" s="328">
        <v>43299</v>
      </c>
      <c r="Q395" s="303" t="s">
        <v>1952</v>
      </c>
      <c r="R395" s="303">
        <f t="shared" si="10"/>
        <v>1</v>
      </c>
      <c r="S395" s="303">
        <v>0</v>
      </c>
    </row>
    <row r="396" spans="1:19" x14ac:dyDescent="0.25">
      <c r="A396" s="303" t="s">
        <v>3062</v>
      </c>
      <c r="B396" s="303" t="s">
        <v>3061</v>
      </c>
      <c r="C396" s="328">
        <v>43299</v>
      </c>
      <c r="D396" s="303" t="s">
        <v>1961</v>
      </c>
      <c r="E396" s="303" t="s">
        <v>1960</v>
      </c>
      <c r="F396" s="303" t="s">
        <v>1967</v>
      </c>
      <c r="G396" s="303" t="s">
        <v>1957</v>
      </c>
      <c r="H396" s="303" t="s">
        <v>1956</v>
      </c>
      <c r="I396" s="304">
        <v>-32266</v>
      </c>
      <c r="J396" s="303" t="s">
        <v>1967</v>
      </c>
      <c r="K396" s="303" t="s">
        <v>2161</v>
      </c>
      <c r="L396" s="303" t="s">
        <v>1956</v>
      </c>
      <c r="M396" s="303" t="s">
        <v>3060</v>
      </c>
      <c r="N396" s="303" t="s">
        <v>1987</v>
      </c>
      <c r="O396" s="303" t="s">
        <v>1986</v>
      </c>
      <c r="P396" s="328">
        <v>43299</v>
      </c>
      <c r="Q396" s="303" t="s">
        <v>1952</v>
      </c>
      <c r="R396" s="303">
        <f t="shared" si="10"/>
        <v>1</v>
      </c>
      <c r="S396" s="303">
        <v>0</v>
      </c>
    </row>
    <row r="397" spans="1:19" x14ac:dyDescent="0.25">
      <c r="A397" s="303" t="s">
        <v>3059</v>
      </c>
      <c r="B397" s="303" t="s">
        <v>3058</v>
      </c>
      <c r="C397" s="328">
        <v>43299</v>
      </c>
      <c r="D397" s="303" t="s">
        <v>1965</v>
      </c>
      <c r="E397" s="303" t="s">
        <v>1964</v>
      </c>
      <c r="F397" s="303" t="s">
        <v>1967</v>
      </c>
      <c r="G397" s="303" t="s">
        <v>1957</v>
      </c>
      <c r="H397" s="303" t="s">
        <v>1956</v>
      </c>
      <c r="I397" s="304">
        <v>20717</v>
      </c>
      <c r="J397" s="303" t="s">
        <v>1967</v>
      </c>
      <c r="K397" s="303" t="s">
        <v>2161</v>
      </c>
      <c r="L397" s="303" t="s">
        <v>1956</v>
      </c>
      <c r="M397" s="303" t="s">
        <v>3057</v>
      </c>
      <c r="N397" s="303" t="s">
        <v>1987</v>
      </c>
      <c r="O397" s="303" t="s">
        <v>1986</v>
      </c>
      <c r="P397" s="328">
        <v>43299</v>
      </c>
      <c r="Q397" s="303" t="s">
        <v>1952</v>
      </c>
      <c r="R397" s="303">
        <f t="shared" si="10"/>
        <v>1</v>
      </c>
      <c r="S397" s="303">
        <v>0</v>
      </c>
    </row>
    <row r="398" spans="1:19" x14ac:dyDescent="0.25">
      <c r="A398" s="303" t="s">
        <v>3059</v>
      </c>
      <c r="B398" s="303" t="s">
        <v>3058</v>
      </c>
      <c r="C398" s="328">
        <v>43299</v>
      </c>
      <c r="D398" s="303" t="s">
        <v>1961</v>
      </c>
      <c r="E398" s="303" t="s">
        <v>1960</v>
      </c>
      <c r="F398" s="303" t="s">
        <v>1967</v>
      </c>
      <c r="G398" s="303" t="s">
        <v>1957</v>
      </c>
      <c r="H398" s="303" t="s">
        <v>1956</v>
      </c>
      <c r="I398" s="304">
        <v>-20717</v>
      </c>
      <c r="J398" s="303" t="s">
        <v>1967</v>
      </c>
      <c r="K398" s="303" t="s">
        <v>2161</v>
      </c>
      <c r="L398" s="303" t="s">
        <v>1956</v>
      </c>
      <c r="M398" s="303" t="s">
        <v>3057</v>
      </c>
      <c r="N398" s="303" t="s">
        <v>1987</v>
      </c>
      <c r="O398" s="303" t="s">
        <v>1986</v>
      </c>
      <c r="P398" s="328">
        <v>43299</v>
      </c>
      <c r="Q398" s="303" t="s">
        <v>1952</v>
      </c>
      <c r="R398" s="303">
        <f t="shared" si="10"/>
        <v>1</v>
      </c>
      <c r="S398" s="303">
        <v>0</v>
      </c>
    </row>
    <row r="399" spans="1:19" x14ac:dyDescent="0.25">
      <c r="A399" s="303" t="s">
        <v>3056</v>
      </c>
      <c r="B399" s="303" t="s">
        <v>3055</v>
      </c>
      <c r="C399" s="328">
        <v>43299</v>
      </c>
      <c r="D399" s="303" t="s">
        <v>1965</v>
      </c>
      <c r="E399" s="303" t="s">
        <v>1964</v>
      </c>
      <c r="F399" s="303" t="s">
        <v>1967</v>
      </c>
      <c r="G399" s="303" t="s">
        <v>1957</v>
      </c>
      <c r="H399" s="303" t="s">
        <v>1956</v>
      </c>
      <c r="I399" s="304">
        <v>40513</v>
      </c>
      <c r="J399" s="303" t="s">
        <v>1967</v>
      </c>
      <c r="K399" s="303" t="s">
        <v>2161</v>
      </c>
      <c r="L399" s="303" t="s">
        <v>1956</v>
      </c>
      <c r="M399" s="303" t="s">
        <v>3054</v>
      </c>
      <c r="N399" s="303" t="s">
        <v>1987</v>
      </c>
      <c r="O399" s="303" t="s">
        <v>1986</v>
      </c>
      <c r="P399" s="328">
        <v>43299</v>
      </c>
      <c r="Q399" s="303" t="s">
        <v>1952</v>
      </c>
      <c r="R399" s="303">
        <f t="shared" si="10"/>
        <v>1</v>
      </c>
      <c r="S399" s="303">
        <v>0</v>
      </c>
    </row>
    <row r="400" spans="1:19" x14ac:dyDescent="0.25">
      <c r="A400" s="303" t="s">
        <v>3056</v>
      </c>
      <c r="B400" s="303" t="s">
        <v>3055</v>
      </c>
      <c r="C400" s="328">
        <v>43299</v>
      </c>
      <c r="D400" s="303" t="s">
        <v>1961</v>
      </c>
      <c r="E400" s="303" t="s">
        <v>1960</v>
      </c>
      <c r="F400" s="303" t="s">
        <v>1967</v>
      </c>
      <c r="G400" s="303" t="s">
        <v>1957</v>
      </c>
      <c r="H400" s="303" t="s">
        <v>1956</v>
      </c>
      <c r="I400" s="304">
        <v>-40513</v>
      </c>
      <c r="J400" s="303" t="s">
        <v>1967</v>
      </c>
      <c r="K400" s="303" t="s">
        <v>2161</v>
      </c>
      <c r="L400" s="303" t="s">
        <v>1956</v>
      </c>
      <c r="M400" s="303" t="s">
        <v>3054</v>
      </c>
      <c r="N400" s="303" t="s">
        <v>1987</v>
      </c>
      <c r="O400" s="303" t="s">
        <v>1986</v>
      </c>
      <c r="P400" s="328">
        <v>43299</v>
      </c>
      <c r="Q400" s="303" t="s">
        <v>1952</v>
      </c>
      <c r="R400" s="303">
        <f t="shared" si="10"/>
        <v>1</v>
      </c>
      <c r="S400" s="303">
        <v>0</v>
      </c>
    </row>
    <row r="401" spans="1:19" x14ac:dyDescent="0.25">
      <c r="A401" s="303" t="s">
        <v>3053</v>
      </c>
      <c r="B401" s="303" t="s">
        <v>3052</v>
      </c>
      <c r="C401" s="328">
        <v>43299</v>
      </c>
      <c r="D401" s="303" t="s">
        <v>1965</v>
      </c>
      <c r="E401" s="303" t="s">
        <v>1964</v>
      </c>
      <c r="F401" s="303" t="s">
        <v>1967</v>
      </c>
      <c r="G401" s="303" t="s">
        <v>1957</v>
      </c>
      <c r="H401" s="303" t="s">
        <v>1956</v>
      </c>
      <c r="I401" s="304">
        <v>81719</v>
      </c>
      <c r="J401" s="303" t="s">
        <v>1967</v>
      </c>
      <c r="K401" s="303" t="s">
        <v>2161</v>
      </c>
      <c r="L401" s="303" t="s">
        <v>1956</v>
      </c>
      <c r="M401" s="303" t="s">
        <v>3051</v>
      </c>
      <c r="N401" s="303" t="s">
        <v>1987</v>
      </c>
      <c r="O401" s="303" t="s">
        <v>1986</v>
      </c>
      <c r="P401" s="328">
        <v>43299</v>
      </c>
      <c r="Q401" s="303" t="s">
        <v>1952</v>
      </c>
      <c r="R401" s="303">
        <f t="shared" si="10"/>
        <v>1</v>
      </c>
      <c r="S401" s="303">
        <v>0</v>
      </c>
    </row>
    <row r="402" spans="1:19" x14ac:dyDescent="0.25">
      <c r="A402" s="303" t="s">
        <v>3053</v>
      </c>
      <c r="B402" s="303" t="s">
        <v>3052</v>
      </c>
      <c r="C402" s="328">
        <v>43299</v>
      </c>
      <c r="D402" s="303" t="s">
        <v>1961</v>
      </c>
      <c r="E402" s="303" t="s">
        <v>1960</v>
      </c>
      <c r="F402" s="303" t="s">
        <v>1967</v>
      </c>
      <c r="G402" s="303" t="s">
        <v>1957</v>
      </c>
      <c r="H402" s="303" t="s">
        <v>1956</v>
      </c>
      <c r="I402" s="304">
        <v>-81719</v>
      </c>
      <c r="J402" s="303" t="s">
        <v>1967</v>
      </c>
      <c r="K402" s="303" t="s">
        <v>2161</v>
      </c>
      <c r="L402" s="303" t="s">
        <v>1956</v>
      </c>
      <c r="M402" s="303" t="s">
        <v>3051</v>
      </c>
      <c r="N402" s="303" t="s">
        <v>1987</v>
      </c>
      <c r="O402" s="303" t="s">
        <v>1986</v>
      </c>
      <c r="P402" s="328">
        <v>43299</v>
      </c>
      <c r="Q402" s="303" t="s">
        <v>1952</v>
      </c>
      <c r="R402" s="303">
        <f t="shared" si="10"/>
        <v>1</v>
      </c>
      <c r="S402" s="303">
        <v>0</v>
      </c>
    </row>
    <row r="403" spans="1:19" x14ac:dyDescent="0.25">
      <c r="A403" s="303" t="s">
        <v>3050</v>
      </c>
      <c r="B403" s="303" t="s">
        <v>3049</v>
      </c>
      <c r="C403" s="328">
        <v>43299</v>
      </c>
      <c r="D403" s="303" t="s">
        <v>1965</v>
      </c>
      <c r="E403" s="303" t="s">
        <v>1964</v>
      </c>
      <c r="F403" s="303" t="s">
        <v>1967</v>
      </c>
      <c r="G403" s="303" t="s">
        <v>1957</v>
      </c>
      <c r="H403" s="303" t="s">
        <v>1956</v>
      </c>
      <c r="I403" s="304">
        <v>92948</v>
      </c>
      <c r="J403" s="303" t="s">
        <v>1967</v>
      </c>
      <c r="K403" s="303" t="s">
        <v>2161</v>
      </c>
      <c r="L403" s="303" t="s">
        <v>1956</v>
      </c>
      <c r="M403" s="303" t="s">
        <v>3048</v>
      </c>
      <c r="N403" s="303" t="s">
        <v>1987</v>
      </c>
      <c r="O403" s="303" t="s">
        <v>1986</v>
      </c>
      <c r="P403" s="328">
        <v>43299</v>
      </c>
      <c r="Q403" s="303" t="s">
        <v>1952</v>
      </c>
      <c r="R403" s="303">
        <f t="shared" si="10"/>
        <v>1</v>
      </c>
      <c r="S403" s="303">
        <v>0</v>
      </c>
    </row>
    <row r="404" spans="1:19" x14ac:dyDescent="0.25">
      <c r="A404" s="303" t="s">
        <v>3050</v>
      </c>
      <c r="B404" s="303" t="s">
        <v>3049</v>
      </c>
      <c r="C404" s="328">
        <v>43299</v>
      </c>
      <c r="D404" s="303" t="s">
        <v>1961</v>
      </c>
      <c r="E404" s="303" t="s">
        <v>1960</v>
      </c>
      <c r="F404" s="303" t="s">
        <v>1967</v>
      </c>
      <c r="G404" s="303" t="s">
        <v>1957</v>
      </c>
      <c r="H404" s="303" t="s">
        <v>1956</v>
      </c>
      <c r="I404" s="304">
        <v>-92948</v>
      </c>
      <c r="J404" s="303" t="s">
        <v>1967</v>
      </c>
      <c r="K404" s="303" t="s">
        <v>2161</v>
      </c>
      <c r="L404" s="303" t="s">
        <v>1956</v>
      </c>
      <c r="M404" s="303" t="s">
        <v>3048</v>
      </c>
      <c r="N404" s="303" t="s">
        <v>1987</v>
      </c>
      <c r="O404" s="303" t="s">
        <v>1986</v>
      </c>
      <c r="P404" s="328">
        <v>43299</v>
      </c>
      <c r="Q404" s="303" t="s">
        <v>1952</v>
      </c>
      <c r="R404" s="303">
        <f t="shared" si="10"/>
        <v>1</v>
      </c>
      <c r="S404" s="303">
        <v>0</v>
      </c>
    </row>
    <row r="405" spans="1:19" x14ac:dyDescent="0.25">
      <c r="A405" s="303" t="s">
        <v>3047</v>
      </c>
      <c r="B405" s="303" t="s">
        <v>3046</v>
      </c>
      <c r="C405" s="328">
        <v>43299</v>
      </c>
      <c r="D405" s="303" t="s">
        <v>1965</v>
      </c>
      <c r="E405" s="303" t="s">
        <v>1964</v>
      </c>
      <c r="F405" s="303" t="s">
        <v>1967</v>
      </c>
      <c r="G405" s="303" t="s">
        <v>2054</v>
      </c>
      <c r="H405" s="303" t="s">
        <v>1956</v>
      </c>
      <c r="I405" s="304">
        <v>13467</v>
      </c>
      <c r="J405" s="303" t="s">
        <v>1967</v>
      </c>
      <c r="K405" s="303" t="s">
        <v>2161</v>
      </c>
      <c r="L405" s="303" t="s">
        <v>1956</v>
      </c>
      <c r="M405" s="303" t="s">
        <v>3045</v>
      </c>
      <c r="N405" s="303" t="s">
        <v>1987</v>
      </c>
      <c r="O405" s="303" t="s">
        <v>1986</v>
      </c>
      <c r="P405" s="328">
        <v>43299</v>
      </c>
      <c r="Q405" s="303" t="s">
        <v>1952</v>
      </c>
      <c r="R405" s="303">
        <f t="shared" si="10"/>
        <v>1</v>
      </c>
      <c r="S405" s="303">
        <v>0</v>
      </c>
    </row>
    <row r="406" spans="1:19" x14ac:dyDescent="0.25">
      <c r="A406" s="303" t="s">
        <v>3047</v>
      </c>
      <c r="B406" s="303" t="s">
        <v>3046</v>
      </c>
      <c r="C406" s="328">
        <v>43299</v>
      </c>
      <c r="D406" s="303" t="s">
        <v>1961</v>
      </c>
      <c r="E406" s="303" t="s">
        <v>1960</v>
      </c>
      <c r="F406" s="303" t="s">
        <v>1967</v>
      </c>
      <c r="G406" s="303" t="s">
        <v>2054</v>
      </c>
      <c r="H406" s="303" t="s">
        <v>1956</v>
      </c>
      <c r="I406" s="304">
        <v>-13467</v>
      </c>
      <c r="J406" s="303" t="s">
        <v>1967</v>
      </c>
      <c r="K406" s="303" t="s">
        <v>2161</v>
      </c>
      <c r="L406" s="303" t="s">
        <v>1956</v>
      </c>
      <c r="M406" s="303" t="s">
        <v>3045</v>
      </c>
      <c r="N406" s="303" t="s">
        <v>1987</v>
      </c>
      <c r="O406" s="303" t="s">
        <v>1986</v>
      </c>
      <c r="P406" s="328">
        <v>43299</v>
      </c>
      <c r="Q406" s="303" t="s">
        <v>1952</v>
      </c>
      <c r="R406" s="303">
        <f t="shared" si="10"/>
        <v>1</v>
      </c>
      <c r="S406" s="303">
        <v>0</v>
      </c>
    </row>
    <row r="407" spans="1:19" x14ac:dyDescent="0.25">
      <c r="A407" s="303" t="s">
        <v>3044</v>
      </c>
      <c r="B407" s="303" t="s">
        <v>3043</v>
      </c>
      <c r="C407" s="328">
        <v>43299</v>
      </c>
      <c r="D407" s="303" t="s">
        <v>1965</v>
      </c>
      <c r="E407" s="303" t="s">
        <v>1964</v>
      </c>
      <c r="F407" s="303" t="s">
        <v>1967</v>
      </c>
      <c r="G407" s="303" t="s">
        <v>2138</v>
      </c>
      <c r="H407" s="303" t="s">
        <v>1956</v>
      </c>
      <c r="I407" s="304">
        <v>40513</v>
      </c>
      <c r="J407" s="303" t="s">
        <v>1967</v>
      </c>
      <c r="K407" s="303" t="s">
        <v>2161</v>
      </c>
      <c r="L407" s="303" t="s">
        <v>1956</v>
      </c>
      <c r="M407" s="303" t="s">
        <v>3042</v>
      </c>
      <c r="N407" s="303" t="s">
        <v>1987</v>
      </c>
      <c r="O407" s="303" t="s">
        <v>1986</v>
      </c>
      <c r="P407" s="328">
        <v>43299</v>
      </c>
      <c r="Q407" s="303" t="s">
        <v>1952</v>
      </c>
      <c r="R407" s="303">
        <f t="shared" si="10"/>
        <v>1</v>
      </c>
      <c r="S407" s="303">
        <v>0</v>
      </c>
    </row>
    <row r="408" spans="1:19" x14ac:dyDescent="0.25">
      <c r="A408" s="303" t="s">
        <v>3044</v>
      </c>
      <c r="B408" s="303" t="s">
        <v>3043</v>
      </c>
      <c r="C408" s="328">
        <v>43299</v>
      </c>
      <c r="D408" s="303" t="s">
        <v>1961</v>
      </c>
      <c r="E408" s="303" t="s">
        <v>1960</v>
      </c>
      <c r="F408" s="303" t="s">
        <v>1967</v>
      </c>
      <c r="G408" s="303" t="s">
        <v>2138</v>
      </c>
      <c r="H408" s="303" t="s">
        <v>1956</v>
      </c>
      <c r="I408" s="304">
        <v>-40513</v>
      </c>
      <c r="J408" s="303" t="s">
        <v>1967</v>
      </c>
      <c r="K408" s="303" t="s">
        <v>2161</v>
      </c>
      <c r="L408" s="303" t="s">
        <v>1956</v>
      </c>
      <c r="M408" s="303" t="s">
        <v>3042</v>
      </c>
      <c r="N408" s="303" t="s">
        <v>1987</v>
      </c>
      <c r="O408" s="303" t="s">
        <v>1986</v>
      </c>
      <c r="P408" s="328">
        <v>43299</v>
      </c>
      <c r="Q408" s="303" t="s">
        <v>1952</v>
      </c>
      <c r="R408" s="303">
        <f t="shared" si="10"/>
        <v>1</v>
      </c>
      <c r="S408" s="303">
        <v>0</v>
      </c>
    </row>
    <row r="409" spans="1:19" x14ac:dyDescent="0.25">
      <c r="A409" s="303" t="s">
        <v>3041</v>
      </c>
      <c r="B409" s="303" t="s">
        <v>3040</v>
      </c>
      <c r="C409" s="328">
        <v>43299</v>
      </c>
      <c r="D409" s="303" t="s">
        <v>1965</v>
      </c>
      <c r="E409" s="303" t="s">
        <v>1964</v>
      </c>
      <c r="F409" s="303" t="s">
        <v>1967</v>
      </c>
      <c r="G409" s="303" t="s">
        <v>2123</v>
      </c>
      <c r="H409" s="303" t="s">
        <v>1956</v>
      </c>
      <c r="I409" s="304">
        <v>31076</v>
      </c>
      <c r="J409" s="303" t="s">
        <v>1967</v>
      </c>
      <c r="K409" s="303" t="s">
        <v>2161</v>
      </c>
      <c r="L409" s="303" t="s">
        <v>1956</v>
      </c>
      <c r="M409" s="303" t="s">
        <v>3039</v>
      </c>
      <c r="N409" s="303" t="s">
        <v>1987</v>
      </c>
      <c r="O409" s="303" t="s">
        <v>1986</v>
      </c>
      <c r="P409" s="328">
        <v>43299</v>
      </c>
      <c r="Q409" s="303" t="s">
        <v>1952</v>
      </c>
      <c r="R409" s="303">
        <f t="shared" si="10"/>
        <v>1</v>
      </c>
      <c r="S409" s="303">
        <v>0</v>
      </c>
    </row>
    <row r="410" spans="1:19" x14ac:dyDescent="0.25">
      <c r="A410" s="303" t="s">
        <v>3041</v>
      </c>
      <c r="B410" s="303" t="s">
        <v>3040</v>
      </c>
      <c r="C410" s="328">
        <v>43299</v>
      </c>
      <c r="D410" s="303" t="s">
        <v>1961</v>
      </c>
      <c r="E410" s="303" t="s">
        <v>1960</v>
      </c>
      <c r="F410" s="303" t="s">
        <v>1967</v>
      </c>
      <c r="G410" s="303" t="s">
        <v>2123</v>
      </c>
      <c r="H410" s="303" t="s">
        <v>1956</v>
      </c>
      <c r="I410" s="304">
        <v>-31076</v>
      </c>
      <c r="J410" s="303" t="s">
        <v>1967</v>
      </c>
      <c r="K410" s="303" t="s">
        <v>2161</v>
      </c>
      <c r="L410" s="303" t="s">
        <v>1956</v>
      </c>
      <c r="M410" s="303" t="s">
        <v>3039</v>
      </c>
      <c r="N410" s="303" t="s">
        <v>1987</v>
      </c>
      <c r="O410" s="303" t="s">
        <v>1986</v>
      </c>
      <c r="P410" s="328">
        <v>43299</v>
      </c>
      <c r="Q410" s="303" t="s">
        <v>1952</v>
      </c>
      <c r="R410" s="303">
        <f t="shared" si="10"/>
        <v>1</v>
      </c>
      <c r="S410" s="303">
        <v>0</v>
      </c>
    </row>
    <row r="411" spans="1:19" x14ac:dyDescent="0.25">
      <c r="A411" s="303" t="s">
        <v>3038</v>
      </c>
      <c r="B411" s="303" t="s">
        <v>3037</v>
      </c>
      <c r="C411" s="328">
        <v>43299</v>
      </c>
      <c r="D411" s="303" t="s">
        <v>1965</v>
      </c>
      <c r="E411" s="303" t="s">
        <v>1964</v>
      </c>
      <c r="F411" s="303" t="s">
        <v>1967</v>
      </c>
      <c r="G411" s="303" t="s">
        <v>2123</v>
      </c>
      <c r="H411" s="303" t="s">
        <v>1956</v>
      </c>
      <c r="I411" s="304">
        <v>109674</v>
      </c>
      <c r="J411" s="303" t="s">
        <v>1967</v>
      </c>
      <c r="K411" s="303" t="s">
        <v>2161</v>
      </c>
      <c r="L411" s="303" t="s">
        <v>1956</v>
      </c>
      <c r="M411" s="303" t="s">
        <v>3036</v>
      </c>
      <c r="N411" s="303" t="s">
        <v>1987</v>
      </c>
      <c r="O411" s="303" t="s">
        <v>1986</v>
      </c>
      <c r="P411" s="328">
        <v>43299</v>
      </c>
      <c r="Q411" s="303" t="s">
        <v>1952</v>
      </c>
      <c r="R411" s="303">
        <f t="shared" si="10"/>
        <v>1</v>
      </c>
      <c r="S411" s="303">
        <v>0</v>
      </c>
    </row>
    <row r="412" spans="1:19" x14ac:dyDescent="0.25">
      <c r="A412" s="303" t="s">
        <v>3038</v>
      </c>
      <c r="B412" s="303" t="s">
        <v>3037</v>
      </c>
      <c r="C412" s="328">
        <v>43299</v>
      </c>
      <c r="D412" s="303" t="s">
        <v>1961</v>
      </c>
      <c r="E412" s="303" t="s">
        <v>1960</v>
      </c>
      <c r="F412" s="303" t="s">
        <v>1967</v>
      </c>
      <c r="G412" s="303" t="s">
        <v>2123</v>
      </c>
      <c r="H412" s="303" t="s">
        <v>1956</v>
      </c>
      <c r="I412" s="304">
        <v>-109674</v>
      </c>
      <c r="J412" s="303" t="s">
        <v>1967</v>
      </c>
      <c r="K412" s="303" t="s">
        <v>2161</v>
      </c>
      <c r="L412" s="303" t="s">
        <v>1956</v>
      </c>
      <c r="M412" s="303" t="s">
        <v>3036</v>
      </c>
      <c r="N412" s="303" t="s">
        <v>1987</v>
      </c>
      <c r="O412" s="303" t="s">
        <v>1986</v>
      </c>
      <c r="P412" s="328">
        <v>43299</v>
      </c>
      <c r="Q412" s="303" t="s">
        <v>1952</v>
      </c>
      <c r="R412" s="303">
        <f t="shared" si="10"/>
        <v>1</v>
      </c>
      <c r="S412" s="303">
        <v>0</v>
      </c>
    </row>
    <row r="413" spans="1:19" x14ac:dyDescent="0.25">
      <c r="A413" s="303" t="s">
        <v>3035</v>
      </c>
      <c r="B413" s="303" t="s">
        <v>3034</v>
      </c>
      <c r="C413" s="328">
        <v>43299</v>
      </c>
      <c r="D413" s="303" t="s">
        <v>1965</v>
      </c>
      <c r="E413" s="303" t="s">
        <v>1964</v>
      </c>
      <c r="F413" s="303" t="s">
        <v>1967</v>
      </c>
      <c r="G413" s="303" t="s">
        <v>2123</v>
      </c>
      <c r="H413" s="303" t="s">
        <v>1956</v>
      </c>
      <c r="I413" s="304">
        <v>40068</v>
      </c>
      <c r="J413" s="303" t="s">
        <v>1967</v>
      </c>
      <c r="K413" s="303" t="s">
        <v>2161</v>
      </c>
      <c r="L413" s="303" t="s">
        <v>1956</v>
      </c>
      <c r="M413" s="303" t="s">
        <v>3033</v>
      </c>
      <c r="N413" s="303" t="s">
        <v>1987</v>
      </c>
      <c r="O413" s="303" t="s">
        <v>1986</v>
      </c>
      <c r="P413" s="328">
        <v>43299</v>
      </c>
      <c r="Q413" s="303" t="s">
        <v>1952</v>
      </c>
      <c r="R413" s="303">
        <f t="shared" si="10"/>
        <v>1</v>
      </c>
      <c r="S413" s="303">
        <v>0</v>
      </c>
    </row>
    <row r="414" spans="1:19" x14ac:dyDescent="0.25">
      <c r="A414" s="303" t="s">
        <v>3035</v>
      </c>
      <c r="B414" s="303" t="s">
        <v>3034</v>
      </c>
      <c r="C414" s="328">
        <v>43299</v>
      </c>
      <c r="D414" s="303" t="s">
        <v>1961</v>
      </c>
      <c r="E414" s="303" t="s">
        <v>1960</v>
      </c>
      <c r="F414" s="303" t="s">
        <v>1967</v>
      </c>
      <c r="G414" s="303" t="s">
        <v>2123</v>
      </c>
      <c r="H414" s="303" t="s">
        <v>1956</v>
      </c>
      <c r="I414" s="304">
        <v>-40068</v>
      </c>
      <c r="J414" s="303" t="s">
        <v>1967</v>
      </c>
      <c r="K414" s="303" t="s">
        <v>2161</v>
      </c>
      <c r="L414" s="303" t="s">
        <v>1956</v>
      </c>
      <c r="M414" s="303" t="s">
        <v>3033</v>
      </c>
      <c r="N414" s="303" t="s">
        <v>1987</v>
      </c>
      <c r="O414" s="303" t="s">
        <v>1986</v>
      </c>
      <c r="P414" s="328">
        <v>43299</v>
      </c>
      <c r="Q414" s="303" t="s">
        <v>1952</v>
      </c>
      <c r="R414" s="303">
        <f t="shared" si="10"/>
        <v>1</v>
      </c>
      <c r="S414" s="303">
        <v>0</v>
      </c>
    </row>
    <row r="415" spans="1:19" x14ac:dyDescent="0.25">
      <c r="A415" s="303" t="s">
        <v>3032</v>
      </c>
      <c r="B415" s="303" t="s">
        <v>3031</v>
      </c>
      <c r="C415" s="328">
        <v>43299</v>
      </c>
      <c r="D415" s="303" t="s">
        <v>1965</v>
      </c>
      <c r="E415" s="303" t="s">
        <v>1964</v>
      </c>
      <c r="F415" s="303" t="s">
        <v>1967</v>
      </c>
      <c r="G415" s="303" t="s">
        <v>2123</v>
      </c>
      <c r="H415" s="303" t="s">
        <v>1956</v>
      </c>
      <c r="I415" s="304">
        <v>24820</v>
      </c>
      <c r="J415" s="303" t="s">
        <v>1967</v>
      </c>
      <c r="K415" s="303" t="s">
        <v>2161</v>
      </c>
      <c r="L415" s="303" t="s">
        <v>1956</v>
      </c>
      <c r="M415" s="303" t="s">
        <v>3030</v>
      </c>
      <c r="N415" s="303" t="s">
        <v>1987</v>
      </c>
      <c r="O415" s="303" t="s">
        <v>1986</v>
      </c>
      <c r="P415" s="328">
        <v>43299</v>
      </c>
      <c r="Q415" s="303" t="s">
        <v>1952</v>
      </c>
      <c r="R415" s="303">
        <f t="shared" si="10"/>
        <v>1</v>
      </c>
      <c r="S415" s="303">
        <v>0</v>
      </c>
    </row>
    <row r="416" spans="1:19" x14ac:dyDescent="0.25">
      <c r="A416" s="303" t="s">
        <v>3032</v>
      </c>
      <c r="B416" s="303" t="s">
        <v>3031</v>
      </c>
      <c r="C416" s="328">
        <v>43299</v>
      </c>
      <c r="D416" s="303" t="s">
        <v>1961</v>
      </c>
      <c r="E416" s="303" t="s">
        <v>1960</v>
      </c>
      <c r="F416" s="303" t="s">
        <v>1967</v>
      </c>
      <c r="G416" s="303" t="s">
        <v>2123</v>
      </c>
      <c r="H416" s="303" t="s">
        <v>1956</v>
      </c>
      <c r="I416" s="304">
        <v>-24820</v>
      </c>
      <c r="J416" s="303" t="s">
        <v>1967</v>
      </c>
      <c r="K416" s="303" t="s">
        <v>2161</v>
      </c>
      <c r="L416" s="303" t="s">
        <v>1956</v>
      </c>
      <c r="M416" s="303" t="s">
        <v>3030</v>
      </c>
      <c r="N416" s="303" t="s">
        <v>1987</v>
      </c>
      <c r="O416" s="303" t="s">
        <v>1986</v>
      </c>
      <c r="P416" s="328">
        <v>43299</v>
      </c>
      <c r="Q416" s="303" t="s">
        <v>1952</v>
      </c>
      <c r="R416" s="303">
        <f t="shared" si="10"/>
        <v>1</v>
      </c>
      <c r="S416" s="303">
        <v>0</v>
      </c>
    </row>
    <row r="417" spans="1:19" x14ac:dyDescent="0.25">
      <c r="A417" s="303" t="s">
        <v>3029</v>
      </c>
      <c r="B417" s="303" t="s">
        <v>3028</v>
      </c>
      <c r="C417" s="328">
        <v>43299</v>
      </c>
      <c r="D417" s="303" t="s">
        <v>1965</v>
      </c>
      <c r="E417" s="303" t="s">
        <v>1964</v>
      </c>
      <c r="F417" s="303" t="s">
        <v>1967</v>
      </c>
      <c r="G417" s="303" t="s">
        <v>2123</v>
      </c>
      <c r="H417" s="303" t="s">
        <v>1956</v>
      </c>
      <c r="I417" s="304">
        <v>60820</v>
      </c>
      <c r="J417" s="303" t="s">
        <v>1967</v>
      </c>
      <c r="K417" s="303" t="s">
        <v>2161</v>
      </c>
      <c r="L417" s="303" t="s">
        <v>1956</v>
      </c>
      <c r="M417" s="303" t="s">
        <v>3027</v>
      </c>
      <c r="N417" s="303" t="s">
        <v>1987</v>
      </c>
      <c r="O417" s="303" t="s">
        <v>1986</v>
      </c>
      <c r="P417" s="328">
        <v>43299</v>
      </c>
      <c r="Q417" s="303" t="s">
        <v>1952</v>
      </c>
      <c r="R417" s="303">
        <f t="shared" si="10"/>
        <v>1</v>
      </c>
      <c r="S417" s="303">
        <v>0</v>
      </c>
    </row>
    <row r="418" spans="1:19" x14ac:dyDescent="0.25">
      <c r="A418" s="303" t="s">
        <v>3029</v>
      </c>
      <c r="B418" s="303" t="s">
        <v>3028</v>
      </c>
      <c r="C418" s="328">
        <v>43299</v>
      </c>
      <c r="D418" s="303" t="s">
        <v>1961</v>
      </c>
      <c r="E418" s="303" t="s">
        <v>1960</v>
      </c>
      <c r="F418" s="303" t="s">
        <v>1967</v>
      </c>
      <c r="G418" s="303" t="s">
        <v>2123</v>
      </c>
      <c r="H418" s="303" t="s">
        <v>1956</v>
      </c>
      <c r="I418" s="304">
        <v>-60820</v>
      </c>
      <c r="J418" s="303" t="s">
        <v>1967</v>
      </c>
      <c r="K418" s="303" t="s">
        <v>2161</v>
      </c>
      <c r="L418" s="303" t="s">
        <v>1956</v>
      </c>
      <c r="M418" s="303" t="s">
        <v>3027</v>
      </c>
      <c r="N418" s="303" t="s">
        <v>1987</v>
      </c>
      <c r="O418" s="303" t="s">
        <v>1986</v>
      </c>
      <c r="P418" s="328">
        <v>43299</v>
      </c>
      <c r="Q418" s="303" t="s">
        <v>1952</v>
      </c>
      <c r="R418" s="303">
        <f t="shared" si="10"/>
        <v>1</v>
      </c>
      <c r="S418" s="303">
        <v>0</v>
      </c>
    </row>
    <row r="419" spans="1:19" x14ac:dyDescent="0.25">
      <c r="A419" s="303" t="s">
        <v>3026</v>
      </c>
      <c r="B419" s="303" t="s">
        <v>3025</v>
      </c>
      <c r="C419" s="328">
        <v>43299</v>
      </c>
      <c r="D419" s="303" t="s">
        <v>1965</v>
      </c>
      <c r="E419" s="303" t="s">
        <v>1964</v>
      </c>
      <c r="F419" s="303" t="s">
        <v>1967</v>
      </c>
      <c r="G419" s="303" t="s">
        <v>2123</v>
      </c>
      <c r="H419" s="303" t="s">
        <v>1956</v>
      </c>
      <c r="I419" s="304">
        <v>103700</v>
      </c>
      <c r="J419" s="303" t="s">
        <v>1967</v>
      </c>
      <c r="K419" s="303" t="s">
        <v>2161</v>
      </c>
      <c r="L419" s="303" t="s">
        <v>1956</v>
      </c>
      <c r="M419" s="303" t="s">
        <v>3024</v>
      </c>
      <c r="N419" s="303" t="s">
        <v>1987</v>
      </c>
      <c r="O419" s="303" t="s">
        <v>1986</v>
      </c>
      <c r="P419" s="328">
        <v>43299</v>
      </c>
      <c r="Q419" s="303" t="s">
        <v>1952</v>
      </c>
      <c r="R419" s="303">
        <f t="shared" si="10"/>
        <v>1</v>
      </c>
      <c r="S419" s="303">
        <v>0</v>
      </c>
    </row>
    <row r="420" spans="1:19" x14ac:dyDescent="0.25">
      <c r="A420" s="303" t="s">
        <v>3026</v>
      </c>
      <c r="B420" s="303" t="s">
        <v>3025</v>
      </c>
      <c r="C420" s="328">
        <v>43299</v>
      </c>
      <c r="D420" s="303" t="s">
        <v>1961</v>
      </c>
      <c r="E420" s="303" t="s">
        <v>1960</v>
      </c>
      <c r="F420" s="303" t="s">
        <v>1967</v>
      </c>
      <c r="G420" s="303" t="s">
        <v>2123</v>
      </c>
      <c r="H420" s="303" t="s">
        <v>1956</v>
      </c>
      <c r="I420" s="304">
        <v>-103700</v>
      </c>
      <c r="J420" s="303" t="s">
        <v>1967</v>
      </c>
      <c r="K420" s="303" t="s">
        <v>2161</v>
      </c>
      <c r="L420" s="303" t="s">
        <v>1956</v>
      </c>
      <c r="M420" s="303" t="s">
        <v>3024</v>
      </c>
      <c r="N420" s="303" t="s">
        <v>1987</v>
      </c>
      <c r="O420" s="303" t="s">
        <v>1986</v>
      </c>
      <c r="P420" s="328">
        <v>43299</v>
      </c>
      <c r="Q420" s="303" t="s">
        <v>1952</v>
      </c>
      <c r="R420" s="303">
        <f t="shared" si="10"/>
        <v>1</v>
      </c>
      <c r="S420" s="303">
        <v>0</v>
      </c>
    </row>
    <row r="421" spans="1:19" x14ac:dyDescent="0.25">
      <c r="A421" s="303" t="s">
        <v>3023</v>
      </c>
      <c r="B421" s="303" t="s">
        <v>3022</v>
      </c>
      <c r="C421" s="328">
        <v>43299</v>
      </c>
      <c r="D421" s="303" t="s">
        <v>1965</v>
      </c>
      <c r="E421" s="303" t="s">
        <v>1964</v>
      </c>
      <c r="F421" s="303" t="s">
        <v>1967</v>
      </c>
      <c r="G421" s="303" t="s">
        <v>2123</v>
      </c>
      <c r="H421" s="303" t="s">
        <v>1956</v>
      </c>
      <c r="I421" s="304">
        <v>64250</v>
      </c>
      <c r="J421" s="303" t="s">
        <v>1967</v>
      </c>
      <c r="K421" s="303" t="s">
        <v>2161</v>
      </c>
      <c r="L421" s="303" t="s">
        <v>1956</v>
      </c>
      <c r="M421" s="303" t="s">
        <v>3021</v>
      </c>
      <c r="N421" s="303" t="s">
        <v>1987</v>
      </c>
      <c r="O421" s="303" t="s">
        <v>1986</v>
      </c>
      <c r="P421" s="328">
        <v>43299</v>
      </c>
      <c r="Q421" s="303" t="s">
        <v>1952</v>
      </c>
      <c r="R421" s="303">
        <f t="shared" si="10"/>
        <v>1</v>
      </c>
      <c r="S421" s="303">
        <v>0</v>
      </c>
    </row>
    <row r="422" spans="1:19" x14ac:dyDescent="0.25">
      <c r="A422" s="303" t="s">
        <v>3023</v>
      </c>
      <c r="B422" s="303" t="s">
        <v>3022</v>
      </c>
      <c r="C422" s="328">
        <v>43299</v>
      </c>
      <c r="D422" s="303" t="s">
        <v>1961</v>
      </c>
      <c r="E422" s="303" t="s">
        <v>1960</v>
      </c>
      <c r="F422" s="303" t="s">
        <v>1967</v>
      </c>
      <c r="G422" s="303" t="s">
        <v>2123</v>
      </c>
      <c r="H422" s="303" t="s">
        <v>1956</v>
      </c>
      <c r="I422" s="304">
        <v>-64250</v>
      </c>
      <c r="J422" s="303" t="s">
        <v>1967</v>
      </c>
      <c r="K422" s="303" t="s">
        <v>2161</v>
      </c>
      <c r="L422" s="303" t="s">
        <v>1956</v>
      </c>
      <c r="M422" s="303" t="s">
        <v>3021</v>
      </c>
      <c r="N422" s="303" t="s">
        <v>1987</v>
      </c>
      <c r="O422" s="303" t="s">
        <v>1986</v>
      </c>
      <c r="P422" s="328">
        <v>43299</v>
      </c>
      <c r="Q422" s="303" t="s">
        <v>1952</v>
      </c>
      <c r="R422" s="303">
        <f t="shared" si="10"/>
        <v>1</v>
      </c>
      <c r="S422" s="303">
        <v>0</v>
      </c>
    </row>
    <row r="423" spans="1:19" x14ac:dyDescent="0.25">
      <c r="A423" s="303" t="s">
        <v>3020</v>
      </c>
      <c r="B423" s="303" t="s">
        <v>3019</v>
      </c>
      <c r="C423" s="328">
        <v>43299</v>
      </c>
      <c r="D423" s="303" t="s">
        <v>1965</v>
      </c>
      <c r="E423" s="303" t="s">
        <v>1964</v>
      </c>
      <c r="F423" s="303" t="s">
        <v>1967</v>
      </c>
      <c r="G423" s="303" t="s">
        <v>1957</v>
      </c>
      <c r="H423" s="303" t="s">
        <v>1956</v>
      </c>
      <c r="I423" s="304">
        <v>31076</v>
      </c>
      <c r="J423" s="303" t="s">
        <v>1967</v>
      </c>
      <c r="K423" s="303" t="s">
        <v>2123</v>
      </c>
      <c r="L423" s="303" t="s">
        <v>1956</v>
      </c>
      <c r="M423" s="303" t="s">
        <v>3018</v>
      </c>
      <c r="N423" s="303" t="s">
        <v>1987</v>
      </c>
      <c r="O423" s="303" t="s">
        <v>1986</v>
      </c>
      <c r="P423" s="328">
        <v>43299</v>
      </c>
      <c r="Q423" s="303" t="s">
        <v>1952</v>
      </c>
      <c r="R423" s="303">
        <f t="shared" si="10"/>
        <v>1</v>
      </c>
      <c r="S423" s="303">
        <v>0</v>
      </c>
    </row>
    <row r="424" spans="1:19" x14ac:dyDescent="0.25">
      <c r="A424" s="303" t="s">
        <v>3020</v>
      </c>
      <c r="B424" s="303" t="s">
        <v>3019</v>
      </c>
      <c r="C424" s="328">
        <v>43299</v>
      </c>
      <c r="D424" s="303" t="s">
        <v>1961</v>
      </c>
      <c r="E424" s="303" t="s">
        <v>1960</v>
      </c>
      <c r="F424" s="303" t="s">
        <v>1967</v>
      </c>
      <c r="G424" s="303" t="s">
        <v>1957</v>
      </c>
      <c r="H424" s="303" t="s">
        <v>1956</v>
      </c>
      <c r="I424" s="304">
        <v>-31076</v>
      </c>
      <c r="J424" s="303" t="s">
        <v>1967</v>
      </c>
      <c r="K424" s="303" t="s">
        <v>2123</v>
      </c>
      <c r="L424" s="303" t="s">
        <v>1956</v>
      </c>
      <c r="M424" s="303" t="s">
        <v>3018</v>
      </c>
      <c r="N424" s="303" t="s">
        <v>1987</v>
      </c>
      <c r="O424" s="303" t="s">
        <v>1986</v>
      </c>
      <c r="P424" s="328">
        <v>43299</v>
      </c>
      <c r="Q424" s="303" t="s">
        <v>1952</v>
      </c>
      <c r="R424" s="303">
        <f t="shared" si="10"/>
        <v>1</v>
      </c>
      <c r="S424" s="303">
        <v>0</v>
      </c>
    </row>
    <row r="425" spans="1:19" x14ac:dyDescent="0.25">
      <c r="A425" s="303" t="s">
        <v>3017</v>
      </c>
      <c r="B425" s="303" t="s">
        <v>3016</v>
      </c>
      <c r="C425" s="328">
        <v>43299</v>
      </c>
      <c r="D425" s="303" t="s">
        <v>1965</v>
      </c>
      <c r="E425" s="303" t="s">
        <v>1964</v>
      </c>
      <c r="F425" s="303" t="s">
        <v>1967</v>
      </c>
      <c r="G425" s="303" t="s">
        <v>1460</v>
      </c>
      <c r="H425" s="303" t="s">
        <v>1956</v>
      </c>
      <c r="I425" s="304">
        <v>40250</v>
      </c>
      <c r="J425" s="303" t="s">
        <v>1967</v>
      </c>
      <c r="K425" s="303" t="s">
        <v>1959</v>
      </c>
      <c r="L425" s="303" t="s">
        <v>1956</v>
      </c>
      <c r="M425" s="303" t="s">
        <v>3015</v>
      </c>
      <c r="N425" s="303" t="s">
        <v>1987</v>
      </c>
      <c r="O425" s="303" t="s">
        <v>1986</v>
      </c>
      <c r="P425" s="328">
        <v>43299</v>
      </c>
      <c r="Q425" s="303" t="s">
        <v>1952</v>
      </c>
      <c r="R425" s="303">
        <f t="shared" si="10"/>
        <v>1</v>
      </c>
      <c r="S425" s="303">
        <v>0</v>
      </c>
    </row>
    <row r="426" spans="1:19" x14ac:dyDescent="0.25">
      <c r="A426" s="303" t="s">
        <v>3017</v>
      </c>
      <c r="B426" s="303" t="s">
        <v>3016</v>
      </c>
      <c r="C426" s="328">
        <v>43299</v>
      </c>
      <c r="D426" s="303" t="s">
        <v>1961</v>
      </c>
      <c r="E426" s="303" t="s">
        <v>1960</v>
      </c>
      <c r="F426" s="303" t="s">
        <v>1967</v>
      </c>
      <c r="G426" s="303" t="s">
        <v>1460</v>
      </c>
      <c r="H426" s="303" t="s">
        <v>1956</v>
      </c>
      <c r="I426" s="304">
        <v>-40250</v>
      </c>
      <c r="J426" s="303" t="s">
        <v>1967</v>
      </c>
      <c r="K426" s="303" t="s">
        <v>1959</v>
      </c>
      <c r="L426" s="303" t="s">
        <v>1956</v>
      </c>
      <c r="M426" s="303" t="s">
        <v>3015</v>
      </c>
      <c r="N426" s="303" t="s">
        <v>1987</v>
      </c>
      <c r="O426" s="303" t="s">
        <v>1986</v>
      </c>
      <c r="P426" s="328">
        <v>43299</v>
      </c>
      <c r="Q426" s="303" t="s">
        <v>1952</v>
      </c>
      <c r="R426" s="303">
        <f t="shared" si="10"/>
        <v>1</v>
      </c>
      <c r="S426" s="303">
        <v>0</v>
      </c>
    </row>
    <row r="427" spans="1:19" x14ac:dyDescent="0.25">
      <c r="A427" s="303" t="s">
        <v>3014</v>
      </c>
      <c r="B427" s="303" t="s">
        <v>3013</v>
      </c>
      <c r="C427" s="328">
        <v>43301</v>
      </c>
      <c r="D427" s="303" t="s">
        <v>1965</v>
      </c>
      <c r="E427" s="303" t="s">
        <v>1964</v>
      </c>
      <c r="F427" s="303" t="s">
        <v>1892</v>
      </c>
      <c r="G427" s="303" t="s">
        <v>1406</v>
      </c>
      <c r="H427" s="303" t="s">
        <v>1956</v>
      </c>
      <c r="I427" s="304">
        <v>23500</v>
      </c>
      <c r="J427" s="303" t="s">
        <v>1958</v>
      </c>
      <c r="K427" s="303" t="s">
        <v>1957</v>
      </c>
      <c r="L427" s="303" t="s">
        <v>1956</v>
      </c>
      <c r="M427" s="303" t="s">
        <v>2022</v>
      </c>
      <c r="N427" s="303" t="s">
        <v>1987</v>
      </c>
      <c r="O427" s="303" t="s">
        <v>1986</v>
      </c>
      <c r="P427" s="328">
        <v>43301</v>
      </c>
      <c r="Q427" s="303" t="s">
        <v>1952</v>
      </c>
      <c r="R427" s="303">
        <f t="shared" si="10"/>
        <v>0</v>
      </c>
      <c r="S427" s="303">
        <v>0</v>
      </c>
    </row>
    <row r="428" spans="1:19" x14ac:dyDescent="0.25">
      <c r="A428" s="303" t="s">
        <v>3014</v>
      </c>
      <c r="B428" s="303" t="s">
        <v>3013</v>
      </c>
      <c r="C428" s="328">
        <v>43301</v>
      </c>
      <c r="D428" s="303" t="s">
        <v>1961</v>
      </c>
      <c r="E428" s="303" t="s">
        <v>1960</v>
      </c>
      <c r="F428" s="303" t="s">
        <v>1892</v>
      </c>
      <c r="G428" s="303" t="s">
        <v>1406</v>
      </c>
      <c r="H428" s="303" t="s">
        <v>1956</v>
      </c>
      <c r="I428" s="304">
        <v>-23500</v>
      </c>
      <c r="J428" s="303" t="s">
        <v>1958</v>
      </c>
      <c r="K428" s="303" t="s">
        <v>1957</v>
      </c>
      <c r="L428" s="303" t="s">
        <v>1956</v>
      </c>
      <c r="M428" s="303" t="s">
        <v>2022</v>
      </c>
      <c r="N428" s="303" t="s">
        <v>1987</v>
      </c>
      <c r="O428" s="303" t="s">
        <v>1986</v>
      </c>
      <c r="P428" s="328">
        <v>43301</v>
      </c>
      <c r="Q428" s="303" t="s">
        <v>1952</v>
      </c>
      <c r="R428" s="303">
        <f t="shared" si="10"/>
        <v>0</v>
      </c>
      <c r="S428" s="303">
        <v>0</v>
      </c>
    </row>
    <row r="429" spans="1:19" x14ac:dyDescent="0.25">
      <c r="A429" s="303" t="s">
        <v>3012</v>
      </c>
      <c r="B429" s="303" t="s">
        <v>3011</v>
      </c>
      <c r="C429" s="328">
        <v>43301</v>
      </c>
      <c r="D429" s="303" t="s">
        <v>1965</v>
      </c>
      <c r="E429" s="303" t="s">
        <v>1964</v>
      </c>
      <c r="F429" s="303" t="s">
        <v>1892</v>
      </c>
      <c r="G429" s="303" t="s">
        <v>1406</v>
      </c>
      <c r="H429" s="303" t="s">
        <v>1956</v>
      </c>
      <c r="I429" s="304">
        <v>100000</v>
      </c>
      <c r="J429" s="303" t="s">
        <v>1967</v>
      </c>
      <c r="K429" s="303" t="s">
        <v>1406</v>
      </c>
      <c r="L429" s="303" t="s">
        <v>1956</v>
      </c>
      <c r="M429" s="303" t="s">
        <v>2019</v>
      </c>
      <c r="N429" s="303" t="s">
        <v>1987</v>
      </c>
      <c r="O429" s="303" t="s">
        <v>1986</v>
      </c>
      <c r="P429" s="328">
        <v>43301</v>
      </c>
      <c r="Q429" s="303" t="s">
        <v>1952</v>
      </c>
      <c r="R429" s="303">
        <f t="shared" si="10"/>
        <v>0</v>
      </c>
      <c r="S429" s="303">
        <v>0</v>
      </c>
    </row>
    <row r="430" spans="1:19" x14ac:dyDescent="0.25">
      <c r="A430" s="303" t="s">
        <v>3012</v>
      </c>
      <c r="B430" s="303" t="s">
        <v>3011</v>
      </c>
      <c r="C430" s="328">
        <v>43301</v>
      </c>
      <c r="D430" s="303" t="s">
        <v>1961</v>
      </c>
      <c r="E430" s="303" t="s">
        <v>1960</v>
      </c>
      <c r="F430" s="303" t="s">
        <v>1892</v>
      </c>
      <c r="G430" s="303" t="s">
        <v>1406</v>
      </c>
      <c r="H430" s="303" t="s">
        <v>1956</v>
      </c>
      <c r="I430" s="304">
        <v>-100000</v>
      </c>
      <c r="J430" s="303" t="s">
        <v>1967</v>
      </c>
      <c r="K430" s="303" t="s">
        <v>1406</v>
      </c>
      <c r="L430" s="303" t="s">
        <v>1956</v>
      </c>
      <c r="M430" s="303" t="s">
        <v>2019</v>
      </c>
      <c r="N430" s="303" t="s">
        <v>1987</v>
      </c>
      <c r="O430" s="303" t="s">
        <v>1986</v>
      </c>
      <c r="P430" s="328">
        <v>43301</v>
      </c>
      <c r="Q430" s="303" t="s">
        <v>1952</v>
      </c>
      <c r="R430" s="303">
        <f t="shared" si="10"/>
        <v>0</v>
      </c>
      <c r="S430" s="303">
        <v>0</v>
      </c>
    </row>
    <row r="431" spans="1:19" x14ac:dyDescent="0.25">
      <c r="A431" s="303" t="s">
        <v>3010</v>
      </c>
      <c r="B431" s="303" t="s">
        <v>3009</v>
      </c>
      <c r="C431" s="328">
        <v>43301</v>
      </c>
      <c r="D431" s="303" t="s">
        <v>1965</v>
      </c>
      <c r="E431" s="303" t="s">
        <v>1964</v>
      </c>
      <c r="F431" s="303" t="s">
        <v>1967</v>
      </c>
      <c r="G431" s="303" t="s">
        <v>2072</v>
      </c>
      <c r="H431" s="303" t="s">
        <v>1956</v>
      </c>
      <c r="I431" s="304">
        <v>5062</v>
      </c>
      <c r="J431" s="303" t="s">
        <v>1967</v>
      </c>
      <c r="K431" s="303" t="s">
        <v>1959</v>
      </c>
      <c r="L431" s="303" t="s">
        <v>1956</v>
      </c>
      <c r="M431" s="303" t="s">
        <v>3008</v>
      </c>
      <c r="N431" s="303" t="s">
        <v>1987</v>
      </c>
      <c r="O431" s="303" t="s">
        <v>1986</v>
      </c>
      <c r="P431" s="328">
        <v>43301</v>
      </c>
      <c r="Q431" s="303" t="s">
        <v>1952</v>
      </c>
      <c r="R431" s="303">
        <f t="shared" si="10"/>
        <v>1</v>
      </c>
      <c r="S431" s="303">
        <v>0</v>
      </c>
    </row>
    <row r="432" spans="1:19" x14ac:dyDescent="0.25">
      <c r="A432" s="303" t="s">
        <v>3010</v>
      </c>
      <c r="B432" s="303" t="s">
        <v>3009</v>
      </c>
      <c r="C432" s="328">
        <v>43301</v>
      </c>
      <c r="D432" s="303" t="s">
        <v>1961</v>
      </c>
      <c r="E432" s="303" t="s">
        <v>1960</v>
      </c>
      <c r="F432" s="303" t="s">
        <v>1967</v>
      </c>
      <c r="G432" s="303" t="s">
        <v>2072</v>
      </c>
      <c r="H432" s="303" t="s">
        <v>1956</v>
      </c>
      <c r="I432" s="304">
        <v>-5062</v>
      </c>
      <c r="J432" s="303" t="s">
        <v>1967</v>
      </c>
      <c r="K432" s="303" t="s">
        <v>1959</v>
      </c>
      <c r="L432" s="303" t="s">
        <v>1956</v>
      </c>
      <c r="M432" s="303" t="s">
        <v>3008</v>
      </c>
      <c r="N432" s="303" t="s">
        <v>1987</v>
      </c>
      <c r="O432" s="303" t="s">
        <v>1986</v>
      </c>
      <c r="P432" s="328">
        <v>43301</v>
      </c>
      <c r="Q432" s="303" t="s">
        <v>1952</v>
      </c>
      <c r="R432" s="303">
        <f t="shared" si="10"/>
        <v>1</v>
      </c>
      <c r="S432" s="303">
        <v>0</v>
      </c>
    </row>
    <row r="433" spans="1:19" x14ac:dyDescent="0.25">
      <c r="A433" s="303" t="s">
        <v>3007</v>
      </c>
      <c r="B433" s="303" t="s">
        <v>3006</v>
      </c>
      <c r="C433" s="328">
        <v>43305</v>
      </c>
      <c r="D433" s="303" t="s">
        <v>1965</v>
      </c>
      <c r="E433" s="303" t="s">
        <v>1964</v>
      </c>
      <c r="F433" s="303" t="s">
        <v>1924</v>
      </c>
      <c r="G433" s="303" t="s">
        <v>1373</v>
      </c>
      <c r="H433" s="303" t="s">
        <v>1956</v>
      </c>
      <c r="I433" s="304">
        <v>11079</v>
      </c>
      <c r="J433" s="303" t="s">
        <v>1918</v>
      </c>
      <c r="K433" s="303" t="s">
        <v>2183</v>
      </c>
      <c r="L433" s="303" t="s">
        <v>1956</v>
      </c>
      <c r="M433" s="303" t="s">
        <v>3005</v>
      </c>
      <c r="N433" s="303" t="s">
        <v>1987</v>
      </c>
      <c r="O433" s="303" t="s">
        <v>1986</v>
      </c>
      <c r="P433" s="328">
        <v>43305</v>
      </c>
      <c r="Q433" s="303" t="s">
        <v>1952</v>
      </c>
      <c r="R433" s="303">
        <f t="shared" si="10"/>
        <v>1</v>
      </c>
      <c r="S433" s="303">
        <v>1</v>
      </c>
    </row>
    <row r="434" spans="1:19" x14ac:dyDescent="0.25">
      <c r="A434" s="303" t="s">
        <v>3007</v>
      </c>
      <c r="B434" s="303" t="s">
        <v>3006</v>
      </c>
      <c r="C434" s="328">
        <v>43305</v>
      </c>
      <c r="D434" s="303" t="s">
        <v>1961</v>
      </c>
      <c r="E434" s="303" t="s">
        <v>1960</v>
      </c>
      <c r="F434" s="303" t="s">
        <v>1924</v>
      </c>
      <c r="G434" s="303" t="s">
        <v>1373</v>
      </c>
      <c r="H434" s="303" t="s">
        <v>1956</v>
      </c>
      <c r="I434" s="304">
        <v>-11079</v>
      </c>
      <c r="J434" s="303" t="s">
        <v>1918</v>
      </c>
      <c r="K434" s="303" t="s">
        <v>2183</v>
      </c>
      <c r="L434" s="303" t="s">
        <v>1956</v>
      </c>
      <c r="M434" s="303" t="s">
        <v>3005</v>
      </c>
      <c r="N434" s="303" t="s">
        <v>1987</v>
      </c>
      <c r="O434" s="303" t="s">
        <v>1986</v>
      </c>
      <c r="P434" s="328">
        <v>43305</v>
      </c>
      <c r="Q434" s="303" t="s">
        <v>1952</v>
      </c>
      <c r="R434" s="303">
        <f t="shared" si="10"/>
        <v>1</v>
      </c>
      <c r="S434" s="303">
        <v>1</v>
      </c>
    </row>
    <row r="435" spans="1:19" x14ac:dyDescent="0.25">
      <c r="A435" s="303" t="s">
        <v>3004</v>
      </c>
      <c r="B435" s="303" t="s">
        <v>3003</v>
      </c>
      <c r="C435" s="328">
        <v>43305</v>
      </c>
      <c r="D435" s="303" t="s">
        <v>1965</v>
      </c>
      <c r="E435" s="303" t="s">
        <v>1964</v>
      </c>
      <c r="F435" s="303" t="s">
        <v>1621</v>
      </c>
      <c r="G435" s="303" t="s">
        <v>1597</v>
      </c>
      <c r="H435" s="303" t="s">
        <v>1956</v>
      </c>
      <c r="I435" s="304">
        <v>12844</v>
      </c>
      <c r="J435" s="303" t="s">
        <v>1958</v>
      </c>
      <c r="K435" s="303" t="s">
        <v>1957</v>
      </c>
      <c r="L435" s="303" t="s">
        <v>1956</v>
      </c>
      <c r="M435" s="303" t="s">
        <v>2022</v>
      </c>
      <c r="N435" s="303" t="s">
        <v>1987</v>
      </c>
      <c r="O435" s="303" t="s">
        <v>1986</v>
      </c>
      <c r="P435" s="328">
        <v>43305</v>
      </c>
      <c r="Q435" s="303" t="s">
        <v>1952</v>
      </c>
      <c r="R435" s="303">
        <f t="shared" si="10"/>
        <v>0</v>
      </c>
      <c r="S435" s="303">
        <v>0</v>
      </c>
    </row>
    <row r="436" spans="1:19" x14ac:dyDescent="0.25">
      <c r="A436" s="303" t="s">
        <v>3004</v>
      </c>
      <c r="B436" s="303" t="s">
        <v>3003</v>
      </c>
      <c r="C436" s="328">
        <v>43305</v>
      </c>
      <c r="D436" s="303" t="s">
        <v>1961</v>
      </c>
      <c r="E436" s="303" t="s">
        <v>1960</v>
      </c>
      <c r="F436" s="303" t="s">
        <v>1621</v>
      </c>
      <c r="G436" s="303" t="s">
        <v>1597</v>
      </c>
      <c r="H436" s="303" t="s">
        <v>1956</v>
      </c>
      <c r="I436" s="304">
        <v>-12844</v>
      </c>
      <c r="J436" s="303" t="s">
        <v>1958</v>
      </c>
      <c r="K436" s="303" t="s">
        <v>1957</v>
      </c>
      <c r="L436" s="303" t="s">
        <v>1956</v>
      </c>
      <c r="M436" s="303" t="s">
        <v>2022</v>
      </c>
      <c r="N436" s="303" t="s">
        <v>1987</v>
      </c>
      <c r="O436" s="303" t="s">
        <v>1986</v>
      </c>
      <c r="P436" s="328">
        <v>43305</v>
      </c>
      <c r="Q436" s="303" t="s">
        <v>1952</v>
      </c>
      <c r="R436" s="303">
        <f t="shared" si="10"/>
        <v>0</v>
      </c>
      <c r="S436" s="303">
        <v>0</v>
      </c>
    </row>
    <row r="437" spans="1:19" x14ac:dyDescent="0.25">
      <c r="A437" s="303" t="s">
        <v>3002</v>
      </c>
      <c r="B437" s="303" t="s">
        <v>3001</v>
      </c>
      <c r="C437" s="328">
        <v>43305</v>
      </c>
      <c r="D437" s="303" t="s">
        <v>1965</v>
      </c>
      <c r="E437" s="303" t="s">
        <v>1964</v>
      </c>
      <c r="F437" s="303" t="s">
        <v>1621</v>
      </c>
      <c r="G437" s="303" t="s">
        <v>1597</v>
      </c>
      <c r="H437" s="303" t="s">
        <v>1956</v>
      </c>
      <c r="I437" s="304">
        <v>54657</v>
      </c>
      <c r="J437" s="303" t="s">
        <v>1967</v>
      </c>
      <c r="K437" s="303" t="s">
        <v>1597</v>
      </c>
      <c r="L437" s="303" t="s">
        <v>1956</v>
      </c>
      <c r="M437" s="303" t="s">
        <v>2019</v>
      </c>
      <c r="N437" s="303" t="s">
        <v>1987</v>
      </c>
      <c r="O437" s="303" t="s">
        <v>1986</v>
      </c>
      <c r="P437" s="328">
        <v>43305</v>
      </c>
      <c r="Q437" s="303" t="s">
        <v>1952</v>
      </c>
      <c r="R437" s="303">
        <f t="shared" si="10"/>
        <v>0</v>
      </c>
      <c r="S437" s="303">
        <v>0</v>
      </c>
    </row>
    <row r="438" spans="1:19" x14ac:dyDescent="0.25">
      <c r="A438" s="303" t="s">
        <v>3002</v>
      </c>
      <c r="B438" s="303" t="s">
        <v>3001</v>
      </c>
      <c r="C438" s="328">
        <v>43305</v>
      </c>
      <c r="D438" s="303" t="s">
        <v>1961</v>
      </c>
      <c r="E438" s="303" t="s">
        <v>1960</v>
      </c>
      <c r="F438" s="303" t="s">
        <v>1621</v>
      </c>
      <c r="G438" s="303" t="s">
        <v>1597</v>
      </c>
      <c r="H438" s="303" t="s">
        <v>1956</v>
      </c>
      <c r="I438" s="304">
        <v>-54657</v>
      </c>
      <c r="J438" s="303" t="s">
        <v>1967</v>
      </c>
      <c r="K438" s="303" t="s">
        <v>1597</v>
      </c>
      <c r="L438" s="303" t="s">
        <v>1956</v>
      </c>
      <c r="M438" s="303" t="s">
        <v>2019</v>
      </c>
      <c r="N438" s="303" t="s">
        <v>1987</v>
      </c>
      <c r="O438" s="303" t="s">
        <v>1986</v>
      </c>
      <c r="P438" s="328">
        <v>43305</v>
      </c>
      <c r="Q438" s="303" t="s">
        <v>1952</v>
      </c>
      <c r="R438" s="303">
        <f t="shared" si="10"/>
        <v>0</v>
      </c>
      <c r="S438" s="303">
        <v>0</v>
      </c>
    </row>
    <row r="439" spans="1:19" x14ac:dyDescent="0.25">
      <c r="A439" s="303" t="s">
        <v>3000</v>
      </c>
      <c r="B439" s="303" t="s">
        <v>2999</v>
      </c>
      <c r="C439" s="328">
        <v>43307</v>
      </c>
      <c r="D439" s="303" t="s">
        <v>1965</v>
      </c>
      <c r="E439" s="303" t="s">
        <v>1964</v>
      </c>
      <c r="F439" s="303" t="s">
        <v>1691</v>
      </c>
      <c r="G439" s="303" t="s">
        <v>1537</v>
      </c>
      <c r="H439" s="303" t="s">
        <v>1956</v>
      </c>
      <c r="I439" s="304">
        <v>28200</v>
      </c>
      <c r="J439" s="303" t="s">
        <v>1958</v>
      </c>
      <c r="K439" s="303" t="s">
        <v>1957</v>
      </c>
      <c r="L439" s="303" t="s">
        <v>1956</v>
      </c>
      <c r="M439" s="303" t="s">
        <v>2022</v>
      </c>
      <c r="N439" s="303" t="s">
        <v>1987</v>
      </c>
      <c r="O439" s="303" t="s">
        <v>1986</v>
      </c>
      <c r="P439" s="328">
        <v>43307</v>
      </c>
      <c r="Q439" s="303" t="s">
        <v>1952</v>
      </c>
      <c r="R439" s="303">
        <f t="shared" si="10"/>
        <v>0</v>
      </c>
      <c r="S439" s="303">
        <v>0</v>
      </c>
    </row>
    <row r="440" spans="1:19" x14ac:dyDescent="0.25">
      <c r="A440" s="303" t="s">
        <v>3000</v>
      </c>
      <c r="B440" s="303" t="s">
        <v>2999</v>
      </c>
      <c r="C440" s="328">
        <v>43307</v>
      </c>
      <c r="D440" s="303" t="s">
        <v>1961</v>
      </c>
      <c r="E440" s="303" t="s">
        <v>1960</v>
      </c>
      <c r="F440" s="303" t="s">
        <v>1691</v>
      </c>
      <c r="G440" s="303" t="s">
        <v>1537</v>
      </c>
      <c r="H440" s="303" t="s">
        <v>1956</v>
      </c>
      <c r="I440" s="304">
        <v>-28200</v>
      </c>
      <c r="J440" s="303" t="s">
        <v>1958</v>
      </c>
      <c r="K440" s="303" t="s">
        <v>1957</v>
      </c>
      <c r="L440" s="303" t="s">
        <v>1956</v>
      </c>
      <c r="M440" s="303" t="s">
        <v>2022</v>
      </c>
      <c r="N440" s="303" t="s">
        <v>1987</v>
      </c>
      <c r="O440" s="303" t="s">
        <v>1986</v>
      </c>
      <c r="P440" s="328">
        <v>43307</v>
      </c>
      <c r="Q440" s="303" t="s">
        <v>1952</v>
      </c>
      <c r="R440" s="303">
        <f t="shared" si="10"/>
        <v>0</v>
      </c>
      <c r="S440" s="303">
        <v>0</v>
      </c>
    </row>
    <row r="441" spans="1:19" x14ac:dyDescent="0.25">
      <c r="A441" s="303" t="s">
        <v>2998</v>
      </c>
      <c r="B441" s="303" t="s">
        <v>2997</v>
      </c>
      <c r="C441" s="328">
        <v>43307</v>
      </c>
      <c r="D441" s="303" t="s">
        <v>1965</v>
      </c>
      <c r="E441" s="303" t="s">
        <v>1964</v>
      </c>
      <c r="F441" s="303" t="s">
        <v>1691</v>
      </c>
      <c r="G441" s="303" t="s">
        <v>1537</v>
      </c>
      <c r="H441" s="303" t="s">
        <v>1956</v>
      </c>
      <c r="I441" s="304">
        <v>120000</v>
      </c>
      <c r="J441" s="303" t="s">
        <v>1967</v>
      </c>
      <c r="K441" s="303" t="s">
        <v>1537</v>
      </c>
      <c r="L441" s="303" t="s">
        <v>1956</v>
      </c>
      <c r="M441" s="303" t="s">
        <v>2019</v>
      </c>
      <c r="N441" s="303" t="s">
        <v>1987</v>
      </c>
      <c r="O441" s="303" t="s">
        <v>1986</v>
      </c>
      <c r="P441" s="328">
        <v>43307</v>
      </c>
      <c r="Q441" s="303" t="s">
        <v>1952</v>
      </c>
      <c r="R441" s="303">
        <f t="shared" si="10"/>
        <v>0</v>
      </c>
      <c r="S441" s="303">
        <v>0</v>
      </c>
    </row>
    <row r="442" spans="1:19" x14ac:dyDescent="0.25">
      <c r="A442" s="303" t="s">
        <v>2998</v>
      </c>
      <c r="B442" s="303" t="s">
        <v>2997</v>
      </c>
      <c r="C442" s="328">
        <v>43307</v>
      </c>
      <c r="D442" s="303" t="s">
        <v>1961</v>
      </c>
      <c r="E442" s="303" t="s">
        <v>1960</v>
      </c>
      <c r="F442" s="303" t="s">
        <v>1691</v>
      </c>
      <c r="G442" s="303" t="s">
        <v>1537</v>
      </c>
      <c r="H442" s="303" t="s">
        <v>1956</v>
      </c>
      <c r="I442" s="304">
        <v>-120000</v>
      </c>
      <c r="J442" s="303" t="s">
        <v>1967</v>
      </c>
      <c r="K442" s="303" t="s">
        <v>1537</v>
      </c>
      <c r="L442" s="303" t="s">
        <v>1956</v>
      </c>
      <c r="M442" s="303" t="s">
        <v>2019</v>
      </c>
      <c r="N442" s="303" t="s">
        <v>1987</v>
      </c>
      <c r="O442" s="303" t="s">
        <v>1986</v>
      </c>
      <c r="P442" s="328">
        <v>43307</v>
      </c>
      <c r="Q442" s="303" t="s">
        <v>1952</v>
      </c>
      <c r="R442" s="303">
        <f t="shared" si="10"/>
        <v>0</v>
      </c>
      <c r="S442" s="303">
        <v>0</v>
      </c>
    </row>
    <row r="443" spans="1:19" x14ac:dyDescent="0.25">
      <c r="A443" s="303" t="s">
        <v>2996</v>
      </c>
      <c r="B443" s="303" t="s">
        <v>2995</v>
      </c>
      <c r="C443" s="328">
        <v>43307</v>
      </c>
      <c r="D443" s="303" t="s">
        <v>1965</v>
      </c>
      <c r="E443" s="303" t="s">
        <v>1964</v>
      </c>
      <c r="F443" s="303" t="s">
        <v>1967</v>
      </c>
      <c r="G443" s="303" t="s">
        <v>1540</v>
      </c>
      <c r="H443" s="303" t="s">
        <v>1956</v>
      </c>
      <c r="I443" s="304">
        <v>4177</v>
      </c>
      <c r="J443" s="303" t="s">
        <v>1967</v>
      </c>
      <c r="K443" s="303" t="s">
        <v>2134</v>
      </c>
      <c r="L443" s="303" t="s">
        <v>1956</v>
      </c>
      <c r="M443" s="303" t="s">
        <v>2994</v>
      </c>
      <c r="N443" s="303" t="s">
        <v>1987</v>
      </c>
      <c r="O443" s="303" t="s">
        <v>1986</v>
      </c>
      <c r="P443" s="328">
        <v>43307</v>
      </c>
      <c r="Q443" s="303" t="s">
        <v>1952</v>
      </c>
      <c r="R443" s="303">
        <f t="shared" si="10"/>
        <v>0</v>
      </c>
      <c r="S443" s="303">
        <v>0</v>
      </c>
    </row>
    <row r="444" spans="1:19" x14ac:dyDescent="0.25">
      <c r="A444" s="303" t="s">
        <v>2996</v>
      </c>
      <c r="B444" s="303" t="s">
        <v>2995</v>
      </c>
      <c r="C444" s="328">
        <v>43307</v>
      </c>
      <c r="D444" s="303" t="s">
        <v>1961</v>
      </c>
      <c r="E444" s="303" t="s">
        <v>1960</v>
      </c>
      <c r="F444" s="303" t="s">
        <v>1967</v>
      </c>
      <c r="G444" s="303" t="s">
        <v>1540</v>
      </c>
      <c r="H444" s="303" t="s">
        <v>1956</v>
      </c>
      <c r="I444" s="304">
        <v>-4177</v>
      </c>
      <c r="J444" s="303" t="s">
        <v>1967</v>
      </c>
      <c r="K444" s="303" t="s">
        <v>2134</v>
      </c>
      <c r="L444" s="303" t="s">
        <v>1956</v>
      </c>
      <c r="M444" s="303" t="s">
        <v>2994</v>
      </c>
      <c r="N444" s="303" t="s">
        <v>1987</v>
      </c>
      <c r="O444" s="303" t="s">
        <v>1986</v>
      </c>
      <c r="P444" s="328">
        <v>43307</v>
      </c>
      <c r="Q444" s="303" t="s">
        <v>1952</v>
      </c>
      <c r="R444" s="303">
        <f t="shared" si="10"/>
        <v>0</v>
      </c>
      <c r="S444" s="303">
        <v>0</v>
      </c>
    </row>
    <row r="445" spans="1:19" x14ac:dyDescent="0.25">
      <c r="A445" s="303" t="s">
        <v>2993</v>
      </c>
      <c r="B445" s="303" t="s">
        <v>2992</v>
      </c>
      <c r="C445" s="328">
        <v>43307</v>
      </c>
      <c r="D445" s="303" t="s">
        <v>1965</v>
      </c>
      <c r="E445" s="303" t="s">
        <v>1964</v>
      </c>
      <c r="F445" s="303" t="s">
        <v>1813</v>
      </c>
      <c r="G445" s="303" t="s">
        <v>1439</v>
      </c>
      <c r="H445" s="303" t="s">
        <v>1956</v>
      </c>
      <c r="I445" s="304">
        <v>761</v>
      </c>
      <c r="J445" s="303" t="s">
        <v>1958</v>
      </c>
      <c r="K445" s="303" t="s">
        <v>1957</v>
      </c>
      <c r="L445" s="303" t="s">
        <v>1956</v>
      </c>
      <c r="M445" s="303" t="s">
        <v>2991</v>
      </c>
      <c r="N445" s="303" t="s">
        <v>1987</v>
      </c>
      <c r="O445" s="303" t="s">
        <v>1986</v>
      </c>
      <c r="P445" s="328">
        <v>43307</v>
      </c>
      <c r="Q445" s="303" t="s">
        <v>1952</v>
      </c>
      <c r="R445" s="303">
        <f t="shared" si="10"/>
        <v>1</v>
      </c>
      <c r="S445" s="303">
        <v>0</v>
      </c>
    </row>
    <row r="446" spans="1:19" x14ac:dyDescent="0.25">
      <c r="A446" s="303" t="s">
        <v>2993</v>
      </c>
      <c r="B446" s="303" t="s">
        <v>2992</v>
      </c>
      <c r="C446" s="328">
        <v>43307</v>
      </c>
      <c r="D446" s="303" t="s">
        <v>1961</v>
      </c>
      <c r="E446" s="303" t="s">
        <v>1960</v>
      </c>
      <c r="F446" s="303" t="s">
        <v>1813</v>
      </c>
      <c r="G446" s="303" t="s">
        <v>1439</v>
      </c>
      <c r="H446" s="303" t="s">
        <v>1956</v>
      </c>
      <c r="I446" s="304">
        <v>-761</v>
      </c>
      <c r="J446" s="303" t="s">
        <v>1958</v>
      </c>
      <c r="K446" s="303" t="s">
        <v>1957</v>
      </c>
      <c r="L446" s="303" t="s">
        <v>1956</v>
      </c>
      <c r="M446" s="303" t="s">
        <v>2991</v>
      </c>
      <c r="N446" s="303" t="s">
        <v>1987</v>
      </c>
      <c r="O446" s="303" t="s">
        <v>1986</v>
      </c>
      <c r="P446" s="328">
        <v>43307</v>
      </c>
      <c r="Q446" s="303" t="s">
        <v>1952</v>
      </c>
      <c r="R446" s="303">
        <f t="shared" si="10"/>
        <v>1</v>
      </c>
      <c r="S446" s="303">
        <v>0</v>
      </c>
    </row>
    <row r="447" spans="1:19" x14ac:dyDescent="0.25">
      <c r="A447" s="303" t="s">
        <v>2990</v>
      </c>
      <c r="B447" s="303" t="s">
        <v>2989</v>
      </c>
      <c r="C447" s="328">
        <v>43307</v>
      </c>
      <c r="D447" s="303" t="s">
        <v>1965</v>
      </c>
      <c r="E447" s="303" t="s">
        <v>1964</v>
      </c>
      <c r="F447" s="303" t="s">
        <v>1813</v>
      </c>
      <c r="G447" s="303" t="s">
        <v>1439</v>
      </c>
      <c r="H447" s="303" t="s">
        <v>1956</v>
      </c>
      <c r="I447" s="304">
        <v>3239</v>
      </c>
      <c r="J447" s="303" t="s">
        <v>1967</v>
      </c>
      <c r="K447" s="303" t="s">
        <v>1439</v>
      </c>
      <c r="L447" s="303" t="s">
        <v>1956</v>
      </c>
      <c r="M447" s="303" t="s">
        <v>2988</v>
      </c>
      <c r="N447" s="303" t="s">
        <v>1987</v>
      </c>
      <c r="O447" s="303" t="s">
        <v>1986</v>
      </c>
      <c r="P447" s="328">
        <v>43307</v>
      </c>
      <c r="Q447" s="303" t="s">
        <v>1952</v>
      </c>
      <c r="R447" s="303">
        <f t="shared" si="10"/>
        <v>1</v>
      </c>
      <c r="S447" s="303">
        <v>0</v>
      </c>
    </row>
    <row r="448" spans="1:19" x14ac:dyDescent="0.25">
      <c r="A448" s="303" t="s">
        <v>2990</v>
      </c>
      <c r="B448" s="303" t="s">
        <v>2989</v>
      </c>
      <c r="C448" s="328">
        <v>43307</v>
      </c>
      <c r="D448" s="303" t="s">
        <v>1961</v>
      </c>
      <c r="E448" s="303" t="s">
        <v>1960</v>
      </c>
      <c r="F448" s="303" t="s">
        <v>1813</v>
      </c>
      <c r="G448" s="303" t="s">
        <v>1439</v>
      </c>
      <c r="H448" s="303" t="s">
        <v>1956</v>
      </c>
      <c r="I448" s="304">
        <v>-3239</v>
      </c>
      <c r="J448" s="303" t="s">
        <v>1967</v>
      </c>
      <c r="K448" s="303" t="s">
        <v>1439</v>
      </c>
      <c r="L448" s="303" t="s">
        <v>1956</v>
      </c>
      <c r="M448" s="303" t="s">
        <v>2988</v>
      </c>
      <c r="N448" s="303" t="s">
        <v>1987</v>
      </c>
      <c r="O448" s="303" t="s">
        <v>1986</v>
      </c>
      <c r="P448" s="328">
        <v>43307</v>
      </c>
      <c r="Q448" s="303" t="s">
        <v>1952</v>
      </c>
      <c r="R448" s="303">
        <f t="shared" si="10"/>
        <v>1</v>
      </c>
      <c r="S448" s="303">
        <v>0</v>
      </c>
    </row>
    <row r="449" spans="1:19" x14ac:dyDescent="0.25">
      <c r="A449" s="303" t="s">
        <v>2987</v>
      </c>
      <c r="B449" s="303" t="s">
        <v>2986</v>
      </c>
      <c r="C449" s="328">
        <v>43307</v>
      </c>
      <c r="D449" s="303" t="s">
        <v>1965</v>
      </c>
      <c r="E449" s="303" t="s">
        <v>1964</v>
      </c>
      <c r="F449" s="303" t="s">
        <v>1967</v>
      </c>
      <c r="G449" s="303" t="s">
        <v>1582</v>
      </c>
      <c r="H449" s="303" t="s">
        <v>1956</v>
      </c>
      <c r="I449" s="304">
        <v>4061</v>
      </c>
      <c r="J449" s="303" t="s">
        <v>1967</v>
      </c>
      <c r="K449" s="303" t="s">
        <v>1421</v>
      </c>
      <c r="L449" s="303" t="s">
        <v>1956</v>
      </c>
      <c r="M449" s="303" t="s">
        <v>2985</v>
      </c>
      <c r="N449" s="303" t="s">
        <v>1987</v>
      </c>
      <c r="O449" s="303" t="s">
        <v>1986</v>
      </c>
      <c r="P449" s="328">
        <v>43307</v>
      </c>
      <c r="Q449" s="303" t="s">
        <v>1952</v>
      </c>
      <c r="R449" s="303">
        <f t="shared" si="10"/>
        <v>1</v>
      </c>
      <c r="S449" s="303">
        <v>0</v>
      </c>
    </row>
    <row r="450" spans="1:19" x14ac:dyDescent="0.25">
      <c r="A450" s="303" t="s">
        <v>2987</v>
      </c>
      <c r="B450" s="303" t="s">
        <v>2986</v>
      </c>
      <c r="C450" s="328">
        <v>43307</v>
      </c>
      <c r="D450" s="303" t="s">
        <v>1961</v>
      </c>
      <c r="E450" s="303" t="s">
        <v>1960</v>
      </c>
      <c r="F450" s="303" t="s">
        <v>1967</v>
      </c>
      <c r="G450" s="303" t="s">
        <v>1582</v>
      </c>
      <c r="H450" s="303" t="s">
        <v>1956</v>
      </c>
      <c r="I450" s="304">
        <v>-4061</v>
      </c>
      <c r="J450" s="303" t="s">
        <v>1967</v>
      </c>
      <c r="K450" s="303" t="s">
        <v>1421</v>
      </c>
      <c r="L450" s="303" t="s">
        <v>1956</v>
      </c>
      <c r="M450" s="303" t="s">
        <v>2985</v>
      </c>
      <c r="N450" s="303" t="s">
        <v>1987</v>
      </c>
      <c r="O450" s="303" t="s">
        <v>1986</v>
      </c>
      <c r="P450" s="328">
        <v>43307</v>
      </c>
      <c r="Q450" s="303" t="s">
        <v>1952</v>
      </c>
      <c r="R450" s="303">
        <f t="shared" si="10"/>
        <v>1</v>
      </c>
      <c r="S450" s="303">
        <v>0</v>
      </c>
    </row>
    <row r="451" spans="1:19" x14ac:dyDescent="0.25">
      <c r="A451" s="303" t="s">
        <v>2984</v>
      </c>
      <c r="B451" s="303" t="s">
        <v>2983</v>
      </c>
      <c r="C451" s="328">
        <v>43307</v>
      </c>
      <c r="D451" s="303" t="s">
        <v>1965</v>
      </c>
      <c r="E451" s="303" t="s">
        <v>1964</v>
      </c>
      <c r="F451" s="303" t="s">
        <v>1967</v>
      </c>
      <c r="G451" s="303" t="s">
        <v>1532</v>
      </c>
      <c r="H451" s="303" t="s">
        <v>1956</v>
      </c>
      <c r="I451" s="304">
        <v>51750</v>
      </c>
      <c r="J451" s="303" t="s">
        <v>1967</v>
      </c>
      <c r="K451" s="303" t="s">
        <v>1959</v>
      </c>
      <c r="L451" s="303" t="s">
        <v>1956</v>
      </c>
      <c r="M451" s="303" t="s">
        <v>2982</v>
      </c>
      <c r="N451" s="303" t="s">
        <v>1987</v>
      </c>
      <c r="O451" s="303" t="s">
        <v>1986</v>
      </c>
      <c r="P451" s="328">
        <v>43307</v>
      </c>
      <c r="Q451" s="303" t="s">
        <v>1952</v>
      </c>
      <c r="R451" s="303">
        <f t="shared" ref="R451:R514" si="11">IF(OR(M451="transfert de B vers A",M451="transfert de B vers D",M451="transfert de A vers B",M451="transfert de D vers B",M451="carryover 2017 -&gt; 2018",IF(ISERR(SEARCH("fidélité",M451)),FALSE,TRUE),M451="Fermeture STI-FORM",M451="répartition AE/AC"),0,1)</f>
        <v>1</v>
      </c>
      <c r="S451" s="303">
        <v>0</v>
      </c>
    </row>
    <row r="452" spans="1:19" x14ac:dyDescent="0.25">
      <c r="A452" s="303" t="s">
        <v>2984</v>
      </c>
      <c r="B452" s="303" t="s">
        <v>2983</v>
      </c>
      <c r="C452" s="328">
        <v>43307</v>
      </c>
      <c r="D452" s="303" t="s">
        <v>1961</v>
      </c>
      <c r="E452" s="303" t="s">
        <v>1960</v>
      </c>
      <c r="F452" s="303" t="s">
        <v>1967</v>
      </c>
      <c r="G452" s="303" t="s">
        <v>1532</v>
      </c>
      <c r="H452" s="303" t="s">
        <v>1956</v>
      </c>
      <c r="I452" s="304">
        <v>-51750</v>
      </c>
      <c r="J452" s="303" t="s">
        <v>1967</v>
      </c>
      <c r="K452" s="303" t="s">
        <v>1959</v>
      </c>
      <c r="L452" s="303" t="s">
        <v>1956</v>
      </c>
      <c r="M452" s="303" t="s">
        <v>2982</v>
      </c>
      <c r="N452" s="303" t="s">
        <v>1987</v>
      </c>
      <c r="O452" s="303" t="s">
        <v>1986</v>
      </c>
      <c r="P452" s="328">
        <v>43307</v>
      </c>
      <c r="Q452" s="303" t="s">
        <v>1952</v>
      </c>
      <c r="R452" s="303">
        <f t="shared" si="11"/>
        <v>1</v>
      </c>
      <c r="S452" s="303">
        <v>0</v>
      </c>
    </row>
    <row r="453" spans="1:19" x14ac:dyDescent="0.25">
      <c r="A453" s="303" t="s">
        <v>2981</v>
      </c>
      <c r="B453" s="303" t="s">
        <v>2980</v>
      </c>
      <c r="C453" s="328">
        <v>43307</v>
      </c>
      <c r="D453" s="303" t="s">
        <v>1965</v>
      </c>
      <c r="E453" s="303" t="s">
        <v>1964</v>
      </c>
      <c r="F453" s="303" t="s">
        <v>1967</v>
      </c>
      <c r="G453" s="303" t="s">
        <v>1523</v>
      </c>
      <c r="H453" s="303" t="s">
        <v>1956</v>
      </c>
      <c r="I453" s="304">
        <v>14375</v>
      </c>
      <c r="J453" s="303" t="s">
        <v>1967</v>
      </c>
      <c r="K453" s="303" t="s">
        <v>1959</v>
      </c>
      <c r="L453" s="303" t="s">
        <v>1956</v>
      </c>
      <c r="M453" s="303" t="s">
        <v>2979</v>
      </c>
      <c r="N453" s="303" t="s">
        <v>1987</v>
      </c>
      <c r="O453" s="303" t="s">
        <v>1986</v>
      </c>
      <c r="P453" s="328">
        <v>43307</v>
      </c>
      <c r="Q453" s="303" t="s">
        <v>1952</v>
      </c>
      <c r="R453" s="303">
        <f t="shared" si="11"/>
        <v>1</v>
      </c>
      <c r="S453" s="303">
        <v>0</v>
      </c>
    </row>
    <row r="454" spans="1:19" x14ac:dyDescent="0.25">
      <c r="A454" s="303" t="s">
        <v>2981</v>
      </c>
      <c r="B454" s="303" t="s">
        <v>2980</v>
      </c>
      <c r="C454" s="328">
        <v>43307</v>
      </c>
      <c r="D454" s="303" t="s">
        <v>1961</v>
      </c>
      <c r="E454" s="303" t="s">
        <v>1960</v>
      </c>
      <c r="F454" s="303" t="s">
        <v>1967</v>
      </c>
      <c r="G454" s="303" t="s">
        <v>1523</v>
      </c>
      <c r="H454" s="303" t="s">
        <v>1956</v>
      </c>
      <c r="I454" s="304">
        <v>-14375</v>
      </c>
      <c r="J454" s="303" t="s">
        <v>1967</v>
      </c>
      <c r="K454" s="303" t="s">
        <v>1959</v>
      </c>
      <c r="L454" s="303" t="s">
        <v>1956</v>
      </c>
      <c r="M454" s="303" t="s">
        <v>2979</v>
      </c>
      <c r="N454" s="303" t="s">
        <v>1987</v>
      </c>
      <c r="O454" s="303" t="s">
        <v>1986</v>
      </c>
      <c r="P454" s="328">
        <v>43307</v>
      </c>
      <c r="Q454" s="303" t="s">
        <v>1952</v>
      </c>
      <c r="R454" s="303">
        <f t="shared" si="11"/>
        <v>1</v>
      </c>
      <c r="S454" s="303">
        <v>0</v>
      </c>
    </row>
    <row r="455" spans="1:19" x14ac:dyDescent="0.25">
      <c r="A455" s="303" t="s">
        <v>2978</v>
      </c>
      <c r="B455" s="303" t="s">
        <v>2977</v>
      </c>
      <c r="C455" s="328">
        <v>43308</v>
      </c>
      <c r="D455" s="303" t="s">
        <v>1965</v>
      </c>
      <c r="E455" s="303" t="s">
        <v>1964</v>
      </c>
      <c r="F455" s="303" t="s">
        <v>1967</v>
      </c>
      <c r="G455" s="303" t="s">
        <v>2183</v>
      </c>
      <c r="H455" s="303" t="s">
        <v>1956</v>
      </c>
      <c r="I455" s="304">
        <v>5433</v>
      </c>
      <c r="J455" s="303" t="s">
        <v>1967</v>
      </c>
      <c r="K455" s="303" t="s">
        <v>1606</v>
      </c>
      <c r="L455" s="303" t="s">
        <v>1956</v>
      </c>
      <c r="M455" s="303" t="s">
        <v>2976</v>
      </c>
      <c r="N455" s="303" t="s">
        <v>1987</v>
      </c>
      <c r="O455" s="303" t="s">
        <v>1986</v>
      </c>
      <c r="P455" s="328">
        <v>43308</v>
      </c>
      <c r="Q455" s="303" t="s">
        <v>1952</v>
      </c>
      <c r="R455" s="303">
        <f t="shared" si="11"/>
        <v>1</v>
      </c>
      <c r="S455" s="303">
        <v>0</v>
      </c>
    </row>
    <row r="456" spans="1:19" x14ac:dyDescent="0.25">
      <c r="A456" s="303" t="s">
        <v>2978</v>
      </c>
      <c r="B456" s="303" t="s">
        <v>2977</v>
      </c>
      <c r="C456" s="328">
        <v>43308</v>
      </c>
      <c r="D456" s="303" t="s">
        <v>1961</v>
      </c>
      <c r="E456" s="303" t="s">
        <v>1960</v>
      </c>
      <c r="F456" s="303" t="s">
        <v>1967</v>
      </c>
      <c r="G456" s="303" t="s">
        <v>2183</v>
      </c>
      <c r="H456" s="303" t="s">
        <v>1956</v>
      </c>
      <c r="I456" s="304">
        <v>-5433</v>
      </c>
      <c r="J456" s="303" t="s">
        <v>1967</v>
      </c>
      <c r="K456" s="303" t="s">
        <v>1606</v>
      </c>
      <c r="L456" s="303" t="s">
        <v>1956</v>
      </c>
      <c r="M456" s="303" t="s">
        <v>2976</v>
      </c>
      <c r="N456" s="303" t="s">
        <v>1987</v>
      </c>
      <c r="O456" s="303" t="s">
        <v>1986</v>
      </c>
      <c r="P456" s="328">
        <v>43308</v>
      </c>
      <c r="Q456" s="303" t="s">
        <v>1952</v>
      </c>
      <c r="R456" s="303">
        <f t="shared" si="11"/>
        <v>1</v>
      </c>
      <c r="S456" s="303">
        <v>0</v>
      </c>
    </row>
    <row r="457" spans="1:19" x14ac:dyDescent="0.25">
      <c r="A457" s="303" t="s">
        <v>2975</v>
      </c>
      <c r="B457" s="303" t="s">
        <v>2974</v>
      </c>
      <c r="C457" s="328">
        <v>43308</v>
      </c>
      <c r="D457" s="303" t="s">
        <v>1965</v>
      </c>
      <c r="E457" s="303" t="s">
        <v>1964</v>
      </c>
      <c r="F457" s="303" t="s">
        <v>1904</v>
      </c>
      <c r="G457" s="303" t="s">
        <v>1394</v>
      </c>
      <c r="H457" s="303" t="s">
        <v>1956</v>
      </c>
      <c r="I457" s="304">
        <v>91904</v>
      </c>
      <c r="J457" s="303" t="s">
        <v>1609</v>
      </c>
      <c r="K457" s="303" t="s">
        <v>1609</v>
      </c>
      <c r="L457" s="303" t="s">
        <v>1609</v>
      </c>
      <c r="M457" s="303" t="s">
        <v>2973</v>
      </c>
      <c r="N457" s="303" t="s">
        <v>2031</v>
      </c>
      <c r="O457" s="303" t="s">
        <v>2030</v>
      </c>
      <c r="P457" s="328">
        <v>43308</v>
      </c>
      <c r="Q457" s="303" t="s">
        <v>1952</v>
      </c>
      <c r="R457" s="303">
        <f t="shared" si="11"/>
        <v>1</v>
      </c>
      <c r="S457" s="303">
        <v>1</v>
      </c>
    </row>
    <row r="458" spans="1:19" x14ac:dyDescent="0.25">
      <c r="A458" s="303" t="s">
        <v>2972</v>
      </c>
      <c r="B458" s="303" t="s">
        <v>2971</v>
      </c>
      <c r="C458" s="328">
        <v>43312</v>
      </c>
      <c r="D458" s="303" t="s">
        <v>1965</v>
      </c>
      <c r="E458" s="303" t="s">
        <v>1964</v>
      </c>
      <c r="F458" s="303" t="s">
        <v>1870</v>
      </c>
      <c r="G458" s="303" t="s">
        <v>1418</v>
      </c>
      <c r="H458" s="303" t="s">
        <v>1956</v>
      </c>
      <c r="I458" s="304">
        <v>1000</v>
      </c>
      <c r="J458" s="303" t="s">
        <v>1609</v>
      </c>
      <c r="K458" s="303" t="s">
        <v>1609</v>
      </c>
      <c r="L458" s="303" t="s">
        <v>1609</v>
      </c>
      <c r="M458" s="303" t="s">
        <v>2970</v>
      </c>
      <c r="N458" s="303" t="s">
        <v>2031</v>
      </c>
      <c r="O458" s="303" t="s">
        <v>2030</v>
      </c>
      <c r="P458" s="328">
        <v>43312</v>
      </c>
      <c r="Q458" s="303" t="s">
        <v>1952</v>
      </c>
      <c r="R458" s="303">
        <f t="shared" si="11"/>
        <v>1</v>
      </c>
      <c r="S458" s="303">
        <v>1</v>
      </c>
    </row>
    <row r="459" spans="1:19" x14ac:dyDescent="0.25">
      <c r="A459" s="303" t="s">
        <v>2969</v>
      </c>
      <c r="B459" s="303" t="s">
        <v>2968</v>
      </c>
      <c r="C459" s="328">
        <v>43315</v>
      </c>
      <c r="D459" s="303" t="s">
        <v>1965</v>
      </c>
      <c r="E459" s="303" t="s">
        <v>1964</v>
      </c>
      <c r="F459" s="303" t="s">
        <v>1836</v>
      </c>
      <c r="G459" s="303" t="s">
        <v>1424</v>
      </c>
      <c r="H459" s="303" t="s">
        <v>1956</v>
      </c>
      <c r="I459" s="304">
        <v>31000</v>
      </c>
      <c r="J459" s="303" t="s">
        <v>1819</v>
      </c>
      <c r="K459" s="303" t="s">
        <v>1436</v>
      </c>
      <c r="L459" s="303" t="s">
        <v>1956</v>
      </c>
      <c r="M459" s="303" t="s">
        <v>2967</v>
      </c>
      <c r="N459" s="303" t="s">
        <v>1987</v>
      </c>
      <c r="O459" s="303" t="s">
        <v>1986</v>
      </c>
      <c r="P459" s="328">
        <v>43315</v>
      </c>
      <c r="Q459" s="303" t="s">
        <v>1952</v>
      </c>
      <c r="R459" s="303">
        <f t="shared" si="11"/>
        <v>1</v>
      </c>
      <c r="S459" s="303">
        <v>1</v>
      </c>
    </row>
    <row r="460" spans="1:19" x14ac:dyDescent="0.25">
      <c r="A460" s="303" t="s">
        <v>2969</v>
      </c>
      <c r="B460" s="303" t="s">
        <v>2968</v>
      </c>
      <c r="C460" s="328">
        <v>43315</v>
      </c>
      <c r="D460" s="303" t="s">
        <v>1961</v>
      </c>
      <c r="E460" s="303" t="s">
        <v>1960</v>
      </c>
      <c r="F460" s="303" t="s">
        <v>1836</v>
      </c>
      <c r="G460" s="303" t="s">
        <v>1424</v>
      </c>
      <c r="H460" s="303" t="s">
        <v>1956</v>
      </c>
      <c r="I460" s="304">
        <v>-31000</v>
      </c>
      <c r="J460" s="303" t="s">
        <v>1819</v>
      </c>
      <c r="K460" s="303" t="s">
        <v>1436</v>
      </c>
      <c r="L460" s="303" t="s">
        <v>1956</v>
      </c>
      <c r="M460" s="303" t="s">
        <v>2967</v>
      </c>
      <c r="N460" s="303" t="s">
        <v>1987</v>
      </c>
      <c r="O460" s="303" t="s">
        <v>1986</v>
      </c>
      <c r="P460" s="328">
        <v>43315</v>
      </c>
      <c r="Q460" s="303" t="s">
        <v>1952</v>
      </c>
      <c r="R460" s="303">
        <f t="shared" si="11"/>
        <v>1</v>
      </c>
      <c r="S460" s="303">
        <v>1</v>
      </c>
    </row>
    <row r="461" spans="1:19" x14ac:dyDescent="0.25">
      <c r="A461" s="303" t="s">
        <v>2966</v>
      </c>
      <c r="B461" s="303" t="s">
        <v>2965</v>
      </c>
      <c r="C461" s="328">
        <v>43319</v>
      </c>
      <c r="D461" s="303" t="s">
        <v>1965</v>
      </c>
      <c r="E461" s="303" t="s">
        <v>1964</v>
      </c>
      <c r="F461" s="303" t="s">
        <v>1719</v>
      </c>
      <c r="G461" s="303" t="s">
        <v>1511</v>
      </c>
      <c r="H461" s="303" t="s">
        <v>1956</v>
      </c>
      <c r="I461" s="304">
        <v>11442</v>
      </c>
      <c r="J461" s="303" t="s">
        <v>1609</v>
      </c>
      <c r="K461" s="303" t="s">
        <v>1609</v>
      </c>
      <c r="L461" s="303" t="s">
        <v>1609</v>
      </c>
      <c r="M461" s="303" t="s">
        <v>2964</v>
      </c>
      <c r="N461" s="303" t="s">
        <v>2031</v>
      </c>
      <c r="O461" s="303" t="s">
        <v>2030</v>
      </c>
      <c r="P461" s="328">
        <v>43319</v>
      </c>
      <c r="Q461" s="303" t="s">
        <v>1952</v>
      </c>
      <c r="R461" s="303">
        <f t="shared" si="11"/>
        <v>1</v>
      </c>
      <c r="S461" s="303">
        <v>1</v>
      </c>
    </row>
    <row r="462" spans="1:19" x14ac:dyDescent="0.25">
      <c r="A462" s="303" t="s">
        <v>2963</v>
      </c>
      <c r="B462" s="303" t="s">
        <v>2962</v>
      </c>
      <c r="C462" s="328">
        <v>43320</v>
      </c>
      <c r="D462" s="303" t="s">
        <v>1965</v>
      </c>
      <c r="E462" s="303" t="s">
        <v>1964</v>
      </c>
      <c r="F462" s="303" t="s">
        <v>1967</v>
      </c>
      <c r="G462" s="303" t="s">
        <v>2193</v>
      </c>
      <c r="H462" s="303" t="s">
        <v>1956</v>
      </c>
      <c r="I462" s="304">
        <v>277801</v>
      </c>
      <c r="J462" s="303" t="s">
        <v>1967</v>
      </c>
      <c r="K462" s="303" t="s">
        <v>1959</v>
      </c>
      <c r="L462" s="303" t="s">
        <v>1956</v>
      </c>
      <c r="M462" s="303" t="s">
        <v>2961</v>
      </c>
      <c r="N462" s="303" t="s">
        <v>1987</v>
      </c>
      <c r="O462" s="303" t="s">
        <v>1986</v>
      </c>
      <c r="P462" s="328">
        <v>43320</v>
      </c>
      <c r="Q462" s="303" t="s">
        <v>1952</v>
      </c>
      <c r="R462" s="303">
        <f t="shared" si="11"/>
        <v>1</v>
      </c>
      <c r="S462" s="303">
        <v>0</v>
      </c>
    </row>
    <row r="463" spans="1:19" x14ac:dyDescent="0.25">
      <c r="A463" s="303" t="s">
        <v>2963</v>
      </c>
      <c r="B463" s="303" t="s">
        <v>2962</v>
      </c>
      <c r="C463" s="328">
        <v>43320</v>
      </c>
      <c r="D463" s="303" t="s">
        <v>1961</v>
      </c>
      <c r="E463" s="303" t="s">
        <v>1960</v>
      </c>
      <c r="F463" s="303" t="s">
        <v>1967</v>
      </c>
      <c r="G463" s="303" t="s">
        <v>2193</v>
      </c>
      <c r="H463" s="303" t="s">
        <v>1956</v>
      </c>
      <c r="I463" s="304">
        <v>-277801</v>
      </c>
      <c r="J463" s="303" t="s">
        <v>1967</v>
      </c>
      <c r="K463" s="303" t="s">
        <v>1959</v>
      </c>
      <c r="L463" s="303" t="s">
        <v>1956</v>
      </c>
      <c r="M463" s="303" t="s">
        <v>2961</v>
      </c>
      <c r="N463" s="303" t="s">
        <v>1987</v>
      </c>
      <c r="O463" s="303" t="s">
        <v>1986</v>
      </c>
      <c r="P463" s="328">
        <v>43320</v>
      </c>
      <c r="Q463" s="303" t="s">
        <v>1952</v>
      </c>
      <c r="R463" s="303">
        <f t="shared" si="11"/>
        <v>1</v>
      </c>
      <c r="S463" s="303">
        <v>0</v>
      </c>
    </row>
    <row r="464" spans="1:19" x14ac:dyDescent="0.25">
      <c r="A464" s="303" t="s">
        <v>2960</v>
      </c>
      <c r="B464" s="303" t="s">
        <v>2959</v>
      </c>
      <c r="C464" s="328">
        <v>43328</v>
      </c>
      <c r="D464" s="303" t="s">
        <v>1965</v>
      </c>
      <c r="E464" s="303" t="s">
        <v>1964</v>
      </c>
      <c r="F464" s="303" t="s">
        <v>1759</v>
      </c>
      <c r="G464" s="303" t="s">
        <v>2072</v>
      </c>
      <c r="H464" s="303" t="s">
        <v>1956</v>
      </c>
      <c r="I464" s="304">
        <v>2706</v>
      </c>
      <c r="J464" s="303" t="s">
        <v>1846</v>
      </c>
      <c r="K464" s="303" t="s">
        <v>1959</v>
      </c>
      <c r="L464" s="303" t="s">
        <v>1956</v>
      </c>
      <c r="M464" s="303" t="s">
        <v>2958</v>
      </c>
      <c r="N464" s="303" t="s">
        <v>2957</v>
      </c>
      <c r="O464" s="303" t="s">
        <v>2956</v>
      </c>
      <c r="P464" s="328">
        <v>43328</v>
      </c>
      <c r="Q464" s="303" t="s">
        <v>1952</v>
      </c>
      <c r="R464" s="303">
        <f t="shared" si="11"/>
        <v>1</v>
      </c>
      <c r="S464" s="303">
        <v>0</v>
      </c>
    </row>
    <row r="465" spans="1:19" x14ac:dyDescent="0.25">
      <c r="A465" s="303" t="s">
        <v>2960</v>
      </c>
      <c r="B465" s="303" t="s">
        <v>2959</v>
      </c>
      <c r="C465" s="328">
        <v>43328</v>
      </c>
      <c r="D465" s="303" t="s">
        <v>1961</v>
      </c>
      <c r="E465" s="303" t="s">
        <v>1960</v>
      </c>
      <c r="F465" s="303" t="s">
        <v>1759</v>
      </c>
      <c r="G465" s="303" t="s">
        <v>2072</v>
      </c>
      <c r="H465" s="303" t="s">
        <v>1956</v>
      </c>
      <c r="I465" s="304">
        <v>-2706</v>
      </c>
      <c r="J465" s="303" t="s">
        <v>1846</v>
      </c>
      <c r="K465" s="303" t="s">
        <v>1959</v>
      </c>
      <c r="L465" s="303" t="s">
        <v>1956</v>
      </c>
      <c r="M465" s="303" t="s">
        <v>2958</v>
      </c>
      <c r="N465" s="303" t="s">
        <v>2957</v>
      </c>
      <c r="O465" s="303" t="s">
        <v>2956</v>
      </c>
      <c r="P465" s="328">
        <v>43328</v>
      </c>
      <c r="Q465" s="303" t="s">
        <v>1952</v>
      </c>
      <c r="R465" s="303">
        <f t="shared" si="11"/>
        <v>1</v>
      </c>
      <c r="S465" s="303">
        <v>0</v>
      </c>
    </row>
    <row r="466" spans="1:19" x14ac:dyDescent="0.25">
      <c r="A466" s="303" t="s">
        <v>2955</v>
      </c>
      <c r="B466" s="303" t="s">
        <v>2954</v>
      </c>
      <c r="C466" s="328">
        <v>43334</v>
      </c>
      <c r="D466" s="303" t="s">
        <v>1965</v>
      </c>
      <c r="E466" s="303" t="s">
        <v>1964</v>
      </c>
      <c r="F466" s="303" t="s">
        <v>1989</v>
      </c>
      <c r="G466" s="303" t="s">
        <v>2154</v>
      </c>
      <c r="H466" s="303" t="s">
        <v>1956</v>
      </c>
      <c r="I466" s="304">
        <v>10626</v>
      </c>
      <c r="J466" s="303" t="s">
        <v>1828</v>
      </c>
      <c r="K466" s="303" t="s">
        <v>2154</v>
      </c>
      <c r="L466" s="303" t="s">
        <v>1956</v>
      </c>
      <c r="M466" s="303" t="s">
        <v>2953</v>
      </c>
      <c r="N466" s="303" t="s">
        <v>1987</v>
      </c>
      <c r="O466" s="303" t="s">
        <v>1986</v>
      </c>
      <c r="P466" s="328">
        <v>43334</v>
      </c>
      <c r="Q466" s="303" t="s">
        <v>1952</v>
      </c>
      <c r="R466" s="303">
        <f t="shared" si="11"/>
        <v>1</v>
      </c>
      <c r="S466" s="303">
        <v>0</v>
      </c>
    </row>
    <row r="467" spans="1:19" x14ac:dyDescent="0.25">
      <c r="A467" s="303" t="s">
        <v>2955</v>
      </c>
      <c r="B467" s="303" t="s">
        <v>2954</v>
      </c>
      <c r="C467" s="328">
        <v>43334</v>
      </c>
      <c r="D467" s="303" t="s">
        <v>1961</v>
      </c>
      <c r="E467" s="303" t="s">
        <v>1960</v>
      </c>
      <c r="F467" s="303" t="s">
        <v>1989</v>
      </c>
      <c r="G467" s="303" t="s">
        <v>2154</v>
      </c>
      <c r="H467" s="303" t="s">
        <v>1956</v>
      </c>
      <c r="I467" s="304">
        <v>-10626</v>
      </c>
      <c r="J467" s="303" t="s">
        <v>1828</v>
      </c>
      <c r="K467" s="303" t="s">
        <v>2154</v>
      </c>
      <c r="L467" s="303" t="s">
        <v>1956</v>
      </c>
      <c r="M467" s="303" t="s">
        <v>2953</v>
      </c>
      <c r="N467" s="303" t="s">
        <v>1987</v>
      </c>
      <c r="O467" s="303" t="s">
        <v>1986</v>
      </c>
      <c r="P467" s="328">
        <v>43334</v>
      </c>
      <c r="Q467" s="303" t="s">
        <v>1952</v>
      </c>
      <c r="R467" s="303">
        <f t="shared" si="11"/>
        <v>1</v>
      </c>
      <c r="S467" s="303">
        <v>0</v>
      </c>
    </row>
    <row r="468" spans="1:19" x14ac:dyDescent="0.25">
      <c r="A468" s="303" t="s">
        <v>2952</v>
      </c>
      <c r="B468" s="303" t="s">
        <v>2951</v>
      </c>
      <c r="C468" s="328">
        <v>43334</v>
      </c>
      <c r="D468" s="303" t="s">
        <v>1965</v>
      </c>
      <c r="E468" s="303" t="s">
        <v>1964</v>
      </c>
      <c r="F468" s="303" t="s">
        <v>1884</v>
      </c>
      <c r="G468" s="303" t="s">
        <v>2665</v>
      </c>
      <c r="H468" s="303" t="s">
        <v>1956</v>
      </c>
      <c r="I468" s="304">
        <v>2500</v>
      </c>
      <c r="J468" s="303" t="s">
        <v>1846</v>
      </c>
      <c r="K468" s="303" t="s">
        <v>1959</v>
      </c>
      <c r="L468" s="303" t="s">
        <v>1956</v>
      </c>
      <c r="M468" s="303" t="s">
        <v>2950</v>
      </c>
      <c r="N468" s="303" t="s">
        <v>1987</v>
      </c>
      <c r="O468" s="303" t="s">
        <v>1986</v>
      </c>
      <c r="P468" s="328">
        <v>43334</v>
      </c>
      <c r="Q468" s="303" t="s">
        <v>1952</v>
      </c>
      <c r="R468" s="303">
        <f t="shared" si="11"/>
        <v>1</v>
      </c>
      <c r="S468" s="303">
        <v>1</v>
      </c>
    </row>
    <row r="469" spans="1:19" x14ac:dyDescent="0.25">
      <c r="A469" s="303" t="s">
        <v>2952</v>
      </c>
      <c r="B469" s="303" t="s">
        <v>2951</v>
      </c>
      <c r="C469" s="328">
        <v>43334</v>
      </c>
      <c r="D469" s="303" t="s">
        <v>1961</v>
      </c>
      <c r="E469" s="303" t="s">
        <v>1960</v>
      </c>
      <c r="F469" s="303" t="s">
        <v>1884</v>
      </c>
      <c r="G469" s="303" t="s">
        <v>2665</v>
      </c>
      <c r="H469" s="303" t="s">
        <v>1956</v>
      </c>
      <c r="I469" s="304">
        <v>-2500</v>
      </c>
      <c r="J469" s="303" t="s">
        <v>1846</v>
      </c>
      <c r="K469" s="303" t="s">
        <v>1959</v>
      </c>
      <c r="L469" s="303" t="s">
        <v>1956</v>
      </c>
      <c r="M469" s="303" t="s">
        <v>2950</v>
      </c>
      <c r="N469" s="303" t="s">
        <v>1987</v>
      </c>
      <c r="O469" s="303" t="s">
        <v>1986</v>
      </c>
      <c r="P469" s="328">
        <v>43334</v>
      </c>
      <c r="Q469" s="303" t="s">
        <v>1952</v>
      </c>
      <c r="R469" s="303">
        <f t="shared" si="11"/>
        <v>1</v>
      </c>
      <c r="S469" s="303">
        <v>1</v>
      </c>
    </row>
    <row r="470" spans="1:19" x14ac:dyDescent="0.25">
      <c r="A470" s="303" t="s">
        <v>2949</v>
      </c>
      <c r="B470" s="303" t="s">
        <v>2948</v>
      </c>
      <c r="C470" s="328">
        <v>43335</v>
      </c>
      <c r="D470" s="303" t="s">
        <v>1965</v>
      </c>
      <c r="E470" s="303" t="s">
        <v>1964</v>
      </c>
      <c r="F470" s="303" t="s">
        <v>1655</v>
      </c>
      <c r="G470" s="303" t="s">
        <v>1561</v>
      </c>
      <c r="H470" s="303" t="s">
        <v>1956</v>
      </c>
      <c r="I470" s="304">
        <v>11750</v>
      </c>
      <c r="J470" s="303" t="s">
        <v>1958</v>
      </c>
      <c r="K470" s="303" t="s">
        <v>1957</v>
      </c>
      <c r="L470" s="303" t="s">
        <v>1956</v>
      </c>
      <c r="M470" s="303" t="s">
        <v>2022</v>
      </c>
      <c r="N470" s="303" t="s">
        <v>1987</v>
      </c>
      <c r="O470" s="303" t="s">
        <v>1986</v>
      </c>
      <c r="P470" s="328">
        <v>43335</v>
      </c>
      <c r="Q470" s="303" t="s">
        <v>1952</v>
      </c>
      <c r="R470" s="303">
        <f t="shared" si="11"/>
        <v>0</v>
      </c>
      <c r="S470" s="303">
        <v>0</v>
      </c>
    </row>
    <row r="471" spans="1:19" x14ac:dyDescent="0.25">
      <c r="A471" s="303" t="s">
        <v>2949</v>
      </c>
      <c r="B471" s="303" t="s">
        <v>2948</v>
      </c>
      <c r="C471" s="328">
        <v>43335</v>
      </c>
      <c r="D471" s="303" t="s">
        <v>1961</v>
      </c>
      <c r="E471" s="303" t="s">
        <v>1960</v>
      </c>
      <c r="F471" s="303" t="s">
        <v>1655</v>
      </c>
      <c r="G471" s="303" t="s">
        <v>1561</v>
      </c>
      <c r="H471" s="303" t="s">
        <v>1956</v>
      </c>
      <c r="I471" s="304">
        <v>-11750</v>
      </c>
      <c r="J471" s="303" t="s">
        <v>1958</v>
      </c>
      <c r="K471" s="303" t="s">
        <v>1957</v>
      </c>
      <c r="L471" s="303" t="s">
        <v>1956</v>
      </c>
      <c r="M471" s="303" t="s">
        <v>2022</v>
      </c>
      <c r="N471" s="303" t="s">
        <v>1987</v>
      </c>
      <c r="O471" s="303" t="s">
        <v>1986</v>
      </c>
      <c r="P471" s="328">
        <v>43335</v>
      </c>
      <c r="Q471" s="303" t="s">
        <v>1952</v>
      </c>
      <c r="R471" s="303">
        <f t="shared" si="11"/>
        <v>0</v>
      </c>
      <c r="S471" s="303">
        <v>0</v>
      </c>
    </row>
    <row r="472" spans="1:19" x14ac:dyDescent="0.25">
      <c r="A472" s="303" t="s">
        <v>2947</v>
      </c>
      <c r="B472" s="303" t="s">
        <v>2946</v>
      </c>
      <c r="C472" s="328">
        <v>43335</v>
      </c>
      <c r="D472" s="303" t="s">
        <v>1965</v>
      </c>
      <c r="E472" s="303" t="s">
        <v>1964</v>
      </c>
      <c r="F472" s="303" t="s">
        <v>1655</v>
      </c>
      <c r="G472" s="303" t="s">
        <v>1561</v>
      </c>
      <c r="H472" s="303" t="s">
        <v>1956</v>
      </c>
      <c r="I472" s="304">
        <v>50000</v>
      </c>
      <c r="J472" s="303" t="s">
        <v>1967</v>
      </c>
      <c r="K472" s="303" t="s">
        <v>1561</v>
      </c>
      <c r="L472" s="303" t="s">
        <v>1956</v>
      </c>
      <c r="M472" s="303" t="s">
        <v>2019</v>
      </c>
      <c r="N472" s="303" t="s">
        <v>1987</v>
      </c>
      <c r="O472" s="303" t="s">
        <v>1986</v>
      </c>
      <c r="P472" s="328">
        <v>43335</v>
      </c>
      <c r="Q472" s="303" t="s">
        <v>1952</v>
      </c>
      <c r="R472" s="303">
        <f t="shared" si="11"/>
        <v>0</v>
      </c>
      <c r="S472" s="303">
        <v>0</v>
      </c>
    </row>
    <row r="473" spans="1:19" x14ac:dyDescent="0.25">
      <c r="A473" s="303" t="s">
        <v>2947</v>
      </c>
      <c r="B473" s="303" t="s">
        <v>2946</v>
      </c>
      <c r="C473" s="328">
        <v>43335</v>
      </c>
      <c r="D473" s="303" t="s">
        <v>1961</v>
      </c>
      <c r="E473" s="303" t="s">
        <v>1960</v>
      </c>
      <c r="F473" s="303" t="s">
        <v>1655</v>
      </c>
      <c r="G473" s="303" t="s">
        <v>1561</v>
      </c>
      <c r="H473" s="303" t="s">
        <v>1956</v>
      </c>
      <c r="I473" s="304">
        <v>-50000</v>
      </c>
      <c r="J473" s="303" t="s">
        <v>1967</v>
      </c>
      <c r="K473" s="303" t="s">
        <v>1561</v>
      </c>
      <c r="L473" s="303" t="s">
        <v>1956</v>
      </c>
      <c r="M473" s="303" t="s">
        <v>2019</v>
      </c>
      <c r="N473" s="303" t="s">
        <v>1987</v>
      </c>
      <c r="O473" s="303" t="s">
        <v>1986</v>
      </c>
      <c r="P473" s="328">
        <v>43335</v>
      </c>
      <c r="Q473" s="303" t="s">
        <v>1952</v>
      </c>
      <c r="R473" s="303">
        <f t="shared" si="11"/>
        <v>0</v>
      </c>
      <c r="S473" s="303">
        <v>0</v>
      </c>
    </row>
    <row r="474" spans="1:19" x14ac:dyDescent="0.25">
      <c r="A474" s="303" t="s">
        <v>2945</v>
      </c>
      <c r="B474" s="303" t="s">
        <v>2944</v>
      </c>
      <c r="C474" s="328">
        <v>43340</v>
      </c>
      <c r="D474" s="303" t="s">
        <v>1965</v>
      </c>
      <c r="E474" s="303" t="s">
        <v>1964</v>
      </c>
      <c r="F474" s="303" t="s">
        <v>1621</v>
      </c>
      <c r="G474" s="303" t="s">
        <v>1597</v>
      </c>
      <c r="H474" s="303" t="s">
        <v>1956</v>
      </c>
      <c r="I474" s="304">
        <v>14169</v>
      </c>
      <c r="J474" s="303" t="s">
        <v>1609</v>
      </c>
      <c r="K474" s="303" t="s">
        <v>1609</v>
      </c>
      <c r="L474" s="303" t="s">
        <v>1609</v>
      </c>
      <c r="M474" s="303" t="s">
        <v>2943</v>
      </c>
      <c r="N474" s="303" t="s">
        <v>2031</v>
      </c>
      <c r="O474" s="303" t="s">
        <v>2030</v>
      </c>
      <c r="P474" s="328">
        <v>43340</v>
      </c>
      <c r="Q474" s="303" t="s">
        <v>1952</v>
      </c>
      <c r="R474" s="303">
        <f t="shared" si="11"/>
        <v>1</v>
      </c>
      <c r="S474" s="303">
        <v>1</v>
      </c>
    </row>
    <row r="475" spans="1:19" x14ac:dyDescent="0.25">
      <c r="A475" s="303" t="s">
        <v>2942</v>
      </c>
      <c r="B475" s="303" t="s">
        <v>2941</v>
      </c>
      <c r="C475" s="328">
        <v>43340</v>
      </c>
      <c r="D475" s="303" t="s">
        <v>1965</v>
      </c>
      <c r="E475" s="303" t="s">
        <v>1964</v>
      </c>
      <c r="F475" s="303" t="s">
        <v>1836</v>
      </c>
      <c r="G475" s="303" t="s">
        <v>1424</v>
      </c>
      <c r="H475" s="303" t="s">
        <v>1956</v>
      </c>
      <c r="I475" s="304">
        <v>3055</v>
      </c>
      <c r="J475" s="303" t="s">
        <v>1958</v>
      </c>
      <c r="K475" s="303" t="s">
        <v>1957</v>
      </c>
      <c r="L475" s="303" t="s">
        <v>1956</v>
      </c>
      <c r="M475" s="303" t="s">
        <v>2022</v>
      </c>
      <c r="N475" s="303" t="s">
        <v>1987</v>
      </c>
      <c r="O475" s="303" t="s">
        <v>1986</v>
      </c>
      <c r="P475" s="328">
        <v>43340</v>
      </c>
      <c r="Q475" s="303" t="s">
        <v>1952</v>
      </c>
      <c r="R475" s="303">
        <f t="shared" si="11"/>
        <v>0</v>
      </c>
      <c r="S475" s="303">
        <v>0</v>
      </c>
    </row>
    <row r="476" spans="1:19" x14ac:dyDescent="0.25">
      <c r="A476" s="303" t="s">
        <v>2942</v>
      </c>
      <c r="B476" s="303" t="s">
        <v>2941</v>
      </c>
      <c r="C476" s="328">
        <v>43340</v>
      </c>
      <c r="D476" s="303" t="s">
        <v>1961</v>
      </c>
      <c r="E476" s="303" t="s">
        <v>1960</v>
      </c>
      <c r="F476" s="303" t="s">
        <v>1836</v>
      </c>
      <c r="G476" s="303" t="s">
        <v>1424</v>
      </c>
      <c r="H476" s="303" t="s">
        <v>1956</v>
      </c>
      <c r="I476" s="304">
        <v>-3055</v>
      </c>
      <c r="J476" s="303" t="s">
        <v>1958</v>
      </c>
      <c r="K476" s="303" t="s">
        <v>1957</v>
      </c>
      <c r="L476" s="303" t="s">
        <v>1956</v>
      </c>
      <c r="M476" s="303" t="s">
        <v>2022</v>
      </c>
      <c r="N476" s="303" t="s">
        <v>1987</v>
      </c>
      <c r="O476" s="303" t="s">
        <v>1986</v>
      </c>
      <c r="P476" s="328">
        <v>43340</v>
      </c>
      <c r="Q476" s="303" t="s">
        <v>1952</v>
      </c>
      <c r="R476" s="303">
        <f t="shared" si="11"/>
        <v>0</v>
      </c>
      <c r="S476" s="303">
        <v>0</v>
      </c>
    </row>
    <row r="477" spans="1:19" x14ac:dyDescent="0.25">
      <c r="A477" s="303" t="s">
        <v>2940</v>
      </c>
      <c r="B477" s="303" t="s">
        <v>2939</v>
      </c>
      <c r="C477" s="328">
        <v>43340</v>
      </c>
      <c r="D477" s="303" t="s">
        <v>1965</v>
      </c>
      <c r="E477" s="303" t="s">
        <v>1964</v>
      </c>
      <c r="F477" s="303" t="s">
        <v>1836</v>
      </c>
      <c r="G477" s="303" t="s">
        <v>1424</v>
      </c>
      <c r="H477" s="303" t="s">
        <v>1956</v>
      </c>
      <c r="I477" s="304">
        <v>13000</v>
      </c>
      <c r="J477" s="303" t="s">
        <v>1967</v>
      </c>
      <c r="K477" s="303" t="s">
        <v>1424</v>
      </c>
      <c r="L477" s="303" t="s">
        <v>1956</v>
      </c>
      <c r="M477" s="303" t="s">
        <v>2019</v>
      </c>
      <c r="N477" s="303" t="s">
        <v>1987</v>
      </c>
      <c r="O477" s="303" t="s">
        <v>1986</v>
      </c>
      <c r="P477" s="328">
        <v>43340</v>
      </c>
      <c r="Q477" s="303" t="s">
        <v>1952</v>
      </c>
      <c r="R477" s="303">
        <f t="shared" si="11"/>
        <v>0</v>
      </c>
      <c r="S477" s="303">
        <v>0</v>
      </c>
    </row>
    <row r="478" spans="1:19" x14ac:dyDescent="0.25">
      <c r="A478" s="303" t="s">
        <v>2940</v>
      </c>
      <c r="B478" s="303" t="s">
        <v>2939</v>
      </c>
      <c r="C478" s="328">
        <v>43340</v>
      </c>
      <c r="D478" s="303" t="s">
        <v>1961</v>
      </c>
      <c r="E478" s="303" t="s">
        <v>1960</v>
      </c>
      <c r="F478" s="303" t="s">
        <v>1836</v>
      </c>
      <c r="G478" s="303" t="s">
        <v>1424</v>
      </c>
      <c r="H478" s="303" t="s">
        <v>1956</v>
      </c>
      <c r="I478" s="304">
        <v>-13000</v>
      </c>
      <c r="J478" s="303" t="s">
        <v>1967</v>
      </c>
      <c r="K478" s="303" t="s">
        <v>1424</v>
      </c>
      <c r="L478" s="303" t="s">
        <v>1956</v>
      </c>
      <c r="M478" s="303" t="s">
        <v>2019</v>
      </c>
      <c r="N478" s="303" t="s">
        <v>1987</v>
      </c>
      <c r="O478" s="303" t="s">
        <v>1986</v>
      </c>
      <c r="P478" s="328">
        <v>43340</v>
      </c>
      <c r="Q478" s="303" t="s">
        <v>1952</v>
      </c>
      <c r="R478" s="303">
        <f t="shared" si="11"/>
        <v>0</v>
      </c>
      <c r="S478" s="303">
        <v>0</v>
      </c>
    </row>
    <row r="479" spans="1:19" x14ac:dyDescent="0.25">
      <c r="A479" s="303" t="s">
        <v>2938</v>
      </c>
      <c r="B479" s="303" t="s">
        <v>2937</v>
      </c>
      <c r="C479" s="328">
        <v>43340</v>
      </c>
      <c r="D479" s="303" t="s">
        <v>1965</v>
      </c>
      <c r="E479" s="303" t="s">
        <v>1964</v>
      </c>
      <c r="F479" s="303" t="s">
        <v>1681</v>
      </c>
      <c r="G479" s="303" t="s">
        <v>1549</v>
      </c>
      <c r="H479" s="303" t="s">
        <v>1956</v>
      </c>
      <c r="I479" s="304">
        <v>11750</v>
      </c>
      <c r="J479" s="303" t="s">
        <v>1958</v>
      </c>
      <c r="K479" s="303" t="s">
        <v>1957</v>
      </c>
      <c r="L479" s="303" t="s">
        <v>1956</v>
      </c>
      <c r="M479" s="303" t="s">
        <v>2022</v>
      </c>
      <c r="N479" s="303" t="s">
        <v>1987</v>
      </c>
      <c r="O479" s="303" t="s">
        <v>1986</v>
      </c>
      <c r="P479" s="328">
        <v>43340</v>
      </c>
      <c r="Q479" s="303" t="s">
        <v>1952</v>
      </c>
      <c r="R479" s="303">
        <f t="shared" si="11"/>
        <v>0</v>
      </c>
      <c r="S479" s="303">
        <v>0</v>
      </c>
    </row>
    <row r="480" spans="1:19" x14ac:dyDescent="0.25">
      <c r="A480" s="303" t="s">
        <v>2938</v>
      </c>
      <c r="B480" s="303" t="s">
        <v>2937</v>
      </c>
      <c r="C480" s="328">
        <v>43340</v>
      </c>
      <c r="D480" s="303" t="s">
        <v>1961</v>
      </c>
      <c r="E480" s="303" t="s">
        <v>1960</v>
      </c>
      <c r="F480" s="303" t="s">
        <v>1681</v>
      </c>
      <c r="G480" s="303" t="s">
        <v>1549</v>
      </c>
      <c r="H480" s="303" t="s">
        <v>1956</v>
      </c>
      <c r="I480" s="304">
        <v>-11750</v>
      </c>
      <c r="J480" s="303" t="s">
        <v>1958</v>
      </c>
      <c r="K480" s="303" t="s">
        <v>1957</v>
      </c>
      <c r="L480" s="303" t="s">
        <v>1956</v>
      </c>
      <c r="M480" s="303" t="s">
        <v>2022</v>
      </c>
      <c r="N480" s="303" t="s">
        <v>1987</v>
      </c>
      <c r="O480" s="303" t="s">
        <v>1986</v>
      </c>
      <c r="P480" s="328">
        <v>43340</v>
      </c>
      <c r="Q480" s="303" t="s">
        <v>1952</v>
      </c>
      <c r="R480" s="303">
        <f t="shared" si="11"/>
        <v>0</v>
      </c>
      <c r="S480" s="303">
        <v>0</v>
      </c>
    </row>
    <row r="481" spans="1:19" x14ac:dyDescent="0.25">
      <c r="A481" s="303" t="s">
        <v>2936</v>
      </c>
      <c r="B481" s="303" t="s">
        <v>2935</v>
      </c>
      <c r="C481" s="328">
        <v>43340</v>
      </c>
      <c r="D481" s="303" t="s">
        <v>1965</v>
      </c>
      <c r="E481" s="303" t="s">
        <v>1964</v>
      </c>
      <c r="F481" s="303" t="s">
        <v>1681</v>
      </c>
      <c r="G481" s="303" t="s">
        <v>1549</v>
      </c>
      <c r="H481" s="303" t="s">
        <v>1956</v>
      </c>
      <c r="I481" s="304">
        <v>50000</v>
      </c>
      <c r="J481" s="303" t="s">
        <v>1967</v>
      </c>
      <c r="K481" s="303" t="s">
        <v>1549</v>
      </c>
      <c r="L481" s="303" t="s">
        <v>1956</v>
      </c>
      <c r="M481" s="303" t="s">
        <v>2019</v>
      </c>
      <c r="N481" s="303" t="s">
        <v>1987</v>
      </c>
      <c r="O481" s="303" t="s">
        <v>1986</v>
      </c>
      <c r="P481" s="328">
        <v>43340</v>
      </c>
      <c r="Q481" s="303" t="s">
        <v>1952</v>
      </c>
      <c r="R481" s="303">
        <f t="shared" si="11"/>
        <v>0</v>
      </c>
      <c r="S481" s="303">
        <v>0</v>
      </c>
    </row>
    <row r="482" spans="1:19" x14ac:dyDescent="0.25">
      <c r="A482" s="303" t="s">
        <v>2936</v>
      </c>
      <c r="B482" s="303" t="s">
        <v>2935</v>
      </c>
      <c r="C482" s="328">
        <v>43340</v>
      </c>
      <c r="D482" s="303" t="s">
        <v>1961</v>
      </c>
      <c r="E482" s="303" t="s">
        <v>1960</v>
      </c>
      <c r="F482" s="303" t="s">
        <v>1681</v>
      </c>
      <c r="G482" s="303" t="s">
        <v>1549</v>
      </c>
      <c r="H482" s="303" t="s">
        <v>1956</v>
      </c>
      <c r="I482" s="304">
        <v>-50000</v>
      </c>
      <c r="J482" s="303" t="s">
        <v>1967</v>
      </c>
      <c r="K482" s="303" t="s">
        <v>1549</v>
      </c>
      <c r="L482" s="303" t="s">
        <v>1956</v>
      </c>
      <c r="M482" s="303" t="s">
        <v>2019</v>
      </c>
      <c r="N482" s="303" t="s">
        <v>1987</v>
      </c>
      <c r="O482" s="303" t="s">
        <v>1986</v>
      </c>
      <c r="P482" s="328">
        <v>43340</v>
      </c>
      <c r="Q482" s="303" t="s">
        <v>1952</v>
      </c>
      <c r="R482" s="303">
        <f t="shared" si="11"/>
        <v>0</v>
      </c>
      <c r="S482" s="303">
        <v>0</v>
      </c>
    </row>
    <row r="483" spans="1:19" x14ac:dyDescent="0.25">
      <c r="A483" s="303" t="s">
        <v>2934</v>
      </c>
      <c r="B483" s="303" t="s">
        <v>2933</v>
      </c>
      <c r="C483" s="328">
        <v>43342</v>
      </c>
      <c r="D483" s="303" t="s">
        <v>1965</v>
      </c>
      <c r="E483" s="303" t="s">
        <v>1964</v>
      </c>
      <c r="F483" s="303" t="s">
        <v>1922</v>
      </c>
      <c r="G483" s="303" t="s">
        <v>2071</v>
      </c>
      <c r="H483" s="303" t="s">
        <v>1956</v>
      </c>
      <c r="I483" s="304">
        <v>34000</v>
      </c>
      <c r="J483" s="303" t="s">
        <v>1918</v>
      </c>
      <c r="K483" s="303" t="s">
        <v>2183</v>
      </c>
      <c r="L483" s="303" t="s">
        <v>1956</v>
      </c>
      <c r="M483" s="303" t="s">
        <v>2932</v>
      </c>
      <c r="N483" s="303" t="s">
        <v>1987</v>
      </c>
      <c r="O483" s="303" t="s">
        <v>1986</v>
      </c>
      <c r="P483" s="328">
        <v>43342</v>
      </c>
      <c r="Q483" s="303" t="s">
        <v>1952</v>
      </c>
      <c r="R483" s="303">
        <f t="shared" si="11"/>
        <v>1</v>
      </c>
      <c r="S483" s="303">
        <v>0</v>
      </c>
    </row>
    <row r="484" spans="1:19" x14ac:dyDescent="0.25">
      <c r="A484" s="303" t="s">
        <v>2934</v>
      </c>
      <c r="B484" s="303" t="s">
        <v>2933</v>
      </c>
      <c r="C484" s="328">
        <v>43342</v>
      </c>
      <c r="D484" s="303" t="s">
        <v>1961</v>
      </c>
      <c r="E484" s="303" t="s">
        <v>1960</v>
      </c>
      <c r="F484" s="303" t="s">
        <v>1922</v>
      </c>
      <c r="G484" s="303" t="s">
        <v>2071</v>
      </c>
      <c r="H484" s="303" t="s">
        <v>1956</v>
      </c>
      <c r="I484" s="304">
        <v>-34000</v>
      </c>
      <c r="J484" s="303" t="s">
        <v>1918</v>
      </c>
      <c r="K484" s="303" t="s">
        <v>2183</v>
      </c>
      <c r="L484" s="303" t="s">
        <v>1956</v>
      </c>
      <c r="M484" s="303" t="s">
        <v>2932</v>
      </c>
      <c r="N484" s="303" t="s">
        <v>1987</v>
      </c>
      <c r="O484" s="303" t="s">
        <v>1986</v>
      </c>
      <c r="P484" s="328">
        <v>43342</v>
      </c>
      <c r="Q484" s="303" t="s">
        <v>1952</v>
      </c>
      <c r="R484" s="303">
        <f t="shared" si="11"/>
        <v>1</v>
      </c>
      <c r="S484" s="303">
        <v>0</v>
      </c>
    </row>
    <row r="485" spans="1:19" x14ac:dyDescent="0.25">
      <c r="A485" s="303" t="s">
        <v>2931</v>
      </c>
      <c r="B485" s="303" t="s">
        <v>2930</v>
      </c>
      <c r="C485" s="328">
        <v>43346</v>
      </c>
      <c r="D485" s="303" t="s">
        <v>1965</v>
      </c>
      <c r="E485" s="303" t="s">
        <v>1964</v>
      </c>
      <c r="F485" s="303" t="s">
        <v>1967</v>
      </c>
      <c r="G485" s="303" t="s">
        <v>1376</v>
      </c>
      <c r="H485" s="303" t="s">
        <v>1956</v>
      </c>
      <c r="I485" s="304">
        <v>57767</v>
      </c>
      <c r="J485" s="303" t="s">
        <v>1967</v>
      </c>
      <c r="K485" s="303" t="s">
        <v>1959</v>
      </c>
      <c r="L485" s="303" t="s">
        <v>1956</v>
      </c>
      <c r="M485" s="303" t="s">
        <v>2929</v>
      </c>
      <c r="N485" s="303" t="s">
        <v>1987</v>
      </c>
      <c r="O485" s="303" t="s">
        <v>1986</v>
      </c>
      <c r="P485" s="328">
        <v>43346</v>
      </c>
      <c r="Q485" s="303" t="s">
        <v>1952</v>
      </c>
      <c r="R485" s="303">
        <f t="shared" si="11"/>
        <v>1</v>
      </c>
      <c r="S485" s="303">
        <v>0</v>
      </c>
    </row>
    <row r="486" spans="1:19" x14ac:dyDescent="0.25">
      <c r="A486" s="303" t="s">
        <v>2931</v>
      </c>
      <c r="B486" s="303" t="s">
        <v>2930</v>
      </c>
      <c r="C486" s="328">
        <v>43346</v>
      </c>
      <c r="D486" s="303" t="s">
        <v>1961</v>
      </c>
      <c r="E486" s="303" t="s">
        <v>1960</v>
      </c>
      <c r="F486" s="303" t="s">
        <v>1967</v>
      </c>
      <c r="G486" s="303" t="s">
        <v>1376</v>
      </c>
      <c r="H486" s="303" t="s">
        <v>1956</v>
      </c>
      <c r="I486" s="304">
        <v>-57767</v>
      </c>
      <c r="J486" s="303" t="s">
        <v>1967</v>
      </c>
      <c r="K486" s="303" t="s">
        <v>1959</v>
      </c>
      <c r="L486" s="303" t="s">
        <v>1956</v>
      </c>
      <c r="M486" s="303" t="s">
        <v>2929</v>
      </c>
      <c r="N486" s="303" t="s">
        <v>1987</v>
      </c>
      <c r="O486" s="303" t="s">
        <v>1986</v>
      </c>
      <c r="P486" s="328">
        <v>43346</v>
      </c>
      <c r="Q486" s="303" t="s">
        <v>1952</v>
      </c>
      <c r="R486" s="303">
        <f t="shared" si="11"/>
        <v>1</v>
      </c>
      <c r="S486" s="303">
        <v>0</v>
      </c>
    </row>
    <row r="487" spans="1:19" x14ac:dyDescent="0.25">
      <c r="A487" s="303" t="s">
        <v>2928</v>
      </c>
      <c r="B487" s="303" t="s">
        <v>2927</v>
      </c>
      <c r="C487" s="328">
        <v>43346</v>
      </c>
      <c r="D487" s="303" t="s">
        <v>1965</v>
      </c>
      <c r="E487" s="303" t="s">
        <v>1964</v>
      </c>
      <c r="F487" s="303" t="s">
        <v>1920</v>
      </c>
      <c r="G487" s="303" t="s">
        <v>1376</v>
      </c>
      <c r="H487" s="303" t="s">
        <v>1956</v>
      </c>
      <c r="I487" s="304">
        <v>29167</v>
      </c>
      <c r="J487" s="303" t="s">
        <v>1846</v>
      </c>
      <c r="K487" s="303" t="s">
        <v>1959</v>
      </c>
      <c r="L487" s="303" t="s">
        <v>1956</v>
      </c>
      <c r="M487" s="303" t="s">
        <v>2926</v>
      </c>
      <c r="N487" s="303" t="s">
        <v>1987</v>
      </c>
      <c r="O487" s="303" t="s">
        <v>1986</v>
      </c>
      <c r="P487" s="328">
        <v>43346</v>
      </c>
      <c r="Q487" s="303" t="s">
        <v>1952</v>
      </c>
      <c r="R487" s="303">
        <f t="shared" si="11"/>
        <v>1</v>
      </c>
      <c r="S487" s="303">
        <v>0</v>
      </c>
    </row>
    <row r="488" spans="1:19" x14ac:dyDescent="0.25">
      <c r="A488" s="303" t="s">
        <v>2928</v>
      </c>
      <c r="B488" s="303" t="s">
        <v>2927</v>
      </c>
      <c r="C488" s="328">
        <v>43346</v>
      </c>
      <c r="D488" s="303" t="s">
        <v>1961</v>
      </c>
      <c r="E488" s="303" t="s">
        <v>1960</v>
      </c>
      <c r="F488" s="303" t="s">
        <v>1920</v>
      </c>
      <c r="G488" s="303" t="s">
        <v>1376</v>
      </c>
      <c r="H488" s="303" t="s">
        <v>1956</v>
      </c>
      <c r="I488" s="304">
        <v>-29167</v>
      </c>
      <c r="J488" s="303" t="s">
        <v>1846</v>
      </c>
      <c r="K488" s="303" t="s">
        <v>1959</v>
      </c>
      <c r="L488" s="303" t="s">
        <v>1956</v>
      </c>
      <c r="M488" s="303" t="s">
        <v>2926</v>
      </c>
      <c r="N488" s="303" t="s">
        <v>1987</v>
      </c>
      <c r="O488" s="303" t="s">
        <v>1986</v>
      </c>
      <c r="P488" s="328">
        <v>43346</v>
      </c>
      <c r="Q488" s="303" t="s">
        <v>1952</v>
      </c>
      <c r="R488" s="303">
        <f t="shared" si="11"/>
        <v>1</v>
      </c>
      <c r="S488" s="303">
        <v>0</v>
      </c>
    </row>
    <row r="489" spans="1:19" x14ac:dyDescent="0.25">
      <c r="A489" s="303" t="s">
        <v>2925</v>
      </c>
      <c r="B489" s="303" t="s">
        <v>2924</v>
      </c>
      <c r="C489" s="328">
        <v>43346</v>
      </c>
      <c r="D489" s="303" t="s">
        <v>1965</v>
      </c>
      <c r="E489" s="303" t="s">
        <v>1964</v>
      </c>
      <c r="F489" s="303" t="s">
        <v>1967</v>
      </c>
      <c r="G489" s="303" t="s">
        <v>2112</v>
      </c>
      <c r="H489" s="303" t="s">
        <v>1956</v>
      </c>
      <c r="I489" s="304">
        <v>59970</v>
      </c>
      <c r="J489" s="303" t="s">
        <v>1967</v>
      </c>
      <c r="K489" s="303" t="s">
        <v>1959</v>
      </c>
      <c r="L489" s="303" t="s">
        <v>1956</v>
      </c>
      <c r="M489" s="303" t="s">
        <v>2923</v>
      </c>
      <c r="N489" s="303" t="s">
        <v>1987</v>
      </c>
      <c r="O489" s="303" t="s">
        <v>1986</v>
      </c>
      <c r="P489" s="328">
        <v>43346</v>
      </c>
      <c r="Q489" s="303" t="s">
        <v>1952</v>
      </c>
      <c r="R489" s="303">
        <f t="shared" si="11"/>
        <v>1</v>
      </c>
      <c r="S489" s="303">
        <v>0</v>
      </c>
    </row>
    <row r="490" spans="1:19" x14ac:dyDescent="0.25">
      <c r="A490" s="303" t="s">
        <v>2925</v>
      </c>
      <c r="B490" s="303" t="s">
        <v>2924</v>
      </c>
      <c r="C490" s="328">
        <v>43346</v>
      </c>
      <c r="D490" s="303" t="s">
        <v>1961</v>
      </c>
      <c r="E490" s="303" t="s">
        <v>1960</v>
      </c>
      <c r="F490" s="303" t="s">
        <v>1967</v>
      </c>
      <c r="G490" s="303" t="s">
        <v>2112</v>
      </c>
      <c r="H490" s="303" t="s">
        <v>1956</v>
      </c>
      <c r="I490" s="304">
        <v>-59970</v>
      </c>
      <c r="J490" s="303" t="s">
        <v>1967</v>
      </c>
      <c r="K490" s="303" t="s">
        <v>1959</v>
      </c>
      <c r="L490" s="303" t="s">
        <v>1956</v>
      </c>
      <c r="M490" s="303" t="s">
        <v>2923</v>
      </c>
      <c r="N490" s="303" t="s">
        <v>1987</v>
      </c>
      <c r="O490" s="303" t="s">
        <v>1986</v>
      </c>
      <c r="P490" s="328">
        <v>43346</v>
      </c>
      <c r="Q490" s="303" t="s">
        <v>1952</v>
      </c>
      <c r="R490" s="303">
        <f t="shared" si="11"/>
        <v>1</v>
      </c>
      <c r="S490" s="303">
        <v>0</v>
      </c>
    </row>
    <row r="491" spans="1:19" x14ac:dyDescent="0.25">
      <c r="A491" s="303" t="s">
        <v>2922</v>
      </c>
      <c r="B491" s="303" t="s">
        <v>2921</v>
      </c>
      <c r="C491" s="328">
        <v>43353</v>
      </c>
      <c r="D491" s="303" t="s">
        <v>1965</v>
      </c>
      <c r="E491" s="303" t="s">
        <v>1964</v>
      </c>
      <c r="F491" s="303" t="s">
        <v>1926</v>
      </c>
      <c r="G491" s="303" t="s">
        <v>1373</v>
      </c>
      <c r="H491" s="303" t="s">
        <v>1956</v>
      </c>
      <c r="I491" s="304">
        <v>116732</v>
      </c>
      <c r="J491" s="303" t="s">
        <v>1609</v>
      </c>
      <c r="K491" s="303" t="s">
        <v>1609</v>
      </c>
      <c r="L491" s="303" t="s">
        <v>1609</v>
      </c>
      <c r="M491" s="303" t="s">
        <v>2920</v>
      </c>
      <c r="N491" s="303" t="s">
        <v>2031</v>
      </c>
      <c r="O491" s="303" t="s">
        <v>2030</v>
      </c>
      <c r="P491" s="328">
        <v>43353</v>
      </c>
      <c r="Q491" s="303" t="s">
        <v>1952</v>
      </c>
      <c r="R491" s="303">
        <f t="shared" si="11"/>
        <v>1</v>
      </c>
      <c r="S491" s="303">
        <v>1</v>
      </c>
    </row>
    <row r="492" spans="1:19" x14ac:dyDescent="0.25">
      <c r="A492" s="303" t="s">
        <v>2919</v>
      </c>
      <c r="B492" s="303" t="s">
        <v>2918</v>
      </c>
      <c r="C492" s="328">
        <v>43354</v>
      </c>
      <c r="D492" s="303" t="s">
        <v>1965</v>
      </c>
      <c r="E492" s="303" t="s">
        <v>1964</v>
      </c>
      <c r="F492" s="303" t="s">
        <v>1912</v>
      </c>
      <c r="G492" s="303" t="s">
        <v>1382</v>
      </c>
      <c r="H492" s="303" t="s">
        <v>1956</v>
      </c>
      <c r="I492" s="304">
        <v>5000</v>
      </c>
      <c r="J492" s="303" t="s">
        <v>1922</v>
      </c>
      <c r="K492" s="303" t="s">
        <v>2071</v>
      </c>
      <c r="L492" s="303" t="s">
        <v>1956</v>
      </c>
      <c r="M492" s="303" t="s">
        <v>2917</v>
      </c>
      <c r="N492" s="303" t="s">
        <v>1987</v>
      </c>
      <c r="O492" s="303" t="s">
        <v>1986</v>
      </c>
      <c r="P492" s="328">
        <v>43354</v>
      </c>
      <c r="Q492" s="303" t="s">
        <v>1952</v>
      </c>
      <c r="R492" s="303">
        <f t="shared" si="11"/>
        <v>1</v>
      </c>
      <c r="S492" s="303">
        <v>1</v>
      </c>
    </row>
    <row r="493" spans="1:19" x14ac:dyDescent="0.25">
      <c r="A493" s="303" t="s">
        <v>2919</v>
      </c>
      <c r="B493" s="303" t="s">
        <v>2918</v>
      </c>
      <c r="C493" s="328">
        <v>43354</v>
      </c>
      <c r="D493" s="303" t="s">
        <v>1961</v>
      </c>
      <c r="E493" s="303" t="s">
        <v>1960</v>
      </c>
      <c r="F493" s="303" t="s">
        <v>1912</v>
      </c>
      <c r="G493" s="303" t="s">
        <v>1382</v>
      </c>
      <c r="H493" s="303" t="s">
        <v>1956</v>
      </c>
      <c r="I493" s="304">
        <v>-5000</v>
      </c>
      <c r="J493" s="303" t="s">
        <v>1922</v>
      </c>
      <c r="K493" s="303" t="s">
        <v>2071</v>
      </c>
      <c r="L493" s="303" t="s">
        <v>1956</v>
      </c>
      <c r="M493" s="303" t="s">
        <v>2917</v>
      </c>
      <c r="N493" s="303" t="s">
        <v>1987</v>
      </c>
      <c r="O493" s="303" t="s">
        <v>1986</v>
      </c>
      <c r="P493" s="328">
        <v>43354</v>
      </c>
      <c r="Q493" s="303" t="s">
        <v>1952</v>
      </c>
      <c r="R493" s="303">
        <f t="shared" si="11"/>
        <v>1</v>
      </c>
      <c r="S493" s="303">
        <v>1</v>
      </c>
    </row>
    <row r="494" spans="1:19" x14ac:dyDescent="0.25">
      <c r="A494" s="303" t="s">
        <v>2916</v>
      </c>
      <c r="B494" s="303" t="s">
        <v>2915</v>
      </c>
      <c r="C494" s="328">
        <v>43356</v>
      </c>
      <c r="D494" s="303" t="s">
        <v>1965</v>
      </c>
      <c r="E494" s="303" t="s">
        <v>1964</v>
      </c>
      <c r="F494" s="303" t="s">
        <v>1675</v>
      </c>
      <c r="G494" s="303" t="s">
        <v>2054</v>
      </c>
      <c r="H494" s="303" t="s">
        <v>1956</v>
      </c>
      <c r="I494" s="304">
        <v>62900</v>
      </c>
      <c r="J494" s="303" t="s">
        <v>1671</v>
      </c>
      <c r="K494" s="303" t="s">
        <v>2036</v>
      </c>
      <c r="L494" s="303" t="s">
        <v>1956</v>
      </c>
      <c r="M494" s="303" t="s">
        <v>2914</v>
      </c>
      <c r="N494" s="303" t="s">
        <v>1987</v>
      </c>
      <c r="O494" s="303" t="s">
        <v>1986</v>
      </c>
      <c r="P494" s="328">
        <v>43356</v>
      </c>
      <c r="Q494" s="303" t="s">
        <v>1952</v>
      </c>
      <c r="R494" s="303">
        <f t="shared" si="11"/>
        <v>1</v>
      </c>
      <c r="S494" s="303">
        <v>0</v>
      </c>
    </row>
    <row r="495" spans="1:19" x14ac:dyDescent="0.25">
      <c r="A495" s="303" t="s">
        <v>2916</v>
      </c>
      <c r="B495" s="303" t="s">
        <v>2915</v>
      </c>
      <c r="C495" s="328">
        <v>43356</v>
      </c>
      <c r="D495" s="303" t="s">
        <v>1961</v>
      </c>
      <c r="E495" s="303" t="s">
        <v>1960</v>
      </c>
      <c r="F495" s="303" t="s">
        <v>1675</v>
      </c>
      <c r="G495" s="303" t="s">
        <v>2054</v>
      </c>
      <c r="H495" s="303" t="s">
        <v>1956</v>
      </c>
      <c r="I495" s="304">
        <v>-62900</v>
      </c>
      <c r="J495" s="303" t="s">
        <v>1671</v>
      </c>
      <c r="K495" s="303" t="s">
        <v>2036</v>
      </c>
      <c r="L495" s="303" t="s">
        <v>1956</v>
      </c>
      <c r="M495" s="303" t="s">
        <v>2914</v>
      </c>
      <c r="N495" s="303" t="s">
        <v>1987</v>
      </c>
      <c r="O495" s="303" t="s">
        <v>1986</v>
      </c>
      <c r="P495" s="328">
        <v>43356</v>
      </c>
      <c r="Q495" s="303" t="s">
        <v>1952</v>
      </c>
      <c r="R495" s="303">
        <f t="shared" si="11"/>
        <v>1</v>
      </c>
      <c r="S495" s="303">
        <v>0</v>
      </c>
    </row>
    <row r="496" spans="1:19" x14ac:dyDescent="0.25">
      <c r="A496" s="303" t="s">
        <v>2913</v>
      </c>
      <c r="B496" s="303" t="s">
        <v>2912</v>
      </c>
      <c r="C496" s="328">
        <v>43356</v>
      </c>
      <c r="D496" s="303" t="s">
        <v>1965</v>
      </c>
      <c r="E496" s="303" t="s">
        <v>1964</v>
      </c>
      <c r="F496" s="303" t="s">
        <v>2014</v>
      </c>
      <c r="G496" s="303" t="s">
        <v>1537</v>
      </c>
      <c r="H496" s="303" t="s">
        <v>1956</v>
      </c>
      <c r="I496" s="304">
        <v>599</v>
      </c>
      <c r="J496" s="303" t="s">
        <v>1691</v>
      </c>
      <c r="K496" s="303" t="s">
        <v>1537</v>
      </c>
      <c r="L496" s="303" t="s">
        <v>1956</v>
      </c>
      <c r="M496" s="303" t="s">
        <v>2911</v>
      </c>
      <c r="N496" s="303" t="s">
        <v>1987</v>
      </c>
      <c r="O496" s="303" t="s">
        <v>1986</v>
      </c>
      <c r="P496" s="328">
        <v>43356</v>
      </c>
      <c r="Q496" s="303" t="s">
        <v>1952</v>
      </c>
      <c r="R496" s="303">
        <f t="shared" si="11"/>
        <v>1</v>
      </c>
      <c r="S496" s="303">
        <v>0</v>
      </c>
    </row>
    <row r="497" spans="1:19" x14ac:dyDescent="0.25">
      <c r="A497" s="303" t="s">
        <v>2913</v>
      </c>
      <c r="B497" s="303" t="s">
        <v>2912</v>
      </c>
      <c r="C497" s="328">
        <v>43356</v>
      </c>
      <c r="D497" s="303" t="s">
        <v>1961</v>
      </c>
      <c r="E497" s="303" t="s">
        <v>1960</v>
      </c>
      <c r="F497" s="303" t="s">
        <v>2014</v>
      </c>
      <c r="G497" s="303" t="s">
        <v>1537</v>
      </c>
      <c r="H497" s="303" t="s">
        <v>1956</v>
      </c>
      <c r="I497" s="304">
        <v>-599</v>
      </c>
      <c r="J497" s="303" t="s">
        <v>1691</v>
      </c>
      <c r="K497" s="303" t="s">
        <v>1537</v>
      </c>
      <c r="L497" s="303" t="s">
        <v>1956</v>
      </c>
      <c r="M497" s="303" t="s">
        <v>2911</v>
      </c>
      <c r="N497" s="303" t="s">
        <v>1987</v>
      </c>
      <c r="O497" s="303" t="s">
        <v>1986</v>
      </c>
      <c r="P497" s="328">
        <v>43356</v>
      </c>
      <c r="Q497" s="303" t="s">
        <v>1952</v>
      </c>
      <c r="R497" s="303">
        <f t="shared" si="11"/>
        <v>1</v>
      </c>
      <c r="S497" s="303">
        <v>0</v>
      </c>
    </row>
    <row r="498" spans="1:19" x14ac:dyDescent="0.25">
      <c r="A498" s="303" t="s">
        <v>2910</v>
      </c>
      <c r="B498" s="303" t="s">
        <v>2909</v>
      </c>
      <c r="C498" s="328">
        <v>43356</v>
      </c>
      <c r="D498" s="303" t="s">
        <v>1965</v>
      </c>
      <c r="E498" s="303" t="s">
        <v>1964</v>
      </c>
      <c r="F498" s="303" t="s">
        <v>1967</v>
      </c>
      <c r="G498" s="303" t="s">
        <v>1582</v>
      </c>
      <c r="H498" s="303" t="s">
        <v>1956</v>
      </c>
      <c r="I498" s="304">
        <v>4061</v>
      </c>
      <c r="J498" s="303" t="s">
        <v>1967</v>
      </c>
      <c r="K498" s="303" t="s">
        <v>1591</v>
      </c>
      <c r="L498" s="303" t="s">
        <v>1956</v>
      </c>
      <c r="M498" s="303" t="s">
        <v>2908</v>
      </c>
      <c r="N498" s="303" t="s">
        <v>1987</v>
      </c>
      <c r="O498" s="303" t="s">
        <v>1986</v>
      </c>
      <c r="P498" s="328">
        <v>43356</v>
      </c>
      <c r="Q498" s="303" t="s">
        <v>1952</v>
      </c>
      <c r="R498" s="303">
        <f t="shared" si="11"/>
        <v>1</v>
      </c>
      <c r="S498" s="303">
        <v>0</v>
      </c>
    </row>
    <row r="499" spans="1:19" x14ac:dyDescent="0.25">
      <c r="A499" s="303" t="s">
        <v>2910</v>
      </c>
      <c r="B499" s="303" t="s">
        <v>2909</v>
      </c>
      <c r="C499" s="328">
        <v>43356</v>
      </c>
      <c r="D499" s="303" t="s">
        <v>1961</v>
      </c>
      <c r="E499" s="303" t="s">
        <v>1960</v>
      </c>
      <c r="F499" s="303" t="s">
        <v>1967</v>
      </c>
      <c r="G499" s="303" t="s">
        <v>1582</v>
      </c>
      <c r="H499" s="303" t="s">
        <v>1956</v>
      </c>
      <c r="I499" s="304">
        <v>-4061</v>
      </c>
      <c r="J499" s="303" t="s">
        <v>1967</v>
      </c>
      <c r="K499" s="303" t="s">
        <v>1591</v>
      </c>
      <c r="L499" s="303" t="s">
        <v>1956</v>
      </c>
      <c r="M499" s="303" t="s">
        <v>2908</v>
      </c>
      <c r="N499" s="303" t="s">
        <v>1987</v>
      </c>
      <c r="O499" s="303" t="s">
        <v>1986</v>
      </c>
      <c r="P499" s="328">
        <v>43356</v>
      </c>
      <c r="Q499" s="303" t="s">
        <v>1952</v>
      </c>
      <c r="R499" s="303">
        <f t="shared" si="11"/>
        <v>1</v>
      </c>
      <c r="S499" s="303">
        <v>0</v>
      </c>
    </row>
    <row r="500" spans="1:19" x14ac:dyDescent="0.25">
      <c r="A500" s="303" t="s">
        <v>2907</v>
      </c>
      <c r="B500" s="303" t="s">
        <v>2906</v>
      </c>
      <c r="C500" s="328">
        <v>43362</v>
      </c>
      <c r="D500" s="303" t="s">
        <v>1965</v>
      </c>
      <c r="E500" s="303" t="s">
        <v>1964</v>
      </c>
      <c r="F500" s="303" t="s">
        <v>1989</v>
      </c>
      <c r="G500" s="303" t="s">
        <v>1529</v>
      </c>
      <c r="H500" s="303" t="s">
        <v>1956</v>
      </c>
      <c r="I500" s="304">
        <v>8000</v>
      </c>
      <c r="J500" s="303" t="s">
        <v>1777</v>
      </c>
      <c r="K500" s="303" t="s">
        <v>2383</v>
      </c>
      <c r="L500" s="303" t="s">
        <v>1956</v>
      </c>
      <c r="M500" s="303" t="s">
        <v>2905</v>
      </c>
      <c r="N500" s="303" t="s">
        <v>1987</v>
      </c>
      <c r="O500" s="303" t="s">
        <v>1986</v>
      </c>
      <c r="P500" s="328">
        <v>43362</v>
      </c>
      <c r="Q500" s="303" t="s">
        <v>1952</v>
      </c>
      <c r="R500" s="303">
        <f t="shared" si="11"/>
        <v>1</v>
      </c>
      <c r="S500" s="303">
        <v>0</v>
      </c>
    </row>
    <row r="501" spans="1:19" x14ac:dyDescent="0.25">
      <c r="A501" s="303" t="s">
        <v>2907</v>
      </c>
      <c r="B501" s="303" t="s">
        <v>2906</v>
      </c>
      <c r="C501" s="328">
        <v>43362</v>
      </c>
      <c r="D501" s="303" t="s">
        <v>1961</v>
      </c>
      <c r="E501" s="303" t="s">
        <v>1960</v>
      </c>
      <c r="F501" s="303" t="s">
        <v>1989</v>
      </c>
      <c r="G501" s="303" t="s">
        <v>1529</v>
      </c>
      <c r="H501" s="303" t="s">
        <v>1956</v>
      </c>
      <c r="I501" s="304">
        <v>-8000</v>
      </c>
      <c r="J501" s="303" t="s">
        <v>1777</v>
      </c>
      <c r="K501" s="303" t="s">
        <v>2383</v>
      </c>
      <c r="L501" s="303" t="s">
        <v>1956</v>
      </c>
      <c r="M501" s="303" t="s">
        <v>2905</v>
      </c>
      <c r="N501" s="303" t="s">
        <v>1987</v>
      </c>
      <c r="O501" s="303" t="s">
        <v>1986</v>
      </c>
      <c r="P501" s="328">
        <v>43362</v>
      </c>
      <c r="Q501" s="303" t="s">
        <v>1952</v>
      </c>
      <c r="R501" s="303">
        <f t="shared" si="11"/>
        <v>1</v>
      </c>
      <c r="S501" s="303">
        <v>0</v>
      </c>
    </row>
    <row r="502" spans="1:19" x14ac:dyDescent="0.25">
      <c r="A502" s="303" t="s">
        <v>2904</v>
      </c>
      <c r="B502" s="303" t="s">
        <v>2903</v>
      </c>
      <c r="C502" s="328">
        <v>43363</v>
      </c>
      <c r="D502" s="303" t="s">
        <v>1965</v>
      </c>
      <c r="E502" s="303" t="s">
        <v>1964</v>
      </c>
      <c r="F502" s="303" t="s">
        <v>2014</v>
      </c>
      <c r="G502" s="303" t="s">
        <v>1451</v>
      </c>
      <c r="H502" s="303" t="s">
        <v>1956</v>
      </c>
      <c r="I502" s="304">
        <v>595</v>
      </c>
      <c r="J502" s="303" t="s">
        <v>1958</v>
      </c>
      <c r="K502" s="303" t="s">
        <v>1957</v>
      </c>
      <c r="L502" s="303" t="s">
        <v>1956</v>
      </c>
      <c r="M502" s="303" t="s">
        <v>2902</v>
      </c>
      <c r="N502" s="303" t="s">
        <v>1987</v>
      </c>
      <c r="O502" s="303" t="s">
        <v>1986</v>
      </c>
      <c r="P502" s="328">
        <v>43363</v>
      </c>
      <c r="Q502" s="303" t="s">
        <v>1952</v>
      </c>
      <c r="R502" s="303">
        <f t="shared" si="11"/>
        <v>1</v>
      </c>
      <c r="S502" s="303">
        <v>0</v>
      </c>
    </row>
    <row r="503" spans="1:19" x14ac:dyDescent="0.25">
      <c r="A503" s="303" t="s">
        <v>2904</v>
      </c>
      <c r="B503" s="303" t="s">
        <v>2903</v>
      </c>
      <c r="C503" s="328">
        <v>43363</v>
      </c>
      <c r="D503" s="303" t="s">
        <v>1961</v>
      </c>
      <c r="E503" s="303" t="s">
        <v>1960</v>
      </c>
      <c r="F503" s="303" t="s">
        <v>2014</v>
      </c>
      <c r="G503" s="303" t="s">
        <v>1451</v>
      </c>
      <c r="H503" s="303" t="s">
        <v>1956</v>
      </c>
      <c r="I503" s="304">
        <v>-595</v>
      </c>
      <c r="J503" s="303" t="s">
        <v>1958</v>
      </c>
      <c r="K503" s="303" t="s">
        <v>1957</v>
      </c>
      <c r="L503" s="303" t="s">
        <v>1956</v>
      </c>
      <c r="M503" s="303" t="s">
        <v>2902</v>
      </c>
      <c r="N503" s="303" t="s">
        <v>1987</v>
      </c>
      <c r="O503" s="303" t="s">
        <v>1986</v>
      </c>
      <c r="P503" s="328">
        <v>43363</v>
      </c>
      <c r="Q503" s="303" t="s">
        <v>1952</v>
      </c>
      <c r="R503" s="303">
        <f t="shared" si="11"/>
        <v>1</v>
      </c>
      <c r="S503" s="303">
        <v>0</v>
      </c>
    </row>
    <row r="504" spans="1:19" x14ac:dyDescent="0.25">
      <c r="A504" s="303" t="s">
        <v>2901</v>
      </c>
      <c r="B504" s="303" t="s">
        <v>2900</v>
      </c>
      <c r="C504" s="328">
        <v>43363</v>
      </c>
      <c r="D504" s="303" t="s">
        <v>1965</v>
      </c>
      <c r="E504" s="303" t="s">
        <v>1964</v>
      </c>
      <c r="F504" s="303" t="s">
        <v>2014</v>
      </c>
      <c r="G504" s="303" t="s">
        <v>1451</v>
      </c>
      <c r="H504" s="303" t="s">
        <v>1956</v>
      </c>
      <c r="I504" s="304">
        <v>2531</v>
      </c>
      <c r="J504" s="303" t="s">
        <v>1967</v>
      </c>
      <c r="K504" s="303" t="s">
        <v>1451</v>
      </c>
      <c r="L504" s="303" t="s">
        <v>1956</v>
      </c>
      <c r="M504" s="303" t="s">
        <v>2273</v>
      </c>
      <c r="N504" s="303" t="s">
        <v>1987</v>
      </c>
      <c r="O504" s="303" t="s">
        <v>1986</v>
      </c>
      <c r="P504" s="328">
        <v>43363</v>
      </c>
      <c r="Q504" s="303" t="s">
        <v>1952</v>
      </c>
      <c r="R504" s="303">
        <f t="shared" si="11"/>
        <v>1</v>
      </c>
      <c r="S504" s="303">
        <v>0</v>
      </c>
    </row>
    <row r="505" spans="1:19" x14ac:dyDescent="0.25">
      <c r="A505" s="303" t="s">
        <v>2901</v>
      </c>
      <c r="B505" s="303" t="s">
        <v>2900</v>
      </c>
      <c r="C505" s="328">
        <v>43363</v>
      </c>
      <c r="D505" s="303" t="s">
        <v>1961</v>
      </c>
      <c r="E505" s="303" t="s">
        <v>1960</v>
      </c>
      <c r="F505" s="303" t="s">
        <v>2014</v>
      </c>
      <c r="G505" s="303" t="s">
        <v>1451</v>
      </c>
      <c r="H505" s="303" t="s">
        <v>1956</v>
      </c>
      <c r="I505" s="304">
        <v>-2531</v>
      </c>
      <c r="J505" s="303" t="s">
        <v>1967</v>
      </c>
      <c r="K505" s="303" t="s">
        <v>1451</v>
      </c>
      <c r="L505" s="303" t="s">
        <v>1956</v>
      </c>
      <c r="M505" s="303" t="s">
        <v>2273</v>
      </c>
      <c r="N505" s="303" t="s">
        <v>1987</v>
      </c>
      <c r="O505" s="303" t="s">
        <v>1986</v>
      </c>
      <c r="P505" s="328">
        <v>43363</v>
      </c>
      <c r="Q505" s="303" t="s">
        <v>1952</v>
      </c>
      <c r="R505" s="303">
        <f t="shared" si="11"/>
        <v>1</v>
      </c>
      <c r="S505" s="303">
        <v>0</v>
      </c>
    </row>
    <row r="506" spans="1:19" x14ac:dyDescent="0.25">
      <c r="A506" s="303" t="s">
        <v>2899</v>
      </c>
      <c r="B506" s="303" t="s">
        <v>2898</v>
      </c>
      <c r="C506" s="328">
        <v>43363</v>
      </c>
      <c r="D506" s="303" t="s">
        <v>1965</v>
      </c>
      <c r="E506" s="303" t="s">
        <v>1964</v>
      </c>
      <c r="F506" s="303" t="s">
        <v>1803</v>
      </c>
      <c r="G506" s="303" t="s">
        <v>1451</v>
      </c>
      <c r="H506" s="303" t="s">
        <v>1956</v>
      </c>
      <c r="I506" s="304">
        <v>7253</v>
      </c>
      <c r="J506" s="303" t="s">
        <v>1958</v>
      </c>
      <c r="K506" s="303" t="s">
        <v>1957</v>
      </c>
      <c r="L506" s="303" t="s">
        <v>1956</v>
      </c>
      <c r="M506" s="303" t="s">
        <v>2022</v>
      </c>
      <c r="N506" s="303" t="s">
        <v>1987</v>
      </c>
      <c r="O506" s="303" t="s">
        <v>1986</v>
      </c>
      <c r="P506" s="328">
        <v>43363</v>
      </c>
      <c r="Q506" s="303" t="s">
        <v>1952</v>
      </c>
      <c r="R506" s="303">
        <f t="shared" si="11"/>
        <v>0</v>
      </c>
      <c r="S506" s="303">
        <v>0</v>
      </c>
    </row>
    <row r="507" spans="1:19" x14ac:dyDescent="0.25">
      <c r="A507" s="303" t="s">
        <v>2899</v>
      </c>
      <c r="B507" s="303" t="s">
        <v>2898</v>
      </c>
      <c r="C507" s="328">
        <v>43363</v>
      </c>
      <c r="D507" s="303" t="s">
        <v>1961</v>
      </c>
      <c r="E507" s="303" t="s">
        <v>1960</v>
      </c>
      <c r="F507" s="303" t="s">
        <v>1803</v>
      </c>
      <c r="G507" s="303" t="s">
        <v>1451</v>
      </c>
      <c r="H507" s="303" t="s">
        <v>1956</v>
      </c>
      <c r="I507" s="304">
        <v>-7253</v>
      </c>
      <c r="J507" s="303" t="s">
        <v>1958</v>
      </c>
      <c r="K507" s="303" t="s">
        <v>1957</v>
      </c>
      <c r="L507" s="303" t="s">
        <v>1956</v>
      </c>
      <c r="M507" s="303" t="s">
        <v>2022</v>
      </c>
      <c r="N507" s="303" t="s">
        <v>1987</v>
      </c>
      <c r="O507" s="303" t="s">
        <v>1986</v>
      </c>
      <c r="P507" s="328">
        <v>43363</v>
      </c>
      <c r="Q507" s="303" t="s">
        <v>1952</v>
      </c>
      <c r="R507" s="303">
        <f t="shared" si="11"/>
        <v>0</v>
      </c>
      <c r="S507" s="303">
        <v>0</v>
      </c>
    </row>
    <row r="508" spans="1:19" x14ac:dyDescent="0.25">
      <c r="A508" s="303" t="s">
        <v>2897</v>
      </c>
      <c r="B508" s="303" t="s">
        <v>2896</v>
      </c>
      <c r="C508" s="328">
        <v>43363</v>
      </c>
      <c r="D508" s="303" t="s">
        <v>1965</v>
      </c>
      <c r="E508" s="303" t="s">
        <v>1964</v>
      </c>
      <c r="F508" s="303" t="s">
        <v>1803</v>
      </c>
      <c r="G508" s="303" t="s">
        <v>1451</v>
      </c>
      <c r="H508" s="303" t="s">
        <v>1956</v>
      </c>
      <c r="I508" s="304">
        <v>30862</v>
      </c>
      <c r="J508" s="303" t="s">
        <v>1967</v>
      </c>
      <c r="K508" s="303" t="s">
        <v>1451</v>
      </c>
      <c r="L508" s="303" t="s">
        <v>1956</v>
      </c>
      <c r="M508" s="303" t="s">
        <v>2019</v>
      </c>
      <c r="N508" s="303" t="s">
        <v>1987</v>
      </c>
      <c r="O508" s="303" t="s">
        <v>1986</v>
      </c>
      <c r="P508" s="328">
        <v>43363</v>
      </c>
      <c r="Q508" s="303" t="s">
        <v>1952</v>
      </c>
      <c r="R508" s="303">
        <f t="shared" si="11"/>
        <v>0</v>
      </c>
      <c r="S508" s="303">
        <v>0</v>
      </c>
    </row>
    <row r="509" spans="1:19" x14ac:dyDescent="0.25">
      <c r="A509" s="303" t="s">
        <v>2897</v>
      </c>
      <c r="B509" s="303" t="s">
        <v>2896</v>
      </c>
      <c r="C509" s="328">
        <v>43363</v>
      </c>
      <c r="D509" s="303" t="s">
        <v>1961</v>
      </c>
      <c r="E509" s="303" t="s">
        <v>1960</v>
      </c>
      <c r="F509" s="303" t="s">
        <v>1803</v>
      </c>
      <c r="G509" s="303" t="s">
        <v>1451</v>
      </c>
      <c r="H509" s="303" t="s">
        <v>1956</v>
      </c>
      <c r="I509" s="304">
        <v>-30862</v>
      </c>
      <c r="J509" s="303" t="s">
        <v>1967</v>
      </c>
      <c r="K509" s="303" t="s">
        <v>1451</v>
      </c>
      <c r="L509" s="303" t="s">
        <v>1956</v>
      </c>
      <c r="M509" s="303" t="s">
        <v>2019</v>
      </c>
      <c r="N509" s="303" t="s">
        <v>1987</v>
      </c>
      <c r="O509" s="303" t="s">
        <v>1986</v>
      </c>
      <c r="P509" s="328">
        <v>43363</v>
      </c>
      <c r="Q509" s="303" t="s">
        <v>1952</v>
      </c>
      <c r="R509" s="303">
        <f t="shared" si="11"/>
        <v>0</v>
      </c>
      <c r="S509" s="303">
        <v>0</v>
      </c>
    </row>
    <row r="510" spans="1:19" x14ac:dyDescent="0.25">
      <c r="A510" s="303" t="s">
        <v>2895</v>
      </c>
      <c r="B510" s="303" t="s">
        <v>2894</v>
      </c>
      <c r="C510" s="328">
        <v>43367</v>
      </c>
      <c r="D510" s="303" t="s">
        <v>1961</v>
      </c>
      <c r="E510" s="303" t="s">
        <v>1960</v>
      </c>
      <c r="F510" s="303" t="s">
        <v>1609</v>
      </c>
      <c r="G510" s="303" t="s">
        <v>1609</v>
      </c>
      <c r="H510" s="303" t="s">
        <v>1609</v>
      </c>
      <c r="I510" s="304">
        <v>-8813</v>
      </c>
      <c r="J510" s="303" t="s">
        <v>1685</v>
      </c>
      <c r="K510" s="303" t="s">
        <v>1543</v>
      </c>
      <c r="L510" s="303" t="s">
        <v>1956</v>
      </c>
      <c r="M510" s="303" t="s">
        <v>2893</v>
      </c>
      <c r="N510" s="303" t="s">
        <v>1987</v>
      </c>
      <c r="O510" s="303" t="s">
        <v>1986</v>
      </c>
      <c r="P510" s="328">
        <v>43367</v>
      </c>
      <c r="Q510" s="303" t="s">
        <v>1952</v>
      </c>
      <c r="R510" s="303">
        <f t="shared" si="11"/>
        <v>1</v>
      </c>
      <c r="S510" s="303">
        <v>1</v>
      </c>
    </row>
    <row r="511" spans="1:19" x14ac:dyDescent="0.25">
      <c r="A511" s="303" t="s">
        <v>2892</v>
      </c>
      <c r="B511" s="303" t="s">
        <v>2891</v>
      </c>
      <c r="C511" s="328">
        <v>43367</v>
      </c>
      <c r="D511" s="303" t="s">
        <v>1961</v>
      </c>
      <c r="E511" s="303" t="s">
        <v>1960</v>
      </c>
      <c r="F511" s="303" t="s">
        <v>1609</v>
      </c>
      <c r="G511" s="303" t="s">
        <v>1609</v>
      </c>
      <c r="H511" s="303" t="s">
        <v>1609</v>
      </c>
      <c r="I511" s="304">
        <v>-13987</v>
      </c>
      <c r="J511" s="303" t="s">
        <v>1655</v>
      </c>
      <c r="K511" s="303" t="s">
        <v>1561</v>
      </c>
      <c r="L511" s="303" t="s">
        <v>1956</v>
      </c>
      <c r="M511" s="303" t="s">
        <v>2890</v>
      </c>
      <c r="N511" s="303" t="s">
        <v>1987</v>
      </c>
      <c r="O511" s="303" t="s">
        <v>1986</v>
      </c>
      <c r="P511" s="328">
        <v>43367</v>
      </c>
      <c r="Q511" s="303" t="s">
        <v>1952</v>
      </c>
      <c r="R511" s="303">
        <f t="shared" si="11"/>
        <v>1</v>
      </c>
      <c r="S511" s="303">
        <v>1</v>
      </c>
    </row>
    <row r="512" spans="1:19" x14ac:dyDescent="0.25">
      <c r="A512" s="303" t="s">
        <v>2889</v>
      </c>
      <c r="B512" s="303" t="s">
        <v>2888</v>
      </c>
      <c r="C512" s="328">
        <v>43367</v>
      </c>
      <c r="D512" s="303" t="s">
        <v>1965</v>
      </c>
      <c r="E512" s="303" t="s">
        <v>1964</v>
      </c>
      <c r="F512" s="303" t="s">
        <v>1807</v>
      </c>
      <c r="G512" s="303" t="s">
        <v>1448</v>
      </c>
      <c r="H512" s="303" t="s">
        <v>1956</v>
      </c>
      <c r="I512" s="304">
        <v>4211</v>
      </c>
      <c r="J512" s="303" t="s">
        <v>1958</v>
      </c>
      <c r="K512" s="303" t="s">
        <v>1957</v>
      </c>
      <c r="L512" s="303" t="s">
        <v>1956</v>
      </c>
      <c r="M512" s="303" t="s">
        <v>2022</v>
      </c>
      <c r="N512" s="303" t="s">
        <v>1987</v>
      </c>
      <c r="O512" s="303" t="s">
        <v>1986</v>
      </c>
      <c r="P512" s="328">
        <v>43367</v>
      </c>
      <c r="Q512" s="303" t="s">
        <v>1952</v>
      </c>
      <c r="R512" s="303">
        <f t="shared" si="11"/>
        <v>0</v>
      </c>
      <c r="S512" s="303">
        <v>0</v>
      </c>
    </row>
    <row r="513" spans="1:19" x14ac:dyDescent="0.25">
      <c r="A513" s="303" t="s">
        <v>2889</v>
      </c>
      <c r="B513" s="303" t="s">
        <v>2888</v>
      </c>
      <c r="C513" s="328">
        <v>43367</v>
      </c>
      <c r="D513" s="303" t="s">
        <v>1961</v>
      </c>
      <c r="E513" s="303" t="s">
        <v>1960</v>
      </c>
      <c r="F513" s="303" t="s">
        <v>1807</v>
      </c>
      <c r="G513" s="303" t="s">
        <v>1448</v>
      </c>
      <c r="H513" s="303" t="s">
        <v>1956</v>
      </c>
      <c r="I513" s="304">
        <v>-4211</v>
      </c>
      <c r="J513" s="303" t="s">
        <v>1958</v>
      </c>
      <c r="K513" s="303" t="s">
        <v>1957</v>
      </c>
      <c r="L513" s="303" t="s">
        <v>1956</v>
      </c>
      <c r="M513" s="303" t="s">
        <v>2022</v>
      </c>
      <c r="N513" s="303" t="s">
        <v>1987</v>
      </c>
      <c r="O513" s="303" t="s">
        <v>1986</v>
      </c>
      <c r="P513" s="328">
        <v>43367</v>
      </c>
      <c r="Q513" s="303" t="s">
        <v>1952</v>
      </c>
      <c r="R513" s="303">
        <f t="shared" si="11"/>
        <v>0</v>
      </c>
      <c r="S513" s="303">
        <v>0</v>
      </c>
    </row>
    <row r="514" spans="1:19" x14ac:dyDescent="0.25">
      <c r="A514" s="303" t="s">
        <v>2887</v>
      </c>
      <c r="B514" s="303" t="s">
        <v>2886</v>
      </c>
      <c r="C514" s="328">
        <v>43367</v>
      </c>
      <c r="D514" s="303" t="s">
        <v>1965</v>
      </c>
      <c r="E514" s="303" t="s">
        <v>1964</v>
      </c>
      <c r="F514" s="303" t="s">
        <v>1807</v>
      </c>
      <c r="G514" s="303" t="s">
        <v>1448</v>
      </c>
      <c r="H514" s="303" t="s">
        <v>1956</v>
      </c>
      <c r="I514" s="304">
        <v>17918</v>
      </c>
      <c r="J514" s="303" t="s">
        <v>1967</v>
      </c>
      <c r="K514" s="303" t="s">
        <v>1448</v>
      </c>
      <c r="L514" s="303" t="s">
        <v>1956</v>
      </c>
      <c r="M514" s="303" t="s">
        <v>2019</v>
      </c>
      <c r="N514" s="303" t="s">
        <v>1987</v>
      </c>
      <c r="O514" s="303" t="s">
        <v>1986</v>
      </c>
      <c r="P514" s="328">
        <v>43367</v>
      </c>
      <c r="Q514" s="303" t="s">
        <v>1952</v>
      </c>
      <c r="R514" s="303">
        <f t="shared" si="11"/>
        <v>0</v>
      </c>
      <c r="S514" s="303">
        <v>0</v>
      </c>
    </row>
    <row r="515" spans="1:19" x14ac:dyDescent="0.25">
      <c r="A515" s="303" t="s">
        <v>2887</v>
      </c>
      <c r="B515" s="303" t="s">
        <v>2886</v>
      </c>
      <c r="C515" s="328">
        <v>43367</v>
      </c>
      <c r="D515" s="303" t="s">
        <v>1961</v>
      </c>
      <c r="E515" s="303" t="s">
        <v>1960</v>
      </c>
      <c r="F515" s="303" t="s">
        <v>1807</v>
      </c>
      <c r="G515" s="303" t="s">
        <v>1448</v>
      </c>
      <c r="H515" s="303" t="s">
        <v>1956</v>
      </c>
      <c r="I515" s="304">
        <v>-17918</v>
      </c>
      <c r="J515" s="303" t="s">
        <v>1967</v>
      </c>
      <c r="K515" s="303" t="s">
        <v>1448</v>
      </c>
      <c r="L515" s="303" t="s">
        <v>1956</v>
      </c>
      <c r="M515" s="303" t="s">
        <v>2019</v>
      </c>
      <c r="N515" s="303" t="s">
        <v>1987</v>
      </c>
      <c r="O515" s="303" t="s">
        <v>1986</v>
      </c>
      <c r="P515" s="328">
        <v>43367</v>
      </c>
      <c r="Q515" s="303" t="s">
        <v>1952</v>
      </c>
      <c r="R515" s="303">
        <f t="shared" ref="R515:R578" si="12">IF(OR(M515="transfert de B vers A",M515="transfert de B vers D",M515="transfert de A vers B",M515="transfert de D vers B",M515="carryover 2017 -&gt; 2018",IF(ISERR(SEARCH("fidélité",M515)),FALSE,TRUE),M515="Fermeture STI-FORM",M515="répartition AE/AC"),0,1)</f>
        <v>0</v>
      </c>
      <c r="S515" s="303">
        <v>0</v>
      </c>
    </row>
    <row r="516" spans="1:19" x14ac:dyDescent="0.25">
      <c r="A516" s="303" t="s">
        <v>2885</v>
      </c>
      <c r="B516" s="303" t="s">
        <v>2884</v>
      </c>
      <c r="C516" s="328">
        <v>43368</v>
      </c>
      <c r="D516" s="303" t="s">
        <v>1965</v>
      </c>
      <c r="E516" s="303" t="s">
        <v>1964</v>
      </c>
      <c r="F516" s="303" t="s">
        <v>1671</v>
      </c>
      <c r="G516" s="303" t="s">
        <v>2036</v>
      </c>
      <c r="H516" s="303" t="s">
        <v>1956</v>
      </c>
      <c r="I516" s="304">
        <v>8875</v>
      </c>
      <c r="J516" s="303" t="s">
        <v>1852</v>
      </c>
      <c r="K516" s="303" t="s">
        <v>1957</v>
      </c>
      <c r="L516" s="303" t="s">
        <v>1956</v>
      </c>
      <c r="M516" s="303" t="s">
        <v>2883</v>
      </c>
      <c r="N516" s="303" t="s">
        <v>1987</v>
      </c>
      <c r="O516" s="303" t="s">
        <v>1986</v>
      </c>
      <c r="P516" s="328">
        <v>43368</v>
      </c>
      <c r="Q516" s="303" t="s">
        <v>1952</v>
      </c>
      <c r="R516" s="303">
        <f t="shared" si="12"/>
        <v>1</v>
      </c>
      <c r="S516" s="303">
        <v>0</v>
      </c>
    </row>
    <row r="517" spans="1:19" x14ac:dyDescent="0.25">
      <c r="A517" s="303" t="s">
        <v>2885</v>
      </c>
      <c r="B517" s="303" t="s">
        <v>2884</v>
      </c>
      <c r="C517" s="328">
        <v>43368</v>
      </c>
      <c r="D517" s="303" t="s">
        <v>1961</v>
      </c>
      <c r="E517" s="303" t="s">
        <v>1960</v>
      </c>
      <c r="F517" s="303" t="s">
        <v>1671</v>
      </c>
      <c r="G517" s="303" t="s">
        <v>2036</v>
      </c>
      <c r="H517" s="303" t="s">
        <v>1956</v>
      </c>
      <c r="I517" s="304">
        <v>-8875</v>
      </c>
      <c r="J517" s="303" t="s">
        <v>1852</v>
      </c>
      <c r="K517" s="303" t="s">
        <v>1957</v>
      </c>
      <c r="L517" s="303" t="s">
        <v>1956</v>
      </c>
      <c r="M517" s="303" t="s">
        <v>2883</v>
      </c>
      <c r="N517" s="303" t="s">
        <v>1987</v>
      </c>
      <c r="O517" s="303" t="s">
        <v>1986</v>
      </c>
      <c r="P517" s="328">
        <v>43368</v>
      </c>
      <c r="Q517" s="303" t="s">
        <v>1952</v>
      </c>
      <c r="R517" s="303">
        <f t="shared" si="12"/>
        <v>1</v>
      </c>
      <c r="S517" s="303">
        <v>0</v>
      </c>
    </row>
    <row r="518" spans="1:19" x14ac:dyDescent="0.25">
      <c r="A518" s="303" t="s">
        <v>2882</v>
      </c>
      <c r="B518" s="303" t="s">
        <v>2881</v>
      </c>
      <c r="C518" s="328">
        <v>43368</v>
      </c>
      <c r="D518" s="303" t="s">
        <v>1965</v>
      </c>
      <c r="E518" s="303" t="s">
        <v>1964</v>
      </c>
      <c r="F518" s="303" t="s">
        <v>1920</v>
      </c>
      <c r="G518" s="303" t="s">
        <v>1376</v>
      </c>
      <c r="H518" s="303" t="s">
        <v>1956</v>
      </c>
      <c r="I518" s="304">
        <v>5700</v>
      </c>
      <c r="J518" s="303" t="s">
        <v>1753</v>
      </c>
      <c r="K518" s="303" t="s">
        <v>2112</v>
      </c>
      <c r="L518" s="303" t="s">
        <v>1956</v>
      </c>
      <c r="M518" s="303" t="s">
        <v>2880</v>
      </c>
      <c r="N518" s="303" t="s">
        <v>1987</v>
      </c>
      <c r="O518" s="303" t="s">
        <v>1986</v>
      </c>
      <c r="P518" s="328">
        <v>43368</v>
      </c>
      <c r="Q518" s="303" t="s">
        <v>1952</v>
      </c>
      <c r="R518" s="303">
        <f t="shared" si="12"/>
        <v>1</v>
      </c>
      <c r="S518" s="303">
        <v>1</v>
      </c>
    </row>
    <row r="519" spans="1:19" x14ac:dyDescent="0.25">
      <c r="A519" s="303" t="s">
        <v>2882</v>
      </c>
      <c r="B519" s="303" t="s">
        <v>2881</v>
      </c>
      <c r="C519" s="328">
        <v>43368</v>
      </c>
      <c r="D519" s="303" t="s">
        <v>1961</v>
      </c>
      <c r="E519" s="303" t="s">
        <v>1960</v>
      </c>
      <c r="F519" s="303" t="s">
        <v>1920</v>
      </c>
      <c r="G519" s="303" t="s">
        <v>1376</v>
      </c>
      <c r="H519" s="303" t="s">
        <v>1956</v>
      </c>
      <c r="I519" s="304">
        <v>-5700</v>
      </c>
      <c r="J519" s="303" t="s">
        <v>1753</v>
      </c>
      <c r="K519" s="303" t="s">
        <v>2112</v>
      </c>
      <c r="L519" s="303" t="s">
        <v>1956</v>
      </c>
      <c r="M519" s="303" t="s">
        <v>2880</v>
      </c>
      <c r="N519" s="303" t="s">
        <v>1987</v>
      </c>
      <c r="O519" s="303" t="s">
        <v>1986</v>
      </c>
      <c r="P519" s="328">
        <v>43368</v>
      </c>
      <c r="Q519" s="303" t="s">
        <v>1952</v>
      </c>
      <c r="R519" s="303">
        <f t="shared" si="12"/>
        <v>1</v>
      </c>
      <c r="S519" s="303">
        <v>1</v>
      </c>
    </row>
    <row r="520" spans="1:19" x14ac:dyDescent="0.25">
      <c r="A520" s="303" t="s">
        <v>2879</v>
      </c>
      <c r="B520" s="303" t="s">
        <v>2878</v>
      </c>
      <c r="C520" s="328">
        <v>43368</v>
      </c>
      <c r="D520" s="303" t="s">
        <v>1965</v>
      </c>
      <c r="E520" s="303" t="s">
        <v>1964</v>
      </c>
      <c r="F520" s="303" t="s">
        <v>1912</v>
      </c>
      <c r="G520" s="303" t="s">
        <v>1382</v>
      </c>
      <c r="H520" s="303" t="s">
        <v>1956</v>
      </c>
      <c r="I520" s="304">
        <v>4700</v>
      </c>
      <c r="J520" s="303" t="s">
        <v>1958</v>
      </c>
      <c r="K520" s="303" t="s">
        <v>1957</v>
      </c>
      <c r="L520" s="303" t="s">
        <v>1956</v>
      </c>
      <c r="M520" s="303" t="s">
        <v>2022</v>
      </c>
      <c r="N520" s="303" t="s">
        <v>1987</v>
      </c>
      <c r="O520" s="303" t="s">
        <v>1986</v>
      </c>
      <c r="P520" s="328">
        <v>43368</v>
      </c>
      <c r="Q520" s="303" t="s">
        <v>1952</v>
      </c>
      <c r="R520" s="303">
        <f t="shared" si="12"/>
        <v>0</v>
      </c>
      <c r="S520" s="303">
        <v>0</v>
      </c>
    </row>
    <row r="521" spans="1:19" x14ac:dyDescent="0.25">
      <c r="A521" s="303" t="s">
        <v>2879</v>
      </c>
      <c r="B521" s="303" t="s">
        <v>2878</v>
      </c>
      <c r="C521" s="328">
        <v>43368</v>
      </c>
      <c r="D521" s="303" t="s">
        <v>1961</v>
      </c>
      <c r="E521" s="303" t="s">
        <v>1960</v>
      </c>
      <c r="F521" s="303" t="s">
        <v>1912</v>
      </c>
      <c r="G521" s="303" t="s">
        <v>1382</v>
      </c>
      <c r="H521" s="303" t="s">
        <v>1956</v>
      </c>
      <c r="I521" s="304">
        <v>-4700</v>
      </c>
      <c r="J521" s="303" t="s">
        <v>1958</v>
      </c>
      <c r="K521" s="303" t="s">
        <v>1957</v>
      </c>
      <c r="L521" s="303" t="s">
        <v>1956</v>
      </c>
      <c r="M521" s="303" t="s">
        <v>2022</v>
      </c>
      <c r="N521" s="303" t="s">
        <v>1987</v>
      </c>
      <c r="O521" s="303" t="s">
        <v>1986</v>
      </c>
      <c r="P521" s="328">
        <v>43368</v>
      </c>
      <c r="Q521" s="303" t="s">
        <v>1952</v>
      </c>
      <c r="R521" s="303">
        <f t="shared" si="12"/>
        <v>0</v>
      </c>
      <c r="S521" s="303">
        <v>0</v>
      </c>
    </row>
    <row r="522" spans="1:19" x14ac:dyDescent="0.25">
      <c r="A522" s="303" t="s">
        <v>2877</v>
      </c>
      <c r="B522" s="303" t="s">
        <v>2876</v>
      </c>
      <c r="C522" s="328">
        <v>43368</v>
      </c>
      <c r="D522" s="303" t="s">
        <v>1965</v>
      </c>
      <c r="E522" s="303" t="s">
        <v>1964</v>
      </c>
      <c r="F522" s="303" t="s">
        <v>1912</v>
      </c>
      <c r="G522" s="303" t="s">
        <v>1382</v>
      </c>
      <c r="H522" s="303" t="s">
        <v>1956</v>
      </c>
      <c r="I522" s="304">
        <v>20000</v>
      </c>
      <c r="J522" s="303" t="s">
        <v>1967</v>
      </c>
      <c r="K522" s="303" t="s">
        <v>1382</v>
      </c>
      <c r="L522" s="303" t="s">
        <v>1956</v>
      </c>
      <c r="M522" s="303" t="s">
        <v>2019</v>
      </c>
      <c r="N522" s="303" t="s">
        <v>1987</v>
      </c>
      <c r="O522" s="303" t="s">
        <v>1986</v>
      </c>
      <c r="P522" s="328">
        <v>43368</v>
      </c>
      <c r="Q522" s="303" t="s">
        <v>1952</v>
      </c>
      <c r="R522" s="303">
        <f t="shared" si="12"/>
        <v>0</v>
      </c>
      <c r="S522" s="303">
        <v>0</v>
      </c>
    </row>
    <row r="523" spans="1:19" x14ac:dyDescent="0.25">
      <c r="A523" s="303" t="s">
        <v>2877</v>
      </c>
      <c r="B523" s="303" t="s">
        <v>2876</v>
      </c>
      <c r="C523" s="328">
        <v>43368</v>
      </c>
      <c r="D523" s="303" t="s">
        <v>1961</v>
      </c>
      <c r="E523" s="303" t="s">
        <v>1960</v>
      </c>
      <c r="F523" s="303" t="s">
        <v>1912</v>
      </c>
      <c r="G523" s="303" t="s">
        <v>1382</v>
      </c>
      <c r="H523" s="303" t="s">
        <v>1956</v>
      </c>
      <c r="I523" s="304">
        <v>-20000</v>
      </c>
      <c r="J523" s="303" t="s">
        <v>1967</v>
      </c>
      <c r="K523" s="303" t="s">
        <v>1382</v>
      </c>
      <c r="L523" s="303" t="s">
        <v>1956</v>
      </c>
      <c r="M523" s="303" t="s">
        <v>2019</v>
      </c>
      <c r="N523" s="303" t="s">
        <v>1987</v>
      </c>
      <c r="O523" s="303" t="s">
        <v>1986</v>
      </c>
      <c r="P523" s="328">
        <v>43368</v>
      </c>
      <c r="Q523" s="303" t="s">
        <v>1952</v>
      </c>
      <c r="R523" s="303">
        <f t="shared" si="12"/>
        <v>0</v>
      </c>
      <c r="S523" s="303">
        <v>0</v>
      </c>
    </row>
    <row r="524" spans="1:19" x14ac:dyDescent="0.25">
      <c r="A524" s="303" t="s">
        <v>2875</v>
      </c>
      <c r="B524" s="303" t="s">
        <v>2874</v>
      </c>
      <c r="C524" s="328">
        <v>43368</v>
      </c>
      <c r="D524" s="303" t="s">
        <v>1965</v>
      </c>
      <c r="E524" s="303" t="s">
        <v>1964</v>
      </c>
      <c r="F524" s="303" t="s">
        <v>1989</v>
      </c>
      <c r="G524" s="303" t="s">
        <v>1370</v>
      </c>
      <c r="H524" s="303" t="s">
        <v>1956</v>
      </c>
      <c r="I524" s="304">
        <v>5440</v>
      </c>
      <c r="J524" s="303" t="s">
        <v>1928</v>
      </c>
      <c r="K524" s="303" t="s">
        <v>1370</v>
      </c>
      <c r="L524" s="303" t="s">
        <v>1956</v>
      </c>
      <c r="M524" s="303" t="s">
        <v>1988</v>
      </c>
      <c r="N524" s="303" t="s">
        <v>1987</v>
      </c>
      <c r="O524" s="303" t="s">
        <v>1986</v>
      </c>
      <c r="P524" s="328">
        <v>43368</v>
      </c>
      <c r="Q524" s="303" t="s">
        <v>1952</v>
      </c>
      <c r="R524" s="303">
        <f t="shared" si="12"/>
        <v>1</v>
      </c>
      <c r="S524" s="303">
        <v>0</v>
      </c>
    </row>
    <row r="525" spans="1:19" x14ac:dyDescent="0.25">
      <c r="A525" s="303" t="s">
        <v>2875</v>
      </c>
      <c r="B525" s="303" t="s">
        <v>2874</v>
      </c>
      <c r="C525" s="328">
        <v>43368</v>
      </c>
      <c r="D525" s="303" t="s">
        <v>1961</v>
      </c>
      <c r="E525" s="303" t="s">
        <v>1960</v>
      </c>
      <c r="F525" s="303" t="s">
        <v>1989</v>
      </c>
      <c r="G525" s="303" t="s">
        <v>1370</v>
      </c>
      <c r="H525" s="303" t="s">
        <v>1956</v>
      </c>
      <c r="I525" s="304">
        <v>-5440</v>
      </c>
      <c r="J525" s="303" t="s">
        <v>1928</v>
      </c>
      <c r="K525" s="303" t="s">
        <v>1370</v>
      </c>
      <c r="L525" s="303" t="s">
        <v>1956</v>
      </c>
      <c r="M525" s="303" t="s">
        <v>1988</v>
      </c>
      <c r="N525" s="303" t="s">
        <v>1987</v>
      </c>
      <c r="O525" s="303" t="s">
        <v>1986</v>
      </c>
      <c r="P525" s="328">
        <v>43368</v>
      </c>
      <c r="Q525" s="303" t="s">
        <v>1952</v>
      </c>
      <c r="R525" s="303">
        <f t="shared" si="12"/>
        <v>1</v>
      </c>
      <c r="S525" s="303">
        <v>0</v>
      </c>
    </row>
    <row r="526" spans="1:19" x14ac:dyDescent="0.25">
      <c r="A526" s="303" t="s">
        <v>2873</v>
      </c>
      <c r="B526" s="303" t="s">
        <v>2872</v>
      </c>
      <c r="C526" s="328">
        <v>43368</v>
      </c>
      <c r="D526" s="303" t="s">
        <v>1965</v>
      </c>
      <c r="E526" s="303" t="s">
        <v>1964</v>
      </c>
      <c r="F526" s="303" t="s">
        <v>1886</v>
      </c>
      <c r="G526" s="303" t="s">
        <v>2462</v>
      </c>
      <c r="H526" s="303" t="s">
        <v>1956</v>
      </c>
      <c r="I526" s="304">
        <v>2680</v>
      </c>
      <c r="J526" s="303" t="s">
        <v>1918</v>
      </c>
      <c r="K526" s="303" t="s">
        <v>2183</v>
      </c>
      <c r="L526" s="303" t="s">
        <v>1956</v>
      </c>
      <c r="M526" s="303" t="s">
        <v>2787</v>
      </c>
      <c r="N526" s="303" t="s">
        <v>1987</v>
      </c>
      <c r="O526" s="303" t="s">
        <v>1986</v>
      </c>
      <c r="P526" s="328">
        <v>43368</v>
      </c>
      <c r="Q526" s="303" t="s">
        <v>1952</v>
      </c>
      <c r="R526" s="303">
        <f t="shared" si="12"/>
        <v>1</v>
      </c>
      <c r="S526" s="303">
        <v>1</v>
      </c>
    </row>
    <row r="527" spans="1:19" x14ac:dyDescent="0.25">
      <c r="A527" s="303" t="s">
        <v>2873</v>
      </c>
      <c r="B527" s="303" t="s">
        <v>2872</v>
      </c>
      <c r="C527" s="328">
        <v>43368</v>
      </c>
      <c r="D527" s="303" t="s">
        <v>1961</v>
      </c>
      <c r="E527" s="303" t="s">
        <v>1960</v>
      </c>
      <c r="F527" s="303" t="s">
        <v>1886</v>
      </c>
      <c r="G527" s="303" t="s">
        <v>2462</v>
      </c>
      <c r="H527" s="303" t="s">
        <v>1956</v>
      </c>
      <c r="I527" s="304">
        <v>-2680</v>
      </c>
      <c r="J527" s="303" t="s">
        <v>1918</v>
      </c>
      <c r="K527" s="303" t="s">
        <v>2183</v>
      </c>
      <c r="L527" s="303" t="s">
        <v>1956</v>
      </c>
      <c r="M527" s="303" t="s">
        <v>2787</v>
      </c>
      <c r="N527" s="303" t="s">
        <v>1987</v>
      </c>
      <c r="O527" s="303" t="s">
        <v>1986</v>
      </c>
      <c r="P527" s="328">
        <v>43368</v>
      </c>
      <c r="Q527" s="303" t="s">
        <v>1952</v>
      </c>
      <c r="R527" s="303">
        <f t="shared" si="12"/>
        <v>1</v>
      </c>
      <c r="S527" s="303">
        <v>1</v>
      </c>
    </row>
    <row r="528" spans="1:19" x14ac:dyDescent="0.25">
      <c r="A528" s="303" t="s">
        <v>2871</v>
      </c>
      <c r="B528" s="303" t="s">
        <v>2870</v>
      </c>
      <c r="C528" s="328">
        <v>43370</v>
      </c>
      <c r="D528" s="303" t="s">
        <v>1965</v>
      </c>
      <c r="E528" s="303" t="s">
        <v>1964</v>
      </c>
      <c r="F528" s="303" t="s">
        <v>1958</v>
      </c>
      <c r="G528" s="303" t="s">
        <v>1957</v>
      </c>
      <c r="H528" s="303" t="s">
        <v>1956</v>
      </c>
      <c r="I528" s="304">
        <v>155</v>
      </c>
      <c r="J528" s="303" t="s">
        <v>1864</v>
      </c>
      <c r="K528" s="303" t="s">
        <v>2867</v>
      </c>
      <c r="L528" s="303" t="s">
        <v>1956</v>
      </c>
      <c r="M528" s="303" t="s">
        <v>2270</v>
      </c>
      <c r="N528" s="303" t="s">
        <v>1987</v>
      </c>
      <c r="O528" s="303" t="s">
        <v>1986</v>
      </c>
      <c r="P528" s="328">
        <v>43370</v>
      </c>
      <c r="Q528" s="303" t="s">
        <v>1952</v>
      </c>
      <c r="R528" s="303">
        <f t="shared" si="12"/>
        <v>0</v>
      </c>
      <c r="S528" s="303">
        <v>0</v>
      </c>
    </row>
    <row r="529" spans="1:19" x14ac:dyDescent="0.25">
      <c r="A529" s="303" t="s">
        <v>2871</v>
      </c>
      <c r="B529" s="303" t="s">
        <v>2870</v>
      </c>
      <c r="C529" s="328">
        <v>43370</v>
      </c>
      <c r="D529" s="303" t="s">
        <v>1961</v>
      </c>
      <c r="E529" s="303" t="s">
        <v>1960</v>
      </c>
      <c r="F529" s="303" t="s">
        <v>1958</v>
      </c>
      <c r="G529" s="303" t="s">
        <v>1957</v>
      </c>
      <c r="H529" s="303" t="s">
        <v>1956</v>
      </c>
      <c r="I529" s="304">
        <v>-155</v>
      </c>
      <c r="J529" s="303" t="s">
        <v>1864</v>
      </c>
      <c r="K529" s="303" t="s">
        <v>2867</v>
      </c>
      <c r="L529" s="303" t="s">
        <v>1956</v>
      </c>
      <c r="M529" s="303" t="s">
        <v>2270</v>
      </c>
      <c r="N529" s="303" t="s">
        <v>1987</v>
      </c>
      <c r="O529" s="303" t="s">
        <v>1986</v>
      </c>
      <c r="P529" s="328">
        <v>43370</v>
      </c>
      <c r="Q529" s="303" t="s">
        <v>1952</v>
      </c>
      <c r="R529" s="303">
        <f t="shared" si="12"/>
        <v>0</v>
      </c>
      <c r="S529" s="303">
        <v>0</v>
      </c>
    </row>
    <row r="530" spans="1:19" x14ac:dyDescent="0.25">
      <c r="A530" s="303" t="s">
        <v>2869</v>
      </c>
      <c r="B530" s="303" t="s">
        <v>2868</v>
      </c>
      <c r="C530" s="328">
        <v>43370</v>
      </c>
      <c r="D530" s="303" t="s">
        <v>1965</v>
      </c>
      <c r="E530" s="303" t="s">
        <v>1964</v>
      </c>
      <c r="F530" s="303" t="s">
        <v>1967</v>
      </c>
      <c r="G530" s="303" t="s">
        <v>2867</v>
      </c>
      <c r="H530" s="303" t="s">
        <v>1956</v>
      </c>
      <c r="I530" s="304">
        <v>661</v>
      </c>
      <c r="J530" s="303" t="s">
        <v>1864</v>
      </c>
      <c r="K530" s="303" t="s">
        <v>2867</v>
      </c>
      <c r="L530" s="303" t="s">
        <v>1956</v>
      </c>
      <c r="M530" s="303" t="s">
        <v>2267</v>
      </c>
      <c r="N530" s="303" t="s">
        <v>1987</v>
      </c>
      <c r="O530" s="303" t="s">
        <v>1986</v>
      </c>
      <c r="P530" s="328">
        <v>43370</v>
      </c>
      <c r="Q530" s="303" t="s">
        <v>1952</v>
      </c>
      <c r="R530" s="303">
        <f t="shared" si="12"/>
        <v>0</v>
      </c>
      <c r="S530" s="303">
        <v>0</v>
      </c>
    </row>
    <row r="531" spans="1:19" x14ac:dyDescent="0.25">
      <c r="A531" s="303" t="s">
        <v>2869</v>
      </c>
      <c r="B531" s="303" t="s">
        <v>2868</v>
      </c>
      <c r="C531" s="328">
        <v>43370</v>
      </c>
      <c r="D531" s="303" t="s">
        <v>1961</v>
      </c>
      <c r="E531" s="303" t="s">
        <v>1960</v>
      </c>
      <c r="F531" s="303" t="s">
        <v>1967</v>
      </c>
      <c r="G531" s="303" t="s">
        <v>2867</v>
      </c>
      <c r="H531" s="303" t="s">
        <v>1956</v>
      </c>
      <c r="I531" s="304">
        <v>-661</v>
      </c>
      <c r="J531" s="303" t="s">
        <v>1864</v>
      </c>
      <c r="K531" s="303" t="s">
        <v>2867</v>
      </c>
      <c r="L531" s="303" t="s">
        <v>1956</v>
      </c>
      <c r="M531" s="303" t="s">
        <v>2267</v>
      </c>
      <c r="N531" s="303" t="s">
        <v>1987</v>
      </c>
      <c r="O531" s="303" t="s">
        <v>1986</v>
      </c>
      <c r="P531" s="328">
        <v>43370</v>
      </c>
      <c r="Q531" s="303" t="s">
        <v>1952</v>
      </c>
      <c r="R531" s="303">
        <f t="shared" si="12"/>
        <v>0</v>
      </c>
      <c r="S531" s="303">
        <v>0</v>
      </c>
    </row>
    <row r="532" spans="1:19" x14ac:dyDescent="0.25">
      <c r="A532" s="303" t="s">
        <v>2866</v>
      </c>
      <c r="B532" s="303" t="s">
        <v>2865</v>
      </c>
      <c r="C532" s="328">
        <v>43374</v>
      </c>
      <c r="D532" s="303" t="s">
        <v>1965</v>
      </c>
      <c r="E532" s="303" t="s">
        <v>1964</v>
      </c>
      <c r="F532" s="303" t="s">
        <v>1751</v>
      </c>
      <c r="G532" s="303" t="s">
        <v>2112</v>
      </c>
      <c r="H532" s="303" t="s">
        <v>1956</v>
      </c>
      <c r="I532" s="304">
        <v>227</v>
      </c>
      <c r="J532" s="303" t="s">
        <v>1753</v>
      </c>
      <c r="K532" s="303" t="s">
        <v>2112</v>
      </c>
      <c r="L532" s="303" t="s">
        <v>1956</v>
      </c>
      <c r="M532" s="303" t="s">
        <v>2864</v>
      </c>
      <c r="N532" s="303" t="s">
        <v>1987</v>
      </c>
      <c r="O532" s="303" t="s">
        <v>1986</v>
      </c>
      <c r="P532" s="328">
        <v>43374</v>
      </c>
      <c r="Q532" s="303" t="s">
        <v>1952</v>
      </c>
      <c r="R532" s="303">
        <f t="shared" si="12"/>
        <v>1</v>
      </c>
      <c r="S532" s="303">
        <v>0</v>
      </c>
    </row>
    <row r="533" spans="1:19" x14ac:dyDescent="0.25">
      <c r="A533" s="303" t="s">
        <v>2866</v>
      </c>
      <c r="B533" s="303" t="s">
        <v>2865</v>
      </c>
      <c r="C533" s="328">
        <v>43374</v>
      </c>
      <c r="D533" s="303" t="s">
        <v>1961</v>
      </c>
      <c r="E533" s="303" t="s">
        <v>1960</v>
      </c>
      <c r="F533" s="303" t="s">
        <v>1751</v>
      </c>
      <c r="G533" s="303" t="s">
        <v>2112</v>
      </c>
      <c r="H533" s="303" t="s">
        <v>1956</v>
      </c>
      <c r="I533" s="304">
        <v>-227</v>
      </c>
      <c r="J533" s="303" t="s">
        <v>1753</v>
      </c>
      <c r="K533" s="303" t="s">
        <v>2112</v>
      </c>
      <c r="L533" s="303" t="s">
        <v>1956</v>
      </c>
      <c r="M533" s="303" t="s">
        <v>2864</v>
      </c>
      <c r="N533" s="303" t="s">
        <v>1987</v>
      </c>
      <c r="O533" s="303" t="s">
        <v>1986</v>
      </c>
      <c r="P533" s="328">
        <v>43374</v>
      </c>
      <c r="Q533" s="303" t="s">
        <v>1952</v>
      </c>
      <c r="R533" s="303">
        <f t="shared" si="12"/>
        <v>1</v>
      </c>
      <c r="S533" s="303">
        <v>0</v>
      </c>
    </row>
    <row r="534" spans="1:19" x14ac:dyDescent="0.25">
      <c r="A534" s="303" t="s">
        <v>2863</v>
      </c>
      <c r="B534" s="303" t="s">
        <v>2862</v>
      </c>
      <c r="C534" s="328">
        <v>43375</v>
      </c>
      <c r="D534" s="303" t="s">
        <v>1965</v>
      </c>
      <c r="E534" s="303" t="s">
        <v>1964</v>
      </c>
      <c r="F534" s="303" t="s">
        <v>2014</v>
      </c>
      <c r="G534" s="303" t="s">
        <v>2123</v>
      </c>
      <c r="H534" s="303" t="s">
        <v>1956</v>
      </c>
      <c r="I534" s="304">
        <v>18161</v>
      </c>
      <c r="J534" s="303" t="s">
        <v>2014</v>
      </c>
      <c r="K534" s="303" t="s">
        <v>2054</v>
      </c>
      <c r="L534" s="303" t="s">
        <v>1956</v>
      </c>
      <c r="M534" s="303" t="s">
        <v>2861</v>
      </c>
      <c r="N534" s="303" t="s">
        <v>1987</v>
      </c>
      <c r="O534" s="303" t="s">
        <v>1986</v>
      </c>
      <c r="P534" s="328">
        <v>43375</v>
      </c>
      <c r="Q534" s="303" t="s">
        <v>1952</v>
      </c>
      <c r="R534" s="303">
        <f t="shared" si="12"/>
        <v>1</v>
      </c>
      <c r="S534" s="303">
        <v>0</v>
      </c>
    </row>
    <row r="535" spans="1:19" x14ac:dyDescent="0.25">
      <c r="A535" s="303" t="s">
        <v>2863</v>
      </c>
      <c r="B535" s="303" t="s">
        <v>2862</v>
      </c>
      <c r="C535" s="328">
        <v>43375</v>
      </c>
      <c r="D535" s="303" t="s">
        <v>1961</v>
      </c>
      <c r="E535" s="303" t="s">
        <v>1960</v>
      </c>
      <c r="F535" s="303" t="s">
        <v>2014</v>
      </c>
      <c r="G535" s="303" t="s">
        <v>2123</v>
      </c>
      <c r="H535" s="303" t="s">
        <v>1956</v>
      </c>
      <c r="I535" s="304">
        <v>-18161</v>
      </c>
      <c r="J535" s="303" t="s">
        <v>2014</v>
      </c>
      <c r="K535" s="303" t="s">
        <v>2054</v>
      </c>
      <c r="L535" s="303" t="s">
        <v>1956</v>
      </c>
      <c r="M535" s="303" t="s">
        <v>2861</v>
      </c>
      <c r="N535" s="303" t="s">
        <v>1987</v>
      </c>
      <c r="O535" s="303" t="s">
        <v>1986</v>
      </c>
      <c r="P535" s="328">
        <v>43375</v>
      </c>
      <c r="Q535" s="303" t="s">
        <v>1952</v>
      </c>
      <c r="R535" s="303">
        <f t="shared" si="12"/>
        <v>1</v>
      </c>
      <c r="S535" s="303">
        <v>0</v>
      </c>
    </row>
    <row r="536" spans="1:19" x14ac:dyDescent="0.25">
      <c r="A536" s="303" t="s">
        <v>2860</v>
      </c>
      <c r="B536" s="303" t="s">
        <v>2859</v>
      </c>
      <c r="C536" s="328">
        <v>43376</v>
      </c>
      <c r="D536" s="303" t="s">
        <v>1965</v>
      </c>
      <c r="E536" s="303" t="s">
        <v>1964</v>
      </c>
      <c r="F536" s="303" t="s">
        <v>1920</v>
      </c>
      <c r="G536" s="303" t="s">
        <v>1376</v>
      </c>
      <c r="H536" s="303" t="s">
        <v>1956</v>
      </c>
      <c r="I536" s="304">
        <v>17873</v>
      </c>
      <c r="J536" s="303" t="s">
        <v>1609</v>
      </c>
      <c r="K536" s="303" t="s">
        <v>1609</v>
      </c>
      <c r="L536" s="303" t="s">
        <v>1609</v>
      </c>
      <c r="M536" s="303" t="s">
        <v>2858</v>
      </c>
      <c r="N536" s="303" t="s">
        <v>2031</v>
      </c>
      <c r="O536" s="303" t="s">
        <v>2030</v>
      </c>
      <c r="P536" s="328">
        <v>43376</v>
      </c>
      <c r="Q536" s="303" t="s">
        <v>1952</v>
      </c>
      <c r="R536" s="303">
        <f t="shared" si="12"/>
        <v>1</v>
      </c>
      <c r="S536" s="303">
        <v>1</v>
      </c>
    </row>
    <row r="537" spans="1:19" x14ac:dyDescent="0.25">
      <c r="A537" s="303" t="s">
        <v>2857</v>
      </c>
      <c r="B537" s="303" t="s">
        <v>2856</v>
      </c>
      <c r="C537" s="328">
        <v>43376</v>
      </c>
      <c r="D537" s="303" t="s">
        <v>1965</v>
      </c>
      <c r="E537" s="303" t="s">
        <v>1964</v>
      </c>
      <c r="F537" s="303" t="s">
        <v>1679</v>
      </c>
      <c r="G537" s="303" t="s">
        <v>1552</v>
      </c>
      <c r="H537" s="303" t="s">
        <v>1956</v>
      </c>
      <c r="I537" s="304">
        <v>10138</v>
      </c>
      <c r="J537" s="303" t="s">
        <v>1609</v>
      </c>
      <c r="K537" s="303" t="s">
        <v>1609</v>
      </c>
      <c r="L537" s="303" t="s">
        <v>1609</v>
      </c>
      <c r="M537" s="303" t="s">
        <v>2855</v>
      </c>
      <c r="N537" s="303" t="s">
        <v>2031</v>
      </c>
      <c r="O537" s="303" t="s">
        <v>2030</v>
      </c>
      <c r="P537" s="328">
        <v>43376</v>
      </c>
      <c r="Q537" s="303" t="s">
        <v>1952</v>
      </c>
      <c r="R537" s="303">
        <f t="shared" si="12"/>
        <v>1</v>
      </c>
      <c r="S537" s="303">
        <v>1</v>
      </c>
    </row>
    <row r="538" spans="1:19" x14ac:dyDescent="0.25">
      <c r="A538" s="303" t="s">
        <v>2854</v>
      </c>
      <c r="B538" s="303" t="s">
        <v>2853</v>
      </c>
      <c r="C538" s="328">
        <v>43377</v>
      </c>
      <c r="D538" s="303" t="s">
        <v>1965</v>
      </c>
      <c r="E538" s="303" t="s">
        <v>1964</v>
      </c>
      <c r="F538" s="303" t="s">
        <v>2014</v>
      </c>
      <c r="G538" s="303" t="s">
        <v>2072</v>
      </c>
      <c r="H538" s="303" t="s">
        <v>1956</v>
      </c>
      <c r="I538" s="304">
        <v>15000</v>
      </c>
      <c r="J538" s="303" t="s">
        <v>1753</v>
      </c>
      <c r="K538" s="303" t="s">
        <v>2112</v>
      </c>
      <c r="L538" s="303" t="s">
        <v>1956</v>
      </c>
      <c r="M538" s="303" t="s">
        <v>2852</v>
      </c>
      <c r="N538" s="303" t="s">
        <v>1987</v>
      </c>
      <c r="O538" s="303" t="s">
        <v>1986</v>
      </c>
      <c r="P538" s="328">
        <v>43377</v>
      </c>
      <c r="Q538" s="303" t="s">
        <v>1952</v>
      </c>
      <c r="R538" s="303">
        <f t="shared" si="12"/>
        <v>1</v>
      </c>
      <c r="S538" s="303">
        <v>0</v>
      </c>
    </row>
    <row r="539" spans="1:19" x14ac:dyDescent="0.25">
      <c r="A539" s="303" t="s">
        <v>2854</v>
      </c>
      <c r="B539" s="303" t="s">
        <v>2853</v>
      </c>
      <c r="C539" s="328">
        <v>43377</v>
      </c>
      <c r="D539" s="303" t="s">
        <v>1961</v>
      </c>
      <c r="E539" s="303" t="s">
        <v>1960</v>
      </c>
      <c r="F539" s="303" t="s">
        <v>2014</v>
      </c>
      <c r="G539" s="303" t="s">
        <v>2072</v>
      </c>
      <c r="H539" s="303" t="s">
        <v>1956</v>
      </c>
      <c r="I539" s="304">
        <v>-15000</v>
      </c>
      <c r="J539" s="303" t="s">
        <v>1753</v>
      </c>
      <c r="K539" s="303" t="s">
        <v>2112</v>
      </c>
      <c r="L539" s="303" t="s">
        <v>1956</v>
      </c>
      <c r="M539" s="303" t="s">
        <v>2852</v>
      </c>
      <c r="N539" s="303" t="s">
        <v>1987</v>
      </c>
      <c r="O539" s="303" t="s">
        <v>1986</v>
      </c>
      <c r="P539" s="328">
        <v>43377</v>
      </c>
      <c r="Q539" s="303" t="s">
        <v>1952</v>
      </c>
      <c r="R539" s="303">
        <f t="shared" si="12"/>
        <v>1</v>
      </c>
      <c r="S539" s="303">
        <v>0</v>
      </c>
    </row>
    <row r="540" spans="1:19" x14ac:dyDescent="0.25">
      <c r="A540" s="303" t="s">
        <v>2851</v>
      </c>
      <c r="B540" s="303" t="s">
        <v>2850</v>
      </c>
      <c r="C540" s="328">
        <v>43378</v>
      </c>
      <c r="D540" s="303" t="s">
        <v>1965</v>
      </c>
      <c r="E540" s="303" t="s">
        <v>1964</v>
      </c>
      <c r="F540" s="303" t="s">
        <v>1888</v>
      </c>
      <c r="G540" s="303" t="s">
        <v>2849</v>
      </c>
      <c r="H540" s="303" t="s">
        <v>1956</v>
      </c>
      <c r="I540" s="304">
        <v>280</v>
      </c>
      <c r="J540" s="303" t="s">
        <v>1609</v>
      </c>
      <c r="K540" s="303" t="s">
        <v>1609</v>
      </c>
      <c r="L540" s="303" t="s">
        <v>1609</v>
      </c>
      <c r="M540" s="303" t="s">
        <v>2848</v>
      </c>
      <c r="N540" s="303" t="s">
        <v>2847</v>
      </c>
      <c r="O540" s="303" t="s">
        <v>2846</v>
      </c>
      <c r="P540" s="328">
        <v>43378</v>
      </c>
      <c r="Q540" s="303" t="s">
        <v>1952</v>
      </c>
      <c r="R540" s="303">
        <f t="shared" si="12"/>
        <v>1</v>
      </c>
      <c r="S540" s="303">
        <v>1</v>
      </c>
    </row>
    <row r="541" spans="1:19" x14ac:dyDescent="0.25">
      <c r="A541" s="303" t="s">
        <v>2845</v>
      </c>
      <c r="B541" s="303" t="s">
        <v>2844</v>
      </c>
      <c r="C541" s="328">
        <v>43378</v>
      </c>
      <c r="D541" s="303" t="s">
        <v>1965</v>
      </c>
      <c r="E541" s="303" t="s">
        <v>1964</v>
      </c>
      <c r="F541" s="303" t="s">
        <v>1989</v>
      </c>
      <c r="G541" s="303" t="s">
        <v>1439</v>
      </c>
      <c r="H541" s="303" t="s">
        <v>1956</v>
      </c>
      <c r="I541" s="304">
        <v>621</v>
      </c>
      <c r="J541" s="303" t="s">
        <v>1958</v>
      </c>
      <c r="K541" s="303" t="s">
        <v>1957</v>
      </c>
      <c r="L541" s="303" t="s">
        <v>1956</v>
      </c>
      <c r="M541" s="303" t="s">
        <v>2843</v>
      </c>
      <c r="N541" s="303" t="s">
        <v>1987</v>
      </c>
      <c r="O541" s="303" t="s">
        <v>1986</v>
      </c>
      <c r="P541" s="328">
        <v>43378</v>
      </c>
      <c r="Q541" s="303" t="s">
        <v>1952</v>
      </c>
      <c r="R541" s="303">
        <f t="shared" si="12"/>
        <v>1</v>
      </c>
      <c r="S541" s="303">
        <v>0</v>
      </c>
    </row>
    <row r="542" spans="1:19" x14ac:dyDescent="0.25">
      <c r="A542" s="303" t="s">
        <v>2845</v>
      </c>
      <c r="B542" s="303" t="s">
        <v>2844</v>
      </c>
      <c r="C542" s="328">
        <v>43378</v>
      </c>
      <c r="D542" s="303" t="s">
        <v>1961</v>
      </c>
      <c r="E542" s="303" t="s">
        <v>1960</v>
      </c>
      <c r="F542" s="303" t="s">
        <v>1989</v>
      </c>
      <c r="G542" s="303" t="s">
        <v>1439</v>
      </c>
      <c r="H542" s="303" t="s">
        <v>1956</v>
      </c>
      <c r="I542" s="304">
        <v>-621</v>
      </c>
      <c r="J542" s="303" t="s">
        <v>1958</v>
      </c>
      <c r="K542" s="303" t="s">
        <v>1957</v>
      </c>
      <c r="L542" s="303" t="s">
        <v>1956</v>
      </c>
      <c r="M542" s="303" t="s">
        <v>2843</v>
      </c>
      <c r="N542" s="303" t="s">
        <v>1987</v>
      </c>
      <c r="O542" s="303" t="s">
        <v>1986</v>
      </c>
      <c r="P542" s="328">
        <v>43378</v>
      </c>
      <c r="Q542" s="303" t="s">
        <v>1952</v>
      </c>
      <c r="R542" s="303">
        <f t="shared" si="12"/>
        <v>1</v>
      </c>
      <c r="S542" s="303">
        <v>0</v>
      </c>
    </row>
    <row r="543" spans="1:19" x14ac:dyDescent="0.25">
      <c r="A543" s="303" t="s">
        <v>2842</v>
      </c>
      <c r="B543" s="303" t="s">
        <v>2841</v>
      </c>
      <c r="C543" s="328">
        <v>43378</v>
      </c>
      <c r="D543" s="303" t="s">
        <v>1965</v>
      </c>
      <c r="E543" s="303" t="s">
        <v>1964</v>
      </c>
      <c r="F543" s="303" t="s">
        <v>1989</v>
      </c>
      <c r="G543" s="303" t="s">
        <v>1439</v>
      </c>
      <c r="H543" s="303" t="s">
        <v>1956</v>
      </c>
      <c r="I543" s="304">
        <v>2643</v>
      </c>
      <c r="J543" s="303" t="s">
        <v>1967</v>
      </c>
      <c r="K543" s="303" t="s">
        <v>1439</v>
      </c>
      <c r="L543" s="303" t="s">
        <v>1956</v>
      </c>
      <c r="M543" s="303" t="s">
        <v>2840</v>
      </c>
      <c r="N543" s="303" t="s">
        <v>1987</v>
      </c>
      <c r="O543" s="303" t="s">
        <v>1986</v>
      </c>
      <c r="P543" s="328">
        <v>43378</v>
      </c>
      <c r="Q543" s="303" t="s">
        <v>1952</v>
      </c>
      <c r="R543" s="303">
        <f t="shared" si="12"/>
        <v>1</v>
      </c>
      <c r="S543" s="303">
        <v>0</v>
      </c>
    </row>
    <row r="544" spans="1:19" x14ac:dyDescent="0.25">
      <c r="A544" s="303" t="s">
        <v>2842</v>
      </c>
      <c r="B544" s="303" t="s">
        <v>2841</v>
      </c>
      <c r="C544" s="328">
        <v>43378</v>
      </c>
      <c r="D544" s="303" t="s">
        <v>1961</v>
      </c>
      <c r="E544" s="303" t="s">
        <v>1960</v>
      </c>
      <c r="F544" s="303" t="s">
        <v>1989</v>
      </c>
      <c r="G544" s="303" t="s">
        <v>1439</v>
      </c>
      <c r="H544" s="303" t="s">
        <v>1956</v>
      </c>
      <c r="I544" s="304">
        <v>-2643</v>
      </c>
      <c r="J544" s="303" t="s">
        <v>1967</v>
      </c>
      <c r="K544" s="303" t="s">
        <v>1439</v>
      </c>
      <c r="L544" s="303" t="s">
        <v>1956</v>
      </c>
      <c r="M544" s="303" t="s">
        <v>2840</v>
      </c>
      <c r="N544" s="303" t="s">
        <v>1987</v>
      </c>
      <c r="O544" s="303" t="s">
        <v>1986</v>
      </c>
      <c r="P544" s="328">
        <v>43378</v>
      </c>
      <c r="Q544" s="303" t="s">
        <v>1952</v>
      </c>
      <c r="R544" s="303">
        <f t="shared" si="12"/>
        <v>1</v>
      </c>
      <c r="S544" s="303">
        <v>0</v>
      </c>
    </row>
    <row r="545" spans="1:19" x14ac:dyDescent="0.25">
      <c r="A545" s="303" t="s">
        <v>2839</v>
      </c>
      <c r="B545" s="303" t="s">
        <v>2838</v>
      </c>
      <c r="C545" s="328">
        <v>43381</v>
      </c>
      <c r="D545" s="303" t="s">
        <v>1965</v>
      </c>
      <c r="E545" s="303" t="s">
        <v>1964</v>
      </c>
      <c r="F545" s="303" t="s">
        <v>1894</v>
      </c>
      <c r="G545" s="303" t="s">
        <v>1403</v>
      </c>
      <c r="H545" s="303" t="s">
        <v>1956</v>
      </c>
      <c r="I545" s="304">
        <v>6591</v>
      </c>
      <c r="J545" s="303" t="s">
        <v>1958</v>
      </c>
      <c r="K545" s="303" t="s">
        <v>1957</v>
      </c>
      <c r="L545" s="303" t="s">
        <v>1956</v>
      </c>
      <c r="M545" s="303" t="s">
        <v>2022</v>
      </c>
      <c r="N545" s="303" t="s">
        <v>1987</v>
      </c>
      <c r="O545" s="303" t="s">
        <v>1986</v>
      </c>
      <c r="P545" s="328">
        <v>43381</v>
      </c>
      <c r="Q545" s="303" t="s">
        <v>1952</v>
      </c>
      <c r="R545" s="303">
        <f t="shared" si="12"/>
        <v>0</v>
      </c>
      <c r="S545" s="303">
        <v>0</v>
      </c>
    </row>
    <row r="546" spans="1:19" x14ac:dyDescent="0.25">
      <c r="A546" s="303" t="s">
        <v>2839</v>
      </c>
      <c r="B546" s="303" t="s">
        <v>2838</v>
      </c>
      <c r="C546" s="328">
        <v>43381</v>
      </c>
      <c r="D546" s="303" t="s">
        <v>1961</v>
      </c>
      <c r="E546" s="303" t="s">
        <v>1960</v>
      </c>
      <c r="F546" s="303" t="s">
        <v>1894</v>
      </c>
      <c r="G546" s="303" t="s">
        <v>1403</v>
      </c>
      <c r="H546" s="303" t="s">
        <v>1956</v>
      </c>
      <c r="I546" s="304">
        <v>-6591</v>
      </c>
      <c r="J546" s="303" t="s">
        <v>1958</v>
      </c>
      <c r="K546" s="303" t="s">
        <v>1957</v>
      </c>
      <c r="L546" s="303" t="s">
        <v>1956</v>
      </c>
      <c r="M546" s="303" t="s">
        <v>2022</v>
      </c>
      <c r="N546" s="303" t="s">
        <v>1987</v>
      </c>
      <c r="O546" s="303" t="s">
        <v>1986</v>
      </c>
      <c r="P546" s="328">
        <v>43381</v>
      </c>
      <c r="Q546" s="303" t="s">
        <v>1952</v>
      </c>
      <c r="R546" s="303">
        <f t="shared" si="12"/>
        <v>0</v>
      </c>
      <c r="S546" s="303">
        <v>0</v>
      </c>
    </row>
    <row r="547" spans="1:19" x14ac:dyDescent="0.25">
      <c r="A547" s="303" t="s">
        <v>2837</v>
      </c>
      <c r="B547" s="303" t="s">
        <v>2836</v>
      </c>
      <c r="C547" s="328">
        <v>43381</v>
      </c>
      <c r="D547" s="303" t="s">
        <v>1965</v>
      </c>
      <c r="E547" s="303" t="s">
        <v>1964</v>
      </c>
      <c r="F547" s="303" t="s">
        <v>1894</v>
      </c>
      <c r="G547" s="303" t="s">
        <v>1403</v>
      </c>
      <c r="H547" s="303" t="s">
        <v>1956</v>
      </c>
      <c r="I547" s="304">
        <v>28048</v>
      </c>
      <c r="J547" s="303" t="s">
        <v>1967</v>
      </c>
      <c r="K547" s="303" t="s">
        <v>1403</v>
      </c>
      <c r="L547" s="303" t="s">
        <v>1956</v>
      </c>
      <c r="M547" s="303" t="s">
        <v>2019</v>
      </c>
      <c r="N547" s="303" t="s">
        <v>1987</v>
      </c>
      <c r="O547" s="303" t="s">
        <v>1986</v>
      </c>
      <c r="P547" s="328">
        <v>43381</v>
      </c>
      <c r="Q547" s="303" t="s">
        <v>1952</v>
      </c>
      <c r="R547" s="303">
        <f t="shared" si="12"/>
        <v>0</v>
      </c>
      <c r="S547" s="303">
        <v>0</v>
      </c>
    </row>
    <row r="548" spans="1:19" x14ac:dyDescent="0.25">
      <c r="A548" s="303" t="s">
        <v>2837</v>
      </c>
      <c r="B548" s="303" t="s">
        <v>2836</v>
      </c>
      <c r="C548" s="328">
        <v>43381</v>
      </c>
      <c r="D548" s="303" t="s">
        <v>1961</v>
      </c>
      <c r="E548" s="303" t="s">
        <v>1960</v>
      </c>
      <c r="F548" s="303" t="s">
        <v>1894</v>
      </c>
      <c r="G548" s="303" t="s">
        <v>1403</v>
      </c>
      <c r="H548" s="303" t="s">
        <v>1956</v>
      </c>
      <c r="I548" s="304">
        <v>-28048</v>
      </c>
      <c r="J548" s="303" t="s">
        <v>1967</v>
      </c>
      <c r="K548" s="303" t="s">
        <v>1403</v>
      </c>
      <c r="L548" s="303" t="s">
        <v>1956</v>
      </c>
      <c r="M548" s="303" t="s">
        <v>2019</v>
      </c>
      <c r="N548" s="303" t="s">
        <v>1987</v>
      </c>
      <c r="O548" s="303" t="s">
        <v>1986</v>
      </c>
      <c r="P548" s="328">
        <v>43381</v>
      </c>
      <c r="Q548" s="303" t="s">
        <v>1952</v>
      </c>
      <c r="R548" s="303">
        <f t="shared" si="12"/>
        <v>0</v>
      </c>
      <c r="S548" s="303">
        <v>0</v>
      </c>
    </row>
    <row r="549" spans="1:19" x14ac:dyDescent="0.25">
      <c r="A549" s="303" t="s">
        <v>2835</v>
      </c>
      <c r="B549" s="303" t="s">
        <v>2834</v>
      </c>
      <c r="C549" s="328">
        <v>43381</v>
      </c>
      <c r="D549" s="303" t="s">
        <v>1965</v>
      </c>
      <c r="E549" s="303" t="s">
        <v>1964</v>
      </c>
      <c r="F549" s="303" t="s">
        <v>1824</v>
      </c>
      <c r="G549" s="303" t="s">
        <v>1433</v>
      </c>
      <c r="H549" s="303" t="s">
        <v>1956</v>
      </c>
      <c r="I549" s="304">
        <v>8602</v>
      </c>
      <c r="J549" s="303" t="s">
        <v>1958</v>
      </c>
      <c r="K549" s="303" t="s">
        <v>1957</v>
      </c>
      <c r="L549" s="303" t="s">
        <v>1956</v>
      </c>
      <c r="M549" s="303" t="s">
        <v>2022</v>
      </c>
      <c r="N549" s="303" t="s">
        <v>1987</v>
      </c>
      <c r="O549" s="303" t="s">
        <v>1986</v>
      </c>
      <c r="P549" s="328">
        <v>43381</v>
      </c>
      <c r="Q549" s="303" t="s">
        <v>1952</v>
      </c>
      <c r="R549" s="303">
        <f t="shared" si="12"/>
        <v>0</v>
      </c>
      <c r="S549" s="303">
        <v>0</v>
      </c>
    </row>
    <row r="550" spans="1:19" x14ac:dyDescent="0.25">
      <c r="A550" s="303" t="s">
        <v>2835</v>
      </c>
      <c r="B550" s="303" t="s">
        <v>2834</v>
      </c>
      <c r="C550" s="328">
        <v>43381</v>
      </c>
      <c r="D550" s="303" t="s">
        <v>1961</v>
      </c>
      <c r="E550" s="303" t="s">
        <v>1960</v>
      </c>
      <c r="F550" s="303" t="s">
        <v>1824</v>
      </c>
      <c r="G550" s="303" t="s">
        <v>1433</v>
      </c>
      <c r="H550" s="303" t="s">
        <v>1956</v>
      </c>
      <c r="I550" s="304">
        <v>-8602</v>
      </c>
      <c r="J550" s="303" t="s">
        <v>1958</v>
      </c>
      <c r="K550" s="303" t="s">
        <v>1957</v>
      </c>
      <c r="L550" s="303" t="s">
        <v>1956</v>
      </c>
      <c r="M550" s="303" t="s">
        <v>2022</v>
      </c>
      <c r="N550" s="303" t="s">
        <v>1987</v>
      </c>
      <c r="O550" s="303" t="s">
        <v>1986</v>
      </c>
      <c r="P550" s="328">
        <v>43381</v>
      </c>
      <c r="Q550" s="303" t="s">
        <v>1952</v>
      </c>
      <c r="R550" s="303">
        <f t="shared" si="12"/>
        <v>0</v>
      </c>
      <c r="S550" s="303">
        <v>0</v>
      </c>
    </row>
    <row r="551" spans="1:19" x14ac:dyDescent="0.25">
      <c r="A551" s="303" t="s">
        <v>2833</v>
      </c>
      <c r="B551" s="303" t="s">
        <v>2832</v>
      </c>
      <c r="C551" s="328">
        <v>43381</v>
      </c>
      <c r="D551" s="303" t="s">
        <v>1965</v>
      </c>
      <c r="E551" s="303" t="s">
        <v>1964</v>
      </c>
      <c r="F551" s="303" t="s">
        <v>1824</v>
      </c>
      <c r="G551" s="303" t="s">
        <v>1433</v>
      </c>
      <c r="H551" s="303" t="s">
        <v>1956</v>
      </c>
      <c r="I551" s="304">
        <v>36606</v>
      </c>
      <c r="J551" s="303" t="s">
        <v>1967</v>
      </c>
      <c r="K551" s="303" t="s">
        <v>1433</v>
      </c>
      <c r="L551" s="303" t="s">
        <v>1956</v>
      </c>
      <c r="M551" s="303" t="s">
        <v>2019</v>
      </c>
      <c r="N551" s="303" t="s">
        <v>1987</v>
      </c>
      <c r="O551" s="303" t="s">
        <v>1986</v>
      </c>
      <c r="P551" s="328">
        <v>43381</v>
      </c>
      <c r="Q551" s="303" t="s">
        <v>1952</v>
      </c>
      <c r="R551" s="303">
        <f t="shared" si="12"/>
        <v>0</v>
      </c>
      <c r="S551" s="303">
        <v>0</v>
      </c>
    </row>
    <row r="552" spans="1:19" x14ac:dyDescent="0.25">
      <c r="A552" s="303" t="s">
        <v>2833</v>
      </c>
      <c r="B552" s="303" t="s">
        <v>2832</v>
      </c>
      <c r="C552" s="328">
        <v>43381</v>
      </c>
      <c r="D552" s="303" t="s">
        <v>1961</v>
      </c>
      <c r="E552" s="303" t="s">
        <v>1960</v>
      </c>
      <c r="F552" s="303" t="s">
        <v>1824</v>
      </c>
      <c r="G552" s="303" t="s">
        <v>1433</v>
      </c>
      <c r="H552" s="303" t="s">
        <v>1956</v>
      </c>
      <c r="I552" s="304">
        <v>-36606</v>
      </c>
      <c r="J552" s="303" t="s">
        <v>1967</v>
      </c>
      <c r="K552" s="303" t="s">
        <v>1433</v>
      </c>
      <c r="L552" s="303" t="s">
        <v>1956</v>
      </c>
      <c r="M552" s="303" t="s">
        <v>2019</v>
      </c>
      <c r="N552" s="303" t="s">
        <v>1987</v>
      </c>
      <c r="O552" s="303" t="s">
        <v>1986</v>
      </c>
      <c r="P552" s="328">
        <v>43381</v>
      </c>
      <c r="Q552" s="303" t="s">
        <v>1952</v>
      </c>
      <c r="R552" s="303">
        <f t="shared" si="12"/>
        <v>0</v>
      </c>
      <c r="S552" s="303">
        <v>0</v>
      </c>
    </row>
    <row r="553" spans="1:19" x14ac:dyDescent="0.25">
      <c r="A553" s="303" t="s">
        <v>2831</v>
      </c>
      <c r="B553" s="303" t="s">
        <v>2830</v>
      </c>
      <c r="C553" s="328">
        <v>43381</v>
      </c>
      <c r="D553" s="303" t="s">
        <v>1965</v>
      </c>
      <c r="E553" s="303" t="s">
        <v>1964</v>
      </c>
      <c r="F553" s="303" t="s">
        <v>1647</v>
      </c>
      <c r="G553" s="303" t="s">
        <v>1573</v>
      </c>
      <c r="H553" s="303" t="s">
        <v>1956</v>
      </c>
      <c r="I553" s="304">
        <v>5875</v>
      </c>
      <c r="J553" s="303" t="s">
        <v>1958</v>
      </c>
      <c r="K553" s="303" t="s">
        <v>1957</v>
      </c>
      <c r="L553" s="303" t="s">
        <v>1956</v>
      </c>
      <c r="M553" s="303" t="s">
        <v>2022</v>
      </c>
      <c r="N553" s="303" t="s">
        <v>1987</v>
      </c>
      <c r="O553" s="303" t="s">
        <v>1986</v>
      </c>
      <c r="P553" s="328">
        <v>43381</v>
      </c>
      <c r="Q553" s="303" t="s">
        <v>1952</v>
      </c>
      <c r="R553" s="303">
        <f t="shared" si="12"/>
        <v>0</v>
      </c>
      <c r="S553" s="303">
        <v>0</v>
      </c>
    </row>
    <row r="554" spans="1:19" x14ac:dyDescent="0.25">
      <c r="A554" s="303" t="s">
        <v>2831</v>
      </c>
      <c r="B554" s="303" t="s">
        <v>2830</v>
      </c>
      <c r="C554" s="328">
        <v>43381</v>
      </c>
      <c r="D554" s="303" t="s">
        <v>1961</v>
      </c>
      <c r="E554" s="303" t="s">
        <v>1960</v>
      </c>
      <c r="F554" s="303" t="s">
        <v>1647</v>
      </c>
      <c r="G554" s="303" t="s">
        <v>1573</v>
      </c>
      <c r="H554" s="303" t="s">
        <v>1956</v>
      </c>
      <c r="I554" s="304">
        <v>-5875</v>
      </c>
      <c r="J554" s="303" t="s">
        <v>1958</v>
      </c>
      <c r="K554" s="303" t="s">
        <v>1957</v>
      </c>
      <c r="L554" s="303" t="s">
        <v>1956</v>
      </c>
      <c r="M554" s="303" t="s">
        <v>2022</v>
      </c>
      <c r="N554" s="303" t="s">
        <v>1987</v>
      </c>
      <c r="O554" s="303" t="s">
        <v>1986</v>
      </c>
      <c r="P554" s="328">
        <v>43381</v>
      </c>
      <c r="Q554" s="303" t="s">
        <v>1952</v>
      </c>
      <c r="R554" s="303">
        <f t="shared" si="12"/>
        <v>0</v>
      </c>
      <c r="S554" s="303">
        <v>0</v>
      </c>
    </row>
    <row r="555" spans="1:19" x14ac:dyDescent="0.25">
      <c r="A555" s="303" t="s">
        <v>2829</v>
      </c>
      <c r="B555" s="303" t="s">
        <v>2828</v>
      </c>
      <c r="C555" s="328">
        <v>43381</v>
      </c>
      <c r="D555" s="303" t="s">
        <v>1965</v>
      </c>
      <c r="E555" s="303" t="s">
        <v>1964</v>
      </c>
      <c r="F555" s="303" t="s">
        <v>1647</v>
      </c>
      <c r="G555" s="303" t="s">
        <v>1573</v>
      </c>
      <c r="H555" s="303" t="s">
        <v>1956</v>
      </c>
      <c r="I555" s="304">
        <v>25000</v>
      </c>
      <c r="J555" s="303" t="s">
        <v>1967</v>
      </c>
      <c r="K555" s="303" t="s">
        <v>1573</v>
      </c>
      <c r="L555" s="303" t="s">
        <v>1956</v>
      </c>
      <c r="M555" s="303" t="s">
        <v>2019</v>
      </c>
      <c r="N555" s="303" t="s">
        <v>1987</v>
      </c>
      <c r="O555" s="303" t="s">
        <v>1986</v>
      </c>
      <c r="P555" s="328">
        <v>43381</v>
      </c>
      <c r="Q555" s="303" t="s">
        <v>1952</v>
      </c>
      <c r="R555" s="303">
        <f t="shared" si="12"/>
        <v>0</v>
      </c>
      <c r="S555" s="303">
        <v>0</v>
      </c>
    </row>
    <row r="556" spans="1:19" x14ac:dyDescent="0.25">
      <c r="A556" s="303" t="s">
        <v>2829</v>
      </c>
      <c r="B556" s="303" t="s">
        <v>2828</v>
      </c>
      <c r="C556" s="328">
        <v>43381</v>
      </c>
      <c r="D556" s="303" t="s">
        <v>1961</v>
      </c>
      <c r="E556" s="303" t="s">
        <v>1960</v>
      </c>
      <c r="F556" s="303" t="s">
        <v>1647</v>
      </c>
      <c r="G556" s="303" t="s">
        <v>1573</v>
      </c>
      <c r="H556" s="303" t="s">
        <v>1956</v>
      </c>
      <c r="I556" s="304">
        <v>-25000</v>
      </c>
      <c r="J556" s="303" t="s">
        <v>1967</v>
      </c>
      <c r="K556" s="303" t="s">
        <v>1573</v>
      </c>
      <c r="L556" s="303" t="s">
        <v>1956</v>
      </c>
      <c r="M556" s="303" t="s">
        <v>2019</v>
      </c>
      <c r="N556" s="303" t="s">
        <v>1987</v>
      </c>
      <c r="O556" s="303" t="s">
        <v>1986</v>
      </c>
      <c r="P556" s="328">
        <v>43381</v>
      </c>
      <c r="Q556" s="303" t="s">
        <v>1952</v>
      </c>
      <c r="R556" s="303">
        <f t="shared" si="12"/>
        <v>0</v>
      </c>
      <c r="S556" s="303">
        <v>0</v>
      </c>
    </row>
    <row r="557" spans="1:19" x14ac:dyDescent="0.25">
      <c r="A557" s="303" t="s">
        <v>2827</v>
      </c>
      <c r="B557" s="303" t="s">
        <v>2826</v>
      </c>
      <c r="C557" s="328">
        <v>43381</v>
      </c>
      <c r="D557" s="303" t="s">
        <v>1965</v>
      </c>
      <c r="E557" s="303" t="s">
        <v>1964</v>
      </c>
      <c r="F557" s="303" t="s">
        <v>1832</v>
      </c>
      <c r="G557" s="303" t="s">
        <v>1427</v>
      </c>
      <c r="H557" s="303" t="s">
        <v>1956</v>
      </c>
      <c r="I557" s="304">
        <v>900</v>
      </c>
      <c r="J557" s="303" t="s">
        <v>1609</v>
      </c>
      <c r="K557" s="303" t="s">
        <v>1609</v>
      </c>
      <c r="L557" s="303" t="s">
        <v>1609</v>
      </c>
      <c r="M557" s="303" t="s">
        <v>2825</v>
      </c>
      <c r="N557" s="303" t="s">
        <v>2031</v>
      </c>
      <c r="O557" s="303" t="s">
        <v>2030</v>
      </c>
      <c r="P557" s="328">
        <v>43381</v>
      </c>
      <c r="Q557" s="303" t="s">
        <v>1952</v>
      </c>
      <c r="R557" s="303">
        <f t="shared" si="12"/>
        <v>1</v>
      </c>
      <c r="S557" s="303">
        <v>1</v>
      </c>
    </row>
    <row r="558" spans="1:19" x14ac:dyDescent="0.25">
      <c r="A558" s="303" t="s">
        <v>2824</v>
      </c>
      <c r="B558" s="303" t="s">
        <v>2823</v>
      </c>
      <c r="C558" s="328">
        <v>43382</v>
      </c>
      <c r="D558" s="303" t="s">
        <v>1965</v>
      </c>
      <c r="E558" s="303" t="s">
        <v>1964</v>
      </c>
      <c r="F558" s="303" t="s">
        <v>1645</v>
      </c>
      <c r="G558" s="303" t="s">
        <v>1573</v>
      </c>
      <c r="H558" s="303" t="s">
        <v>1956</v>
      </c>
      <c r="I558" s="304">
        <v>8000</v>
      </c>
      <c r="J558" s="303" t="s">
        <v>1647</v>
      </c>
      <c r="K558" s="303" t="s">
        <v>1573</v>
      </c>
      <c r="L558" s="303" t="s">
        <v>1956</v>
      </c>
      <c r="M558" s="303" t="s">
        <v>2822</v>
      </c>
      <c r="N558" s="303" t="s">
        <v>1987</v>
      </c>
      <c r="O558" s="303" t="s">
        <v>1986</v>
      </c>
      <c r="P558" s="328">
        <v>43382</v>
      </c>
      <c r="Q558" s="303" t="s">
        <v>1952</v>
      </c>
      <c r="R558" s="303">
        <f t="shared" si="12"/>
        <v>1</v>
      </c>
      <c r="S558" s="303">
        <v>0</v>
      </c>
    </row>
    <row r="559" spans="1:19" x14ac:dyDescent="0.25">
      <c r="A559" s="303" t="s">
        <v>2824</v>
      </c>
      <c r="B559" s="303" t="s">
        <v>2823</v>
      </c>
      <c r="C559" s="328">
        <v>43382</v>
      </c>
      <c r="D559" s="303" t="s">
        <v>1961</v>
      </c>
      <c r="E559" s="303" t="s">
        <v>1960</v>
      </c>
      <c r="F559" s="303" t="s">
        <v>1645</v>
      </c>
      <c r="G559" s="303" t="s">
        <v>1573</v>
      </c>
      <c r="H559" s="303" t="s">
        <v>1956</v>
      </c>
      <c r="I559" s="304">
        <v>-8000</v>
      </c>
      <c r="J559" s="303" t="s">
        <v>1647</v>
      </c>
      <c r="K559" s="303" t="s">
        <v>1573</v>
      </c>
      <c r="L559" s="303" t="s">
        <v>1956</v>
      </c>
      <c r="M559" s="303" t="s">
        <v>2822</v>
      </c>
      <c r="N559" s="303" t="s">
        <v>1987</v>
      </c>
      <c r="O559" s="303" t="s">
        <v>1986</v>
      </c>
      <c r="P559" s="328">
        <v>43382</v>
      </c>
      <c r="Q559" s="303" t="s">
        <v>1952</v>
      </c>
      <c r="R559" s="303">
        <f t="shared" si="12"/>
        <v>1</v>
      </c>
      <c r="S559" s="303">
        <v>0</v>
      </c>
    </row>
    <row r="560" spans="1:19" x14ac:dyDescent="0.25">
      <c r="A560" s="303" t="s">
        <v>2821</v>
      </c>
      <c r="B560" s="303" t="s">
        <v>2820</v>
      </c>
      <c r="C560" s="328">
        <v>43382</v>
      </c>
      <c r="D560" s="303" t="s">
        <v>1961</v>
      </c>
      <c r="E560" s="303" t="s">
        <v>1960</v>
      </c>
      <c r="F560" s="303" t="s">
        <v>1609</v>
      </c>
      <c r="G560" s="303" t="s">
        <v>1609</v>
      </c>
      <c r="H560" s="303" t="s">
        <v>1609</v>
      </c>
      <c r="I560" s="304">
        <v>-2104</v>
      </c>
      <c r="J560" s="303" t="s">
        <v>1809</v>
      </c>
      <c r="K560" s="303" t="s">
        <v>1445</v>
      </c>
      <c r="L560" s="303" t="s">
        <v>1956</v>
      </c>
      <c r="M560" s="303" t="s">
        <v>2819</v>
      </c>
      <c r="N560" s="303" t="s">
        <v>1987</v>
      </c>
      <c r="O560" s="303" t="s">
        <v>1986</v>
      </c>
      <c r="P560" s="328">
        <v>43382</v>
      </c>
      <c r="Q560" s="303" t="s">
        <v>1952</v>
      </c>
      <c r="R560" s="303">
        <f t="shared" si="12"/>
        <v>1</v>
      </c>
      <c r="S560" s="303">
        <v>1</v>
      </c>
    </row>
    <row r="561" spans="1:19" x14ac:dyDescent="0.25">
      <c r="A561" s="303" t="s">
        <v>2818</v>
      </c>
      <c r="B561" s="303" t="s">
        <v>2817</v>
      </c>
      <c r="C561" s="328">
        <v>43382</v>
      </c>
      <c r="D561" s="303" t="s">
        <v>1965</v>
      </c>
      <c r="E561" s="303" t="s">
        <v>1964</v>
      </c>
      <c r="F561" s="303" t="s">
        <v>1733</v>
      </c>
      <c r="G561" s="303" t="s">
        <v>1493</v>
      </c>
      <c r="H561" s="303" t="s">
        <v>1956</v>
      </c>
      <c r="I561" s="304">
        <v>17249</v>
      </c>
      <c r="J561" s="303" t="s">
        <v>1958</v>
      </c>
      <c r="K561" s="303" t="s">
        <v>1957</v>
      </c>
      <c r="L561" s="303" t="s">
        <v>1956</v>
      </c>
      <c r="M561" s="303" t="s">
        <v>2022</v>
      </c>
      <c r="N561" s="303" t="s">
        <v>1987</v>
      </c>
      <c r="O561" s="303" t="s">
        <v>1986</v>
      </c>
      <c r="P561" s="328">
        <v>43382</v>
      </c>
      <c r="Q561" s="303" t="s">
        <v>1952</v>
      </c>
      <c r="R561" s="303">
        <f t="shared" si="12"/>
        <v>0</v>
      </c>
      <c r="S561" s="303">
        <v>0</v>
      </c>
    </row>
    <row r="562" spans="1:19" x14ac:dyDescent="0.25">
      <c r="A562" s="303" t="s">
        <v>2818</v>
      </c>
      <c r="B562" s="303" t="s">
        <v>2817</v>
      </c>
      <c r="C562" s="328">
        <v>43382</v>
      </c>
      <c r="D562" s="303" t="s">
        <v>1961</v>
      </c>
      <c r="E562" s="303" t="s">
        <v>1960</v>
      </c>
      <c r="F562" s="303" t="s">
        <v>1733</v>
      </c>
      <c r="G562" s="303" t="s">
        <v>1493</v>
      </c>
      <c r="H562" s="303" t="s">
        <v>1956</v>
      </c>
      <c r="I562" s="304">
        <v>-17249</v>
      </c>
      <c r="J562" s="303" t="s">
        <v>1958</v>
      </c>
      <c r="K562" s="303" t="s">
        <v>1957</v>
      </c>
      <c r="L562" s="303" t="s">
        <v>1956</v>
      </c>
      <c r="M562" s="303" t="s">
        <v>2022</v>
      </c>
      <c r="N562" s="303" t="s">
        <v>1987</v>
      </c>
      <c r="O562" s="303" t="s">
        <v>1986</v>
      </c>
      <c r="P562" s="328">
        <v>43382</v>
      </c>
      <c r="Q562" s="303" t="s">
        <v>1952</v>
      </c>
      <c r="R562" s="303">
        <f t="shared" si="12"/>
        <v>0</v>
      </c>
      <c r="S562" s="303">
        <v>0</v>
      </c>
    </row>
    <row r="563" spans="1:19" x14ac:dyDescent="0.25">
      <c r="A563" s="303" t="s">
        <v>2816</v>
      </c>
      <c r="B563" s="303" t="s">
        <v>2815</v>
      </c>
      <c r="C563" s="328">
        <v>43382</v>
      </c>
      <c r="D563" s="303" t="s">
        <v>1965</v>
      </c>
      <c r="E563" s="303" t="s">
        <v>1964</v>
      </c>
      <c r="F563" s="303" t="s">
        <v>1733</v>
      </c>
      <c r="G563" s="303" t="s">
        <v>1493</v>
      </c>
      <c r="H563" s="303" t="s">
        <v>1956</v>
      </c>
      <c r="I563" s="304">
        <v>73400</v>
      </c>
      <c r="J563" s="303" t="s">
        <v>1967</v>
      </c>
      <c r="K563" s="303" t="s">
        <v>1493</v>
      </c>
      <c r="L563" s="303" t="s">
        <v>1956</v>
      </c>
      <c r="M563" s="303" t="s">
        <v>2019</v>
      </c>
      <c r="N563" s="303" t="s">
        <v>1987</v>
      </c>
      <c r="O563" s="303" t="s">
        <v>1986</v>
      </c>
      <c r="P563" s="328">
        <v>43382</v>
      </c>
      <c r="Q563" s="303" t="s">
        <v>1952</v>
      </c>
      <c r="R563" s="303">
        <f t="shared" si="12"/>
        <v>0</v>
      </c>
      <c r="S563" s="303">
        <v>0</v>
      </c>
    </row>
    <row r="564" spans="1:19" x14ac:dyDescent="0.25">
      <c r="A564" s="303" t="s">
        <v>2816</v>
      </c>
      <c r="B564" s="303" t="s">
        <v>2815</v>
      </c>
      <c r="C564" s="328">
        <v>43382</v>
      </c>
      <c r="D564" s="303" t="s">
        <v>1961</v>
      </c>
      <c r="E564" s="303" t="s">
        <v>1960</v>
      </c>
      <c r="F564" s="303" t="s">
        <v>1733</v>
      </c>
      <c r="G564" s="303" t="s">
        <v>1493</v>
      </c>
      <c r="H564" s="303" t="s">
        <v>1956</v>
      </c>
      <c r="I564" s="304">
        <v>-73400</v>
      </c>
      <c r="J564" s="303" t="s">
        <v>1967</v>
      </c>
      <c r="K564" s="303" t="s">
        <v>1493</v>
      </c>
      <c r="L564" s="303" t="s">
        <v>1956</v>
      </c>
      <c r="M564" s="303" t="s">
        <v>2019</v>
      </c>
      <c r="N564" s="303" t="s">
        <v>1987</v>
      </c>
      <c r="O564" s="303" t="s">
        <v>1986</v>
      </c>
      <c r="P564" s="328">
        <v>43382</v>
      </c>
      <c r="Q564" s="303" t="s">
        <v>1952</v>
      </c>
      <c r="R564" s="303">
        <f t="shared" si="12"/>
        <v>0</v>
      </c>
      <c r="S564" s="303">
        <v>0</v>
      </c>
    </row>
    <row r="565" spans="1:19" x14ac:dyDescent="0.25">
      <c r="A565" s="303" t="s">
        <v>2814</v>
      </c>
      <c r="B565" s="303" t="s">
        <v>2813</v>
      </c>
      <c r="C565" s="328">
        <v>43382</v>
      </c>
      <c r="D565" s="303" t="s">
        <v>1965</v>
      </c>
      <c r="E565" s="303" t="s">
        <v>1964</v>
      </c>
      <c r="F565" s="303" t="s">
        <v>1870</v>
      </c>
      <c r="G565" s="303" t="s">
        <v>1418</v>
      </c>
      <c r="H565" s="303" t="s">
        <v>1956</v>
      </c>
      <c r="I565" s="304">
        <v>26124</v>
      </c>
      <c r="J565" s="303" t="s">
        <v>1958</v>
      </c>
      <c r="K565" s="303" t="s">
        <v>1957</v>
      </c>
      <c r="L565" s="303" t="s">
        <v>1956</v>
      </c>
      <c r="M565" s="303" t="s">
        <v>2022</v>
      </c>
      <c r="N565" s="303" t="s">
        <v>1987</v>
      </c>
      <c r="O565" s="303" t="s">
        <v>1986</v>
      </c>
      <c r="P565" s="328">
        <v>43382</v>
      </c>
      <c r="Q565" s="303" t="s">
        <v>1952</v>
      </c>
      <c r="R565" s="303">
        <f t="shared" si="12"/>
        <v>0</v>
      </c>
      <c r="S565" s="303">
        <v>0</v>
      </c>
    </row>
    <row r="566" spans="1:19" x14ac:dyDescent="0.25">
      <c r="A566" s="303" t="s">
        <v>2814</v>
      </c>
      <c r="B566" s="303" t="s">
        <v>2813</v>
      </c>
      <c r="C566" s="328">
        <v>43382</v>
      </c>
      <c r="D566" s="303" t="s">
        <v>1961</v>
      </c>
      <c r="E566" s="303" t="s">
        <v>1960</v>
      </c>
      <c r="F566" s="303" t="s">
        <v>1870</v>
      </c>
      <c r="G566" s="303" t="s">
        <v>1418</v>
      </c>
      <c r="H566" s="303" t="s">
        <v>1956</v>
      </c>
      <c r="I566" s="304">
        <v>-26124</v>
      </c>
      <c r="J566" s="303" t="s">
        <v>1958</v>
      </c>
      <c r="K566" s="303" t="s">
        <v>1957</v>
      </c>
      <c r="L566" s="303" t="s">
        <v>1956</v>
      </c>
      <c r="M566" s="303" t="s">
        <v>2022</v>
      </c>
      <c r="N566" s="303" t="s">
        <v>1987</v>
      </c>
      <c r="O566" s="303" t="s">
        <v>1986</v>
      </c>
      <c r="P566" s="328">
        <v>43382</v>
      </c>
      <c r="Q566" s="303" t="s">
        <v>1952</v>
      </c>
      <c r="R566" s="303">
        <f t="shared" si="12"/>
        <v>0</v>
      </c>
      <c r="S566" s="303">
        <v>0</v>
      </c>
    </row>
    <row r="567" spans="1:19" x14ac:dyDescent="0.25">
      <c r="A567" s="303" t="s">
        <v>2812</v>
      </c>
      <c r="B567" s="303" t="s">
        <v>2811</v>
      </c>
      <c r="C567" s="328">
        <v>43382</v>
      </c>
      <c r="D567" s="303" t="s">
        <v>1965</v>
      </c>
      <c r="E567" s="303" t="s">
        <v>1964</v>
      </c>
      <c r="F567" s="303" t="s">
        <v>1870</v>
      </c>
      <c r="G567" s="303" t="s">
        <v>1418</v>
      </c>
      <c r="H567" s="303" t="s">
        <v>1956</v>
      </c>
      <c r="I567" s="304">
        <v>111168</v>
      </c>
      <c r="J567" s="303" t="s">
        <v>1967</v>
      </c>
      <c r="K567" s="303" t="s">
        <v>1418</v>
      </c>
      <c r="L567" s="303" t="s">
        <v>1956</v>
      </c>
      <c r="M567" s="303" t="s">
        <v>2019</v>
      </c>
      <c r="N567" s="303" t="s">
        <v>1987</v>
      </c>
      <c r="O567" s="303" t="s">
        <v>1986</v>
      </c>
      <c r="P567" s="328">
        <v>43382</v>
      </c>
      <c r="Q567" s="303" t="s">
        <v>1952</v>
      </c>
      <c r="R567" s="303">
        <f t="shared" si="12"/>
        <v>0</v>
      </c>
      <c r="S567" s="303">
        <v>0</v>
      </c>
    </row>
    <row r="568" spans="1:19" x14ac:dyDescent="0.25">
      <c r="A568" s="303" t="s">
        <v>2812</v>
      </c>
      <c r="B568" s="303" t="s">
        <v>2811</v>
      </c>
      <c r="C568" s="328">
        <v>43382</v>
      </c>
      <c r="D568" s="303" t="s">
        <v>1961</v>
      </c>
      <c r="E568" s="303" t="s">
        <v>1960</v>
      </c>
      <c r="F568" s="303" t="s">
        <v>1870</v>
      </c>
      <c r="G568" s="303" t="s">
        <v>1418</v>
      </c>
      <c r="H568" s="303" t="s">
        <v>1956</v>
      </c>
      <c r="I568" s="304">
        <v>-111168</v>
      </c>
      <c r="J568" s="303" t="s">
        <v>1967</v>
      </c>
      <c r="K568" s="303" t="s">
        <v>1418</v>
      </c>
      <c r="L568" s="303" t="s">
        <v>1956</v>
      </c>
      <c r="M568" s="303" t="s">
        <v>2019</v>
      </c>
      <c r="N568" s="303" t="s">
        <v>1987</v>
      </c>
      <c r="O568" s="303" t="s">
        <v>1986</v>
      </c>
      <c r="P568" s="328">
        <v>43382</v>
      </c>
      <c r="Q568" s="303" t="s">
        <v>1952</v>
      </c>
      <c r="R568" s="303">
        <f t="shared" si="12"/>
        <v>0</v>
      </c>
      <c r="S568" s="303">
        <v>0</v>
      </c>
    </row>
    <row r="569" spans="1:19" x14ac:dyDescent="0.25">
      <c r="A569" s="303" t="s">
        <v>2810</v>
      </c>
      <c r="B569" s="303" t="s">
        <v>2809</v>
      </c>
      <c r="C569" s="328">
        <v>43382</v>
      </c>
      <c r="D569" s="303" t="s">
        <v>1965</v>
      </c>
      <c r="E569" s="303" t="s">
        <v>1964</v>
      </c>
      <c r="F569" s="303" t="s">
        <v>2014</v>
      </c>
      <c r="G569" s="303" t="s">
        <v>1561</v>
      </c>
      <c r="H569" s="303" t="s">
        <v>1956</v>
      </c>
      <c r="I569" s="304">
        <v>15000</v>
      </c>
      <c r="J569" s="303" t="s">
        <v>1655</v>
      </c>
      <c r="K569" s="303" t="s">
        <v>1561</v>
      </c>
      <c r="L569" s="303" t="s">
        <v>1956</v>
      </c>
      <c r="M569" s="303" t="s">
        <v>2013</v>
      </c>
      <c r="N569" s="303" t="s">
        <v>1987</v>
      </c>
      <c r="O569" s="303" t="s">
        <v>1986</v>
      </c>
      <c r="P569" s="328">
        <v>43382</v>
      </c>
      <c r="Q569" s="303" t="s">
        <v>1952</v>
      </c>
      <c r="R569" s="303">
        <f t="shared" si="12"/>
        <v>1</v>
      </c>
      <c r="S569" s="303">
        <v>0</v>
      </c>
    </row>
    <row r="570" spans="1:19" x14ac:dyDescent="0.25">
      <c r="A570" s="303" t="s">
        <v>2810</v>
      </c>
      <c r="B570" s="303" t="s">
        <v>2809</v>
      </c>
      <c r="C570" s="328">
        <v>43382</v>
      </c>
      <c r="D570" s="303" t="s">
        <v>1961</v>
      </c>
      <c r="E570" s="303" t="s">
        <v>1960</v>
      </c>
      <c r="F570" s="303" t="s">
        <v>2014</v>
      </c>
      <c r="G570" s="303" t="s">
        <v>1561</v>
      </c>
      <c r="H570" s="303" t="s">
        <v>1956</v>
      </c>
      <c r="I570" s="304">
        <v>-15000</v>
      </c>
      <c r="J570" s="303" t="s">
        <v>1655</v>
      </c>
      <c r="K570" s="303" t="s">
        <v>1561</v>
      </c>
      <c r="L570" s="303" t="s">
        <v>1956</v>
      </c>
      <c r="M570" s="303" t="s">
        <v>2013</v>
      </c>
      <c r="N570" s="303" t="s">
        <v>1987</v>
      </c>
      <c r="O570" s="303" t="s">
        <v>1986</v>
      </c>
      <c r="P570" s="328">
        <v>43382</v>
      </c>
      <c r="Q570" s="303" t="s">
        <v>1952</v>
      </c>
      <c r="R570" s="303">
        <f t="shared" si="12"/>
        <v>1</v>
      </c>
      <c r="S570" s="303">
        <v>0</v>
      </c>
    </row>
    <row r="571" spans="1:19" x14ac:dyDescent="0.25">
      <c r="A571" s="303" t="s">
        <v>2808</v>
      </c>
      <c r="B571" s="303" t="s">
        <v>2807</v>
      </c>
      <c r="C571" s="328">
        <v>43382</v>
      </c>
      <c r="D571" s="303" t="s">
        <v>1965</v>
      </c>
      <c r="E571" s="303" t="s">
        <v>1964</v>
      </c>
      <c r="F571" s="303" t="s">
        <v>1693</v>
      </c>
      <c r="G571" s="303" t="s">
        <v>1535</v>
      </c>
      <c r="H571" s="303" t="s">
        <v>1956</v>
      </c>
      <c r="I571" s="304">
        <v>8534</v>
      </c>
      <c r="J571" s="303" t="s">
        <v>1958</v>
      </c>
      <c r="K571" s="303" t="s">
        <v>1957</v>
      </c>
      <c r="L571" s="303" t="s">
        <v>1956</v>
      </c>
      <c r="M571" s="303" t="s">
        <v>2022</v>
      </c>
      <c r="N571" s="303" t="s">
        <v>1987</v>
      </c>
      <c r="O571" s="303" t="s">
        <v>1986</v>
      </c>
      <c r="P571" s="328">
        <v>43382</v>
      </c>
      <c r="Q571" s="303" t="s">
        <v>1952</v>
      </c>
      <c r="R571" s="303">
        <f t="shared" si="12"/>
        <v>0</v>
      </c>
      <c r="S571" s="303">
        <v>0</v>
      </c>
    </row>
    <row r="572" spans="1:19" x14ac:dyDescent="0.25">
      <c r="A572" s="303" t="s">
        <v>2808</v>
      </c>
      <c r="B572" s="303" t="s">
        <v>2807</v>
      </c>
      <c r="C572" s="328">
        <v>43382</v>
      </c>
      <c r="D572" s="303" t="s">
        <v>1961</v>
      </c>
      <c r="E572" s="303" t="s">
        <v>1960</v>
      </c>
      <c r="F572" s="303" t="s">
        <v>1693</v>
      </c>
      <c r="G572" s="303" t="s">
        <v>1535</v>
      </c>
      <c r="H572" s="303" t="s">
        <v>1956</v>
      </c>
      <c r="I572" s="304">
        <v>-8534</v>
      </c>
      <c r="J572" s="303" t="s">
        <v>1958</v>
      </c>
      <c r="K572" s="303" t="s">
        <v>1957</v>
      </c>
      <c r="L572" s="303" t="s">
        <v>1956</v>
      </c>
      <c r="M572" s="303" t="s">
        <v>2022</v>
      </c>
      <c r="N572" s="303" t="s">
        <v>1987</v>
      </c>
      <c r="O572" s="303" t="s">
        <v>1986</v>
      </c>
      <c r="P572" s="328">
        <v>43382</v>
      </c>
      <c r="Q572" s="303" t="s">
        <v>1952</v>
      </c>
      <c r="R572" s="303">
        <f t="shared" si="12"/>
        <v>0</v>
      </c>
      <c r="S572" s="303">
        <v>0</v>
      </c>
    </row>
    <row r="573" spans="1:19" x14ac:dyDescent="0.25">
      <c r="A573" s="303" t="s">
        <v>2806</v>
      </c>
      <c r="B573" s="303" t="s">
        <v>2805</v>
      </c>
      <c r="C573" s="328">
        <v>43382</v>
      </c>
      <c r="D573" s="303" t="s">
        <v>1965</v>
      </c>
      <c r="E573" s="303" t="s">
        <v>1964</v>
      </c>
      <c r="F573" s="303" t="s">
        <v>1693</v>
      </c>
      <c r="G573" s="303" t="s">
        <v>1535</v>
      </c>
      <c r="H573" s="303" t="s">
        <v>1956</v>
      </c>
      <c r="I573" s="304">
        <v>36317</v>
      </c>
      <c r="J573" s="303" t="s">
        <v>1967</v>
      </c>
      <c r="K573" s="303" t="s">
        <v>1535</v>
      </c>
      <c r="L573" s="303" t="s">
        <v>1956</v>
      </c>
      <c r="M573" s="303" t="s">
        <v>2019</v>
      </c>
      <c r="N573" s="303" t="s">
        <v>1987</v>
      </c>
      <c r="O573" s="303" t="s">
        <v>1986</v>
      </c>
      <c r="P573" s="328">
        <v>43382</v>
      </c>
      <c r="Q573" s="303" t="s">
        <v>1952</v>
      </c>
      <c r="R573" s="303">
        <f t="shared" si="12"/>
        <v>0</v>
      </c>
      <c r="S573" s="303">
        <v>0</v>
      </c>
    </row>
    <row r="574" spans="1:19" x14ac:dyDescent="0.25">
      <c r="A574" s="303" t="s">
        <v>2806</v>
      </c>
      <c r="B574" s="303" t="s">
        <v>2805</v>
      </c>
      <c r="C574" s="328">
        <v>43382</v>
      </c>
      <c r="D574" s="303" t="s">
        <v>1961</v>
      </c>
      <c r="E574" s="303" t="s">
        <v>1960</v>
      </c>
      <c r="F574" s="303" t="s">
        <v>1693</v>
      </c>
      <c r="G574" s="303" t="s">
        <v>1535</v>
      </c>
      <c r="H574" s="303" t="s">
        <v>1956</v>
      </c>
      <c r="I574" s="304">
        <v>-36317</v>
      </c>
      <c r="J574" s="303" t="s">
        <v>1967</v>
      </c>
      <c r="K574" s="303" t="s">
        <v>1535</v>
      </c>
      <c r="L574" s="303" t="s">
        <v>1956</v>
      </c>
      <c r="M574" s="303" t="s">
        <v>2019</v>
      </c>
      <c r="N574" s="303" t="s">
        <v>1987</v>
      </c>
      <c r="O574" s="303" t="s">
        <v>1986</v>
      </c>
      <c r="P574" s="328">
        <v>43382</v>
      </c>
      <c r="Q574" s="303" t="s">
        <v>1952</v>
      </c>
      <c r="R574" s="303">
        <f t="shared" si="12"/>
        <v>0</v>
      </c>
      <c r="S574" s="303">
        <v>0</v>
      </c>
    </row>
    <row r="575" spans="1:19" x14ac:dyDescent="0.25">
      <c r="A575" s="303" t="s">
        <v>2804</v>
      </c>
      <c r="B575" s="303" t="s">
        <v>2803</v>
      </c>
      <c r="C575" s="328">
        <v>43383</v>
      </c>
      <c r="D575" s="303" t="s">
        <v>1965</v>
      </c>
      <c r="E575" s="303" t="s">
        <v>1964</v>
      </c>
      <c r="F575" s="303" t="s">
        <v>1625</v>
      </c>
      <c r="G575" s="303" t="s">
        <v>1594</v>
      </c>
      <c r="H575" s="303" t="s">
        <v>1956</v>
      </c>
      <c r="I575" s="304">
        <v>9882</v>
      </c>
      <c r="J575" s="303" t="s">
        <v>1958</v>
      </c>
      <c r="K575" s="303" t="s">
        <v>1957</v>
      </c>
      <c r="L575" s="303" t="s">
        <v>1956</v>
      </c>
      <c r="M575" s="303" t="s">
        <v>2022</v>
      </c>
      <c r="N575" s="303" t="s">
        <v>1987</v>
      </c>
      <c r="O575" s="303" t="s">
        <v>1986</v>
      </c>
      <c r="P575" s="328">
        <v>43383</v>
      </c>
      <c r="Q575" s="303" t="s">
        <v>1952</v>
      </c>
      <c r="R575" s="303">
        <f t="shared" si="12"/>
        <v>0</v>
      </c>
      <c r="S575" s="303">
        <v>0</v>
      </c>
    </row>
    <row r="576" spans="1:19" x14ac:dyDescent="0.25">
      <c r="A576" s="303" t="s">
        <v>2804</v>
      </c>
      <c r="B576" s="303" t="s">
        <v>2803</v>
      </c>
      <c r="C576" s="328">
        <v>43383</v>
      </c>
      <c r="D576" s="303" t="s">
        <v>1961</v>
      </c>
      <c r="E576" s="303" t="s">
        <v>1960</v>
      </c>
      <c r="F576" s="303" t="s">
        <v>1625</v>
      </c>
      <c r="G576" s="303" t="s">
        <v>1594</v>
      </c>
      <c r="H576" s="303" t="s">
        <v>1956</v>
      </c>
      <c r="I576" s="304">
        <v>-9882</v>
      </c>
      <c r="J576" s="303" t="s">
        <v>1958</v>
      </c>
      <c r="K576" s="303" t="s">
        <v>1957</v>
      </c>
      <c r="L576" s="303" t="s">
        <v>1956</v>
      </c>
      <c r="M576" s="303" t="s">
        <v>2022</v>
      </c>
      <c r="N576" s="303" t="s">
        <v>1987</v>
      </c>
      <c r="O576" s="303" t="s">
        <v>1986</v>
      </c>
      <c r="P576" s="328">
        <v>43383</v>
      </c>
      <c r="Q576" s="303" t="s">
        <v>1952</v>
      </c>
      <c r="R576" s="303">
        <f t="shared" si="12"/>
        <v>0</v>
      </c>
      <c r="S576" s="303">
        <v>0</v>
      </c>
    </row>
    <row r="577" spans="1:19" x14ac:dyDescent="0.25">
      <c r="A577" s="303" t="s">
        <v>2802</v>
      </c>
      <c r="B577" s="303" t="s">
        <v>2801</v>
      </c>
      <c r="C577" s="328">
        <v>43383</v>
      </c>
      <c r="D577" s="303" t="s">
        <v>1965</v>
      </c>
      <c r="E577" s="303" t="s">
        <v>1964</v>
      </c>
      <c r="F577" s="303" t="s">
        <v>1625</v>
      </c>
      <c r="G577" s="303" t="s">
        <v>1594</v>
      </c>
      <c r="H577" s="303" t="s">
        <v>1956</v>
      </c>
      <c r="I577" s="304">
        <v>42052</v>
      </c>
      <c r="J577" s="303" t="s">
        <v>1967</v>
      </c>
      <c r="K577" s="303" t="s">
        <v>1594</v>
      </c>
      <c r="L577" s="303" t="s">
        <v>1956</v>
      </c>
      <c r="M577" s="303" t="s">
        <v>2019</v>
      </c>
      <c r="N577" s="303" t="s">
        <v>1987</v>
      </c>
      <c r="O577" s="303" t="s">
        <v>1986</v>
      </c>
      <c r="P577" s="328">
        <v>43383</v>
      </c>
      <c r="Q577" s="303" t="s">
        <v>1952</v>
      </c>
      <c r="R577" s="303">
        <f t="shared" si="12"/>
        <v>0</v>
      </c>
      <c r="S577" s="303">
        <v>0</v>
      </c>
    </row>
    <row r="578" spans="1:19" x14ac:dyDescent="0.25">
      <c r="A578" s="303" t="s">
        <v>2802</v>
      </c>
      <c r="B578" s="303" t="s">
        <v>2801</v>
      </c>
      <c r="C578" s="328">
        <v>43383</v>
      </c>
      <c r="D578" s="303" t="s">
        <v>1961</v>
      </c>
      <c r="E578" s="303" t="s">
        <v>1960</v>
      </c>
      <c r="F578" s="303" t="s">
        <v>1625</v>
      </c>
      <c r="G578" s="303" t="s">
        <v>1594</v>
      </c>
      <c r="H578" s="303" t="s">
        <v>1956</v>
      </c>
      <c r="I578" s="304">
        <v>-42052</v>
      </c>
      <c r="J578" s="303" t="s">
        <v>1967</v>
      </c>
      <c r="K578" s="303" t="s">
        <v>1594</v>
      </c>
      <c r="L578" s="303" t="s">
        <v>1956</v>
      </c>
      <c r="M578" s="303" t="s">
        <v>2019</v>
      </c>
      <c r="N578" s="303" t="s">
        <v>1987</v>
      </c>
      <c r="O578" s="303" t="s">
        <v>1986</v>
      </c>
      <c r="P578" s="328">
        <v>43383</v>
      </c>
      <c r="Q578" s="303" t="s">
        <v>1952</v>
      </c>
      <c r="R578" s="303">
        <f t="shared" si="12"/>
        <v>0</v>
      </c>
      <c r="S578" s="303">
        <v>0</v>
      </c>
    </row>
    <row r="579" spans="1:19" x14ac:dyDescent="0.25">
      <c r="A579" s="303" t="s">
        <v>2800</v>
      </c>
      <c r="B579" s="303" t="s">
        <v>2799</v>
      </c>
      <c r="C579" s="328">
        <v>43383</v>
      </c>
      <c r="D579" s="303" t="s">
        <v>1965</v>
      </c>
      <c r="E579" s="303" t="s">
        <v>1964</v>
      </c>
      <c r="F579" s="303" t="s">
        <v>1657</v>
      </c>
      <c r="G579" s="303" t="s">
        <v>1558</v>
      </c>
      <c r="H579" s="303" t="s">
        <v>1956</v>
      </c>
      <c r="I579" s="304">
        <v>9870</v>
      </c>
      <c r="J579" s="303" t="s">
        <v>1958</v>
      </c>
      <c r="K579" s="303" t="s">
        <v>1957</v>
      </c>
      <c r="L579" s="303" t="s">
        <v>1956</v>
      </c>
      <c r="M579" s="303" t="s">
        <v>2022</v>
      </c>
      <c r="N579" s="303" t="s">
        <v>1987</v>
      </c>
      <c r="O579" s="303" t="s">
        <v>1986</v>
      </c>
      <c r="P579" s="328">
        <v>43383</v>
      </c>
      <c r="Q579" s="303" t="s">
        <v>1952</v>
      </c>
      <c r="R579" s="303">
        <f t="shared" ref="R579:R642" si="13">IF(OR(M579="transfert de B vers A",M579="transfert de B vers D",M579="transfert de A vers B",M579="transfert de D vers B",M579="carryover 2017 -&gt; 2018",IF(ISERR(SEARCH("fidélité",M579)),FALSE,TRUE),M579="Fermeture STI-FORM",M579="répartition AE/AC"),0,1)</f>
        <v>0</v>
      </c>
      <c r="S579" s="303">
        <v>0</v>
      </c>
    </row>
    <row r="580" spans="1:19" x14ac:dyDescent="0.25">
      <c r="A580" s="303" t="s">
        <v>2800</v>
      </c>
      <c r="B580" s="303" t="s">
        <v>2799</v>
      </c>
      <c r="C580" s="328">
        <v>43383</v>
      </c>
      <c r="D580" s="303" t="s">
        <v>1961</v>
      </c>
      <c r="E580" s="303" t="s">
        <v>1960</v>
      </c>
      <c r="F580" s="303" t="s">
        <v>1657</v>
      </c>
      <c r="G580" s="303" t="s">
        <v>1558</v>
      </c>
      <c r="H580" s="303" t="s">
        <v>1956</v>
      </c>
      <c r="I580" s="304">
        <v>-9870</v>
      </c>
      <c r="J580" s="303" t="s">
        <v>1958</v>
      </c>
      <c r="K580" s="303" t="s">
        <v>1957</v>
      </c>
      <c r="L580" s="303" t="s">
        <v>1956</v>
      </c>
      <c r="M580" s="303" t="s">
        <v>2022</v>
      </c>
      <c r="N580" s="303" t="s">
        <v>1987</v>
      </c>
      <c r="O580" s="303" t="s">
        <v>1986</v>
      </c>
      <c r="P580" s="328">
        <v>43383</v>
      </c>
      <c r="Q580" s="303" t="s">
        <v>1952</v>
      </c>
      <c r="R580" s="303">
        <f t="shared" si="13"/>
        <v>0</v>
      </c>
      <c r="S580" s="303">
        <v>0</v>
      </c>
    </row>
    <row r="581" spans="1:19" x14ac:dyDescent="0.25">
      <c r="A581" s="303" t="s">
        <v>2798</v>
      </c>
      <c r="B581" s="303" t="s">
        <v>2797</v>
      </c>
      <c r="C581" s="328">
        <v>43383</v>
      </c>
      <c r="D581" s="303" t="s">
        <v>1965</v>
      </c>
      <c r="E581" s="303" t="s">
        <v>1964</v>
      </c>
      <c r="F581" s="303" t="s">
        <v>1657</v>
      </c>
      <c r="G581" s="303" t="s">
        <v>1558</v>
      </c>
      <c r="H581" s="303" t="s">
        <v>1956</v>
      </c>
      <c r="I581" s="304">
        <v>42000</v>
      </c>
      <c r="J581" s="303" t="s">
        <v>1967</v>
      </c>
      <c r="K581" s="303" t="s">
        <v>1558</v>
      </c>
      <c r="L581" s="303" t="s">
        <v>1956</v>
      </c>
      <c r="M581" s="303" t="s">
        <v>2019</v>
      </c>
      <c r="N581" s="303" t="s">
        <v>1987</v>
      </c>
      <c r="O581" s="303" t="s">
        <v>1986</v>
      </c>
      <c r="P581" s="328">
        <v>43383</v>
      </c>
      <c r="Q581" s="303" t="s">
        <v>1952</v>
      </c>
      <c r="R581" s="303">
        <f t="shared" si="13"/>
        <v>0</v>
      </c>
      <c r="S581" s="303">
        <v>0</v>
      </c>
    </row>
    <row r="582" spans="1:19" x14ac:dyDescent="0.25">
      <c r="A582" s="303" t="s">
        <v>2798</v>
      </c>
      <c r="B582" s="303" t="s">
        <v>2797</v>
      </c>
      <c r="C582" s="328">
        <v>43383</v>
      </c>
      <c r="D582" s="303" t="s">
        <v>1961</v>
      </c>
      <c r="E582" s="303" t="s">
        <v>1960</v>
      </c>
      <c r="F582" s="303" t="s">
        <v>1657</v>
      </c>
      <c r="G582" s="303" t="s">
        <v>1558</v>
      </c>
      <c r="H582" s="303" t="s">
        <v>1956</v>
      </c>
      <c r="I582" s="304">
        <v>-42000</v>
      </c>
      <c r="J582" s="303" t="s">
        <v>1967</v>
      </c>
      <c r="K582" s="303" t="s">
        <v>1558</v>
      </c>
      <c r="L582" s="303" t="s">
        <v>1956</v>
      </c>
      <c r="M582" s="303" t="s">
        <v>2019</v>
      </c>
      <c r="N582" s="303" t="s">
        <v>1987</v>
      </c>
      <c r="O582" s="303" t="s">
        <v>1986</v>
      </c>
      <c r="P582" s="328">
        <v>43383</v>
      </c>
      <c r="Q582" s="303" t="s">
        <v>1952</v>
      </c>
      <c r="R582" s="303">
        <f t="shared" si="13"/>
        <v>0</v>
      </c>
      <c r="S582" s="303">
        <v>0</v>
      </c>
    </row>
    <row r="583" spans="1:19" x14ac:dyDescent="0.25">
      <c r="A583" s="303" t="s">
        <v>2796</v>
      </c>
      <c r="B583" s="303" t="s">
        <v>2795</v>
      </c>
      <c r="C583" s="328">
        <v>43383</v>
      </c>
      <c r="D583" s="303" t="s">
        <v>1965</v>
      </c>
      <c r="E583" s="303" t="s">
        <v>1964</v>
      </c>
      <c r="F583" s="303" t="s">
        <v>1809</v>
      </c>
      <c r="G583" s="303" t="s">
        <v>1445</v>
      </c>
      <c r="H583" s="303" t="s">
        <v>1956</v>
      </c>
      <c r="I583" s="304">
        <v>31491</v>
      </c>
      <c r="J583" s="303" t="s">
        <v>1958</v>
      </c>
      <c r="K583" s="303" t="s">
        <v>1957</v>
      </c>
      <c r="L583" s="303" t="s">
        <v>1956</v>
      </c>
      <c r="M583" s="303" t="s">
        <v>2022</v>
      </c>
      <c r="N583" s="303" t="s">
        <v>1987</v>
      </c>
      <c r="O583" s="303" t="s">
        <v>1986</v>
      </c>
      <c r="P583" s="328">
        <v>43383</v>
      </c>
      <c r="Q583" s="303" t="s">
        <v>1952</v>
      </c>
      <c r="R583" s="303">
        <f t="shared" si="13"/>
        <v>0</v>
      </c>
      <c r="S583" s="303">
        <v>0</v>
      </c>
    </row>
    <row r="584" spans="1:19" x14ac:dyDescent="0.25">
      <c r="A584" s="303" t="s">
        <v>2796</v>
      </c>
      <c r="B584" s="303" t="s">
        <v>2795</v>
      </c>
      <c r="C584" s="328">
        <v>43383</v>
      </c>
      <c r="D584" s="303" t="s">
        <v>1961</v>
      </c>
      <c r="E584" s="303" t="s">
        <v>1960</v>
      </c>
      <c r="F584" s="303" t="s">
        <v>1809</v>
      </c>
      <c r="G584" s="303" t="s">
        <v>1445</v>
      </c>
      <c r="H584" s="303" t="s">
        <v>1956</v>
      </c>
      <c r="I584" s="304">
        <v>-31491</v>
      </c>
      <c r="J584" s="303" t="s">
        <v>1958</v>
      </c>
      <c r="K584" s="303" t="s">
        <v>1957</v>
      </c>
      <c r="L584" s="303" t="s">
        <v>1956</v>
      </c>
      <c r="M584" s="303" t="s">
        <v>2022</v>
      </c>
      <c r="N584" s="303" t="s">
        <v>1987</v>
      </c>
      <c r="O584" s="303" t="s">
        <v>1986</v>
      </c>
      <c r="P584" s="328">
        <v>43383</v>
      </c>
      <c r="Q584" s="303" t="s">
        <v>1952</v>
      </c>
      <c r="R584" s="303">
        <f t="shared" si="13"/>
        <v>0</v>
      </c>
      <c r="S584" s="303">
        <v>0</v>
      </c>
    </row>
    <row r="585" spans="1:19" x14ac:dyDescent="0.25">
      <c r="A585" s="303" t="s">
        <v>2794</v>
      </c>
      <c r="B585" s="303" t="s">
        <v>2793</v>
      </c>
      <c r="C585" s="328">
        <v>43383</v>
      </c>
      <c r="D585" s="303" t="s">
        <v>1965</v>
      </c>
      <c r="E585" s="303" t="s">
        <v>1964</v>
      </c>
      <c r="F585" s="303" t="s">
        <v>1809</v>
      </c>
      <c r="G585" s="303" t="s">
        <v>1445</v>
      </c>
      <c r="H585" s="303" t="s">
        <v>1956</v>
      </c>
      <c r="I585" s="304">
        <v>134005</v>
      </c>
      <c r="J585" s="303" t="s">
        <v>1967</v>
      </c>
      <c r="K585" s="303" t="s">
        <v>1445</v>
      </c>
      <c r="L585" s="303" t="s">
        <v>1956</v>
      </c>
      <c r="M585" s="303" t="s">
        <v>2019</v>
      </c>
      <c r="N585" s="303" t="s">
        <v>1987</v>
      </c>
      <c r="O585" s="303" t="s">
        <v>1986</v>
      </c>
      <c r="P585" s="328">
        <v>43383</v>
      </c>
      <c r="Q585" s="303" t="s">
        <v>1952</v>
      </c>
      <c r="R585" s="303">
        <f t="shared" si="13"/>
        <v>0</v>
      </c>
      <c r="S585" s="303">
        <v>0</v>
      </c>
    </row>
    <row r="586" spans="1:19" x14ac:dyDescent="0.25">
      <c r="A586" s="303" t="s">
        <v>2794</v>
      </c>
      <c r="B586" s="303" t="s">
        <v>2793</v>
      </c>
      <c r="C586" s="328">
        <v>43383</v>
      </c>
      <c r="D586" s="303" t="s">
        <v>1961</v>
      </c>
      <c r="E586" s="303" t="s">
        <v>1960</v>
      </c>
      <c r="F586" s="303" t="s">
        <v>1809</v>
      </c>
      <c r="G586" s="303" t="s">
        <v>1445</v>
      </c>
      <c r="H586" s="303" t="s">
        <v>1956</v>
      </c>
      <c r="I586" s="304">
        <v>-134005</v>
      </c>
      <c r="J586" s="303" t="s">
        <v>1967</v>
      </c>
      <c r="K586" s="303" t="s">
        <v>1445</v>
      </c>
      <c r="L586" s="303" t="s">
        <v>1956</v>
      </c>
      <c r="M586" s="303" t="s">
        <v>2019</v>
      </c>
      <c r="N586" s="303" t="s">
        <v>1987</v>
      </c>
      <c r="O586" s="303" t="s">
        <v>1986</v>
      </c>
      <c r="P586" s="328">
        <v>43383</v>
      </c>
      <c r="Q586" s="303" t="s">
        <v>1952</v>
      </c>
      <c r="R586" s="303">
        <f t="shared" si="13"/>
        <v>0</v>
      </c>
      <c r="S586" s="303">
        <v>0</v>
      </c>
    </row>
    <row r="587" spans="1:19" x14ac:dyDescent="0.25">
      <c r="A587" s="303" t="s">
        <v>2792</v>
      </c>
      <c r="B587" s="303" t="s">
        <v>2791</v>
      </c>
      <c r="C587" s="328">
        <v>43383</v>
      </c>
      <c r="D587" s="303" t="s">
        <v>1965</v>
      </c>
      <c r="E587" s="303" t="s">
        <v>1964</v>
      </c>
      <c r="F587" s="303" t="s">
        <v>1914</v>
      </c>
      <c r="G587" s="303" t="s">
        <v>1379</v>
      </c>
      <c r="H587" s="303" t="s">
        <v>1956</v>
      </c>
      <c r="I587" s="304">
        <v>330</v>
      </c>
      <c r="J587" s="303" t="s">
        <v>1922</v>
      </c>
      <c r="K587" s="303" t="s">
        <v>2071</v>
      </c>
      <c r="L587" s="303" t="s">
        <v>1956</v>
      </c>
      <c r="M587" s="303" t="s">
        <v>2790</v>
      </c>
      <c r="N587" s="303" t="s">
        <v>1987</v>
      </c>
      <c r="O587" s="303" t="s">
        <v>1986</v>
      </c>
      <c r="P587" s="328">
        <v>43383</v>
      </c>
      <c r="Q587" s="303" t="s">
        <v>1952</v>
      </c>
      <c r="R587" s="303">
        <f t="shared" si="13"/>
        <v>1</v>
      </c>
      <c r="S587" s="303">
        <v>1</v>
      </c>
    </row>
    <row r="588" spans="1:19" x14ac:dyDescent="0.25">
      <c r="A588" s="303" t="s">
        <v>2792</v>
      </c>
      <c r="B588" s="303" t="s">
        <v>2791</v>
      </c>
      <c r="C588" s="328">
        <v>43383</v>
      </c>
      <c r="D588" s="303" t="s">
        <v>1961</v>
      </c>
      <c r="E588" s="303" t="s">
        <v>1960</v>
      </c>
      <c r="F588" s="303" t="s">
        <v>1914</v>
      </c>
      <c r="G588" s="303" t="s">
        <v>1379</v>
      </c>
      <c r="H588" s="303" t="s">
        <v>1956</v>
      </c>
      <c r="I588" s="304">
        <v>-330</v>
      </c>
      <c r="J588" s="303" t="s">
        <v>1922</v>
      </c>
      <c r="K588" s="303" t="s">
        <v>2071</v>
      </c>
      <c r="L588" s="303" t="s">
        <v>1956</v>
      </c>
      <c r="M588" s="303" t="s">
        <v>2790</v>
      </c>
      <c r="N588" s="303" t="s">
        <v>1987</v>
      </c>
      <c r="O588" s="303" t="s">
        <v>1986</v>
      </c>
      <c r="P588" s="328">
        <v>43383</v>
      </c>
      <c r="Q588" s="303" t="s">
        <v>1952</v>
      </c>
      <c r="R588" s="303">
        <f t="shared" si="13"/>
        <v>1</v>
      </c>
      <c r="S588" s="303">
        <v>1</v>
      </c>
    </row>
    <row r="589" spans="1:19" x14ac:dyDescent="0.25">
      <c r="A589" s="303" t="s">
        <v>2789</v>
      </c>
      <c r="B589" s="303" t="s">
        <v>2788</v>
      </c>
      <c r="C589" s="328">
        <v>43383</v>
      </c>
      <c r="D589" s="303" t="s">
        <v>1965</v>
      </c>
      <c r="E589" s="303" t="s">
        <v>1964</v>
      </c>
      <c r="F589" s="303" t="s">
        <v>1904</v>
      </c>
      <c r="G589" s="303" t="s">
        <v>1394</v>
      </c>
      <c r="H589" s="303" t="s">
        <v>1956</v>
      </c>
      <c r="I589" s="304">
        <v>15000</v>
      </c>
      <c r="J589" s="303" t="s">
        <v>1918</v>
      </c>
      <c r="K589" s="303" t="s">
        <v>2183</v>
      </c>
      <c r="L589" s="303" t="s">
        <v>1956</v>
      </c>
      <c r="M589" s="303" t="s">
        <v>2787</v>
      </c>
      <c r="N589" s="303" t="s">
        <v>1987</v>
      </c>
      <c r="O589" s="303" t="s">
        <v>1986</v>
      </c>
      <c r="P589" s="328">
        <v>43383</v>
      </c>
      <c r="Q589" s="303" t="s">
        <v>1952</v>
      </c>
      <c r="R589" s="303">
        <f t="shared" si="13"/>
        <v>1</v>
      </c>
      <c r="S589" s="303">
        <v>1</v>
      </c>
    </row>
    <row r="590" spans="1:19" x14ac:dyDescent="0.25">
      <c r="A590" s="303" t="s">
        <v>2789</v>
      </c>
      <c r="B590" s="303" t="s">
        <v>2788</v>
      </c>
      <c r="C590" s="328">
        <v>43383</v>
      </c>
      <c r="D590" s="303" t="s">
        <v>1961</v>
      </c>
      <c r="E590" s="303" t="s">
        <v>1960</v>
      </c>
      <c r="F590" s="303" t="s">
        <v>1904</v>
      </c>
      <c r="G590" s="303" t="s">
        <v>1394</v>
      </c>
      <c r="H590" s="303" t="s">
        <v>1956</v>
      </c>
      <c r="I590" s="304">
        <v>-15000</v>
      </c>
      <c r="J590" s="303" t="s">
        <v>1918</v>
      </c>
      <c r="K590" s="303" t="s">
        <v>2183</v>
      </c>
      <c r="L590" s="303" t="s">
        <v>1956</v>
      </c>
      <c r="M590" s="303" t="s">
        <v>2787</v>
      </c>
      <c r="N590" s="303" t="s">
        <v>1987</v>
      </c>
      <c r="O590" s="303" t="s">
        <v>1986</v>
      </c>
      <c r="P590" s="328">
        <v>43383</v>
      </c>
      <c r="Q590" s="303" t="s">
        <v>1952</v>
      </c>
      <c r="R590" s="303">
        <f t="shared" si="13"/>
        <v>1</v>
      </c>
      <c r="S590" s="303">
        <v>1</v>
      </c>
    </row>
    <row r="591" spans="1:19" x14ac:dyDescent="0.25">
      <c r="A591" s="303" t="s">
        <v>2786</v>
      </c>
      <c r="B591" s="303" t="s">
        <v>2785</v>
      </c>
      <c r="C591" s="328">
        <v>43383</v>
      </c>
      <c r="D591" s="303" t="s">
        <v>1965</v>
      </c>
      <c r="E591" s="303" t="s">
        <v>1964</v>
      </c>
      <c r="F591" s="303" t="s">
        <v>1749</v>
      </c>
      <c r="G591" s="303" t="s">
        <v>2112</v>
      </c>
      <c r="H591" s="303" t="s">
        <v>1956</v>
      </c>
      <c r="I591" s="304">
        <v>25000</v>
      </c>
      <c r="J591" s="303" t="s">
        <v>1846</v>
      </c>
      <c r="K591" s="303" t="s">
        <v>1959</v>
      </c>
      <c r="L591" s="303" t="s">
        <v>1956</v>
      </c>
      <c r="M591" s="303" t="s">
        <v>2784</v>
      </c>
      <c r="N591" s="303" t="s">
        <v>1987</v>
      </c>
      <c r="O591" s="303" t="s">
        <v>1986</v>
      </c>
      <c r="P591" s="328">
        <v>43383</v>
      </c>
      <c r="Q591" s="303" t="s">
        <v>1952</v>
      </c>
      <c r="R591" s="303">
        <f t="shared" si="13"/>
        <v>1</v>
      </c>
      <c r="S591" s="303">
        <v>0</v>
      </c>
    </row>
    <row r="592" spans="1:19" x14ac:dyDescent="0.25">
      <c r="A592" s="303" t="s">
        <v>2786</v>
      </c>
      <c r="B592" s="303" t="s">
        <v>2785</v>
      </c>
      <c r="C592" s="328">
        <v>43383</v>
      </c>
      <c r="D592" s="303" t="s">
        <v>1961</v>
      </c>
      <c r="E592" s="303" t="s">
        <v>1960</v>
      </c>
      <c r="F592" s="303" t="s">
        <v>1749</v>
      </c>
      <c r="G592" s="303" t="s">
        <v>2112</v>
      </c>
      <c r="H592" s="303" t="s">
        <v>1956</v>
      </c>
      <c r="I592" s="304">
        <v>-25000</v>
      </c>
      <c r="J592" s="303" t="s">
        <v>1846</v>
      </c>
      <c r="K592" s="303" t="s">
        <v>1959</v>
      </c>
      <c r="L592" s="303" t="s">
        <v>1956</v>
      </c>
      <c r="M592" s="303" t="s">
        <v>2784</v>
      </c>
      <c r="N592" s="303" t="s">
        <v>1987</v>
      </c>
      <c r="O592" s="303" t="s">
        <v>1986</v>
      </c>
      <c r="P592" s="328">
        <v>43383</v>
      </c>
      <c r="Q592" s="303" t="s">
        <v>1952</v>
      </c>
      <c r="R592" s="303">
        <f t="shared" si="13"/>
        <v>1</v>
      </c>
      <c r="S592" s="303">
        <v>0</v>
      </c>
    </row>
    <row r="593" spans="1:19" x14ac:dyDescent="0.25">
      <c r="A593" s="303" t="s">
        <v>2783</v>
      </c>
      <c r="B593" s="303" t="s">
        <v>2782</v>
      </c>
      <c r="C593" s="328">
        <v>43383</v>
      </c>
      <c r="D593" s="303" t="s">
        <v>1965</v>
      </c>
      <c r="E593" s="303" t="s">
        <v>1964</v>
      </c>
      <c r="F593" s="303" t="s">
        <v>1920</v>
      </c>
      <c r="G593" s="303" t="s">
        <v>1376</v>
      </c>
      <c r="H593" s="303" t="s">
        <v>1956</v>
      </c>
      <c r="I593" s="304">
        <v>6271</v>
      </c>
      <c r="J593" s="303" t="s">
        <v>1749</v>
      </c>
      <c r="K593" s="303" t="s">
        <v>2112</v>
      </c>
      <c r="L593" s="303" t="s">
        <v>1956</v>
      </c>
      <c r="M593" s="303" t="s">
        <v>2781</v>
      </c>
      <c r="N593" s="303" t="s">
        <v>1987</v>
      </c>
      <c r="O593" s="303" t="s">
        <v>1986</v>
      </c>
      <c r="P593" s="328">
        <v>43383</v>
      </c>
      <c r="Q593" s="303" t="s">
        <v>1952</v>
      </c>
      <c r="R593" s="303">
        <f t="shared" si="13"/>
        <v>1</v>
      </c>
      <c r="S593" s="303">
        <v>0</v>
      </c>
    </row>
    <row r="594" spans="1:19" x14ac:dyDescent="0.25">
      <c r="A594" s="303" t="s">
        <v>2783</v>
      </c>
      <c r="B594" s="303" t="s">
        <v>2782</v>
      </c>
      <c r="C594" s="328">
        <v>43383</v>
      </c>
      <c r="D594" s="303" t="s">
        <v>1961</v>
      </c>
      <c r="E594" s="303" t="s">
        <v>1960</v>
      </c>
      <c r="F594" s="303" t="s">
        <v>1920</v>
      </c>
      <c r="G594" s="303" t="s">
        <v>1376</v>
      </c>
      <c r="H594" s="303" t="s">
        <v>1956</v>
      </c>
      <c r="I594" s="304">
        <v>-6271</v>
      </c>
      <c r="J594" s="303" t="s">
        <v>1749</v>
      </c>
      <c r="K594" s="303" t="s">
        <v>2112</v>
      </c>
      <c r="L594" s="303" t="s">
        <v>1956</v>
      </c>
      <c r="M594" s="303" t="s">
        <v>2781</v>
      </c>
      <c r="N594" s="303" t="s">
        <v>1987</v>
      </c>
      <c r="O594" s="303" t="s">
        <v>1986</v>
      </c>
      <c r="P594" s="328">
        <v>43383</v>
      </c>
      <c r="Q594" s="303" t="s">
        <v>1952</v>
      </c>
      <c r="R594" s="303">
        <f t="shared" si="13"/>
        <v>1</v>
      </c>
      <c r="S594" s="303">
        <v>0</v>
      </c>
    </row>
    <row r="595" spans="1:19" x14ac:dyDescent="0.25">
      <c r="A595" s="303" t="s">
        <v>2780</v>
      </c>
      <c r="B595" s="303" t="s">
        <v>2779</v>
      </c>
      <c r="C595" s="328">
        <v>43383</v>
      </c>
      <c r="D595" s="303" t="s">
        <v>1965</v>
      </c>
      <c r="E595" s="303" t="s">
        <v>1964</v>
      </c>
      <c r="F595" s="303" t="s">
        <v>1967</v>
      </c>
      <c r="G595" s="303" t="s">
        <v>2112</v>
      </c>
      <c r="H595" s="303" t="s">
        <v>1956</v>
      </c>
      <c r="I595" s="304">
        <v>10916</v>
      </c>
      <c r="J595" s="303" t="s">
        <v>1967</v>
      </c>
      <c r="K595" s="303" t="s">
        <v>1376</v>
      </c>
      <c r="L595" s="303" t="s">
        <v>1956</v>
      </c>
      <c r="M595" s="303" t="s">
        <v>2778</v>
      </c>
      <c r="N595" s="303" t="s">
        <v>1987</v>
      </c>
      <c r="O595" s="303" t="s">
        <v>1986</v>
      </c>
      <c r="P595" s="328">
        <v>43383</v>
      </c>
      <c r="Q595" s="303" t="s">
        <v>1952</v>
      </c>
      <c r="R595" s="303">
        <f t="shared" si="13"/>
        <v>1</v>
      </c>
      <c r="S595" s="303">
        <v>0</v>
      </c>
    </row>
    <row r="596" spans="1:19" x14ac:dyDescent="0.25">
      <c r="A596" s="303" t="s">
        <v>2780</v>
      </c>
      <c r="B596" s="303" t="s">
        <v>2779</v>
      </c>
      <c r="C596" s="328">
        <v>43383</v>
      </c>
      <c r="D596" s="303" t="s">
        <v>1961</v>
      </c>
      <c r="E596" s="303" t="s">
        <v>1960</v>
      </c>
      <c r="F596" s="303" t="s">
        <v>1967</v>
      </c>
      <c r="G596" s="303" t="s">
        <v>2112</v>
      </c>
      <c r="H596" s="303" t="s">
        <v>1956</v>
      </c>
      <c r="I596" s="304">
        <v>-10916</v>
      </c>
      <c r="J596" s="303" t="s">
        <v>1967</v>
      </c>
      <c r="K596" s="303" t="s">
        <v>1376</v>
      </c>
      <c r="L596" s="303" t="s">
        <v>1956</v>
      </c>
      <c r="M596" s="303" t="s">
        <v>2778</v>
      </c>
      <c r="N596" s="303" t="s">
        <v>1987</v>
      </c>
      <c r="O596" s="303" t="s">
        <v>1986</v>
      </c>
      <c r="P596" s="328">
        <v>43383</v>
      </c>
      <c r="Q596" s="303" t="s">
        <v>1952</v>
      </c>
      <c r="R596" s="303">
        <f t="shared" si="13"/>
        <v>1</v>
      </c>
      <c r="S596" s="303">
        <v>0</v>
      </c>
    </row>
    <row r="597" spans="1:19" x14ac:dyDescent="0.25">
      <c r="A597" s="303" t="s">
        <v>2777</v>
      </c>
      <c r="B597" s="303" t="s">
        <v>2776</v>
      </c>
      <c r="C597" s="328">
        <v>43384</v>
      </c>
      <c r="D597" s="303" t="s">
        <v>1965</v>
      </c>
      <c r="E597" s="303" t="s">
        <v>1964</v>
      </c>
      <c r="F597" s="303" t="s">
        <v>1967</v>
      </c>
      <c r="G597" s="303" t="s">
        <v>2183</v>
      </c>
      <c r="H597" s="303" t="s">
        <v>1956</v>
      </c>
      <c r="I597" s="304">
        <v>1401</v>
      </c>
      <c r="J597" s="303" t="s">
        <v>1967</v>
      </c>
      <c r="K597" s="303" t="s">
        <v>1959</v>
      </c>
      <c r="L597" s="303" t="s">
        <v>1956</v>
      </c>
      <c r="M597" s="303" t="s">
        <v>2775</v>
      </c>
      <c r="N597" s="303" t="s">
        <v>1987</v>
      </c>
      <c r="O597" s="303" t="s">
        <v>1986</v>
      </c>
      <c r="P597" s="328">
        <v>43384</v>
      </c>
      <c r="Q597" s="303" t="s">
        <v>1952</v>
      </c>
      <c r="R597" s="303">
        <f t="shared" si="13"/>
        <v>1</v>
      </c>
      <c r="S597" s="303">
        <v>0</v>
      </c>
    </row>
    <row r="598" spans="1:19" x14ac:dyDescent="0.25">
      <c r="A598" s="303" t="s">
        <v>2777</v>
      </c>
      <c r="B598" s="303" t="s">
        <v>2776</v>
      </c>
      <c r="C598" s="328">
        <v>43384</v>
      </c>
      <c r="D598" s="303" t="s">
        <v>1961</v>
      </c>
      <c r="E598" s="303" t="s">
        <v>1960</v>
      </c>
      <c r="F598" s="303" t="s">
        <v>1967</v>
      </c>
      <c r="G598" s="303" t="s">
        <v>2183</v>
      </c>
      <c r="H598" s="303" t="s">
        <v>1956</v>
      </c>
      <c r="I598" s="304">
        <v>-1401</v>
      </c>
      <c r="J598" s="303" t="s">
        <v>1967</v>
      </c>
      <c r="K598" s="303" t="s">
        <v>1959</v>
      </c>
      <c r="L598" s="303" t="s">
        <v>1956</v>
      </c>
      <c r="M598" s="303" t="s">
        <v>2775</v>
      </c>
      <c r="N598" s="303" t="s">
        <v>1987</v>
      </c>
      <c r="O598" s="303" t="s">
        <v>1986</v>
      </c>
      <c r="P598" s="328">
        <v>43384</v>
      </c>
      <c r="Q598" s="303" t="s">
        <v>1952</v>
      </c>
      <c r="R598" s="303">
        <f t="shared" si="13"/>
        <v>1</v>
      </c>
      <c r="S598" s="303">
        <v>0</v>
      </c>
    </row>
    <row r="599" spans="1:19" x14ac:dyDescent="0.25">
      <c r="A599" s="303" t="s">
        <v>2774</v>
      </c>
      <c r="B599" s="303" t="s">
        <v>2773</v>
      </c>
      <c r="C599" s="328">
        <v>43385</v>
      </c>
      <c r="D599" s="303" t="s">
        <v>1965</v>
      </c>
      <c r="E599" s="303" t="s">
        <v>1964</v>
      </c>
      <c r="F599" s="303" t="s">
        <v>1967</v>
      </c>
      <c r="G599" s="303" t="s">
        <v>2772</v>
      </c>
      <c r="H599" s="303" t="s">
        <v>1956</v>
      </c>
      <c r="I599" s="304">
        <v>722</v>
      </c>
      <c r="J599" s="303" t="s">
        <v>1967</v>
      </c>
      <c r="K599" s="303" t="s">
        <v>1959</v>
      </c>
      <c r="L599" s="303" t="s">
        <v>1956</v>
      </c>
      <c r="M599" s="303" t="s">
        <v>2771</v>
      </c>
      <c r="N599" s="303" t="s">
        <v>1987</v>
      </c>
      <c r="O599" s="303" t="s">
        <v>1986</v>
      </c>
      <c r="P599" s="328">
        <v>43385</v>
      </c>
      <c r="Q599" s="303" t="s">
        <v>1952</v>
      </c>
      <c r="R599" s="303">
        <f t="shared" si="13"/>
        <v>1</v>
      </c>
      <c r="S599" s="303">
        <v>0</v>
      </c>
    </row>
    <row r="600" spans="1:19" x14ac:dyDescent="0.25">
      <c r="A600" s="303" t="s">
        <v>2774</v>
      </c>
      <c r="B600" s="303" t="s">
        <v>2773</v>
      </c>
      <c r="C600" s="328">
        <v>43385</v>
      </c>
      <c r="D600" s="303" t="s">
        <v>1961</v>
      </c>
      <c r="E600" s="303" t="s">
        <v>1960</v>
      </c>
      <c r="F600" s="303" t="s">
        <v>1967</v>
      </c>
      <c r="G600" s="303" t="s">
        <v>2772</v>
      </c>
      <c r="H600" s="303" t="s">
        <v>1956</v>
      </c>
      <c r="I600" s="304">
        <v>-722</v>
      </c>
      <c r="J600" s="303" t="s">
        <v>1967</v>
      </c>
      <c r="K600" s="303" t="s">
        <v>1959</v>
      </c>
      <c r="L600" s="303" t="s">
        <v>1956</v>
      </c>
      <c r="M600" s="303" t="s">
        <v>2771</v>
      </c>
      <c r="N600" s="303" t="s">
        <v>1987</v>
      </c>
      <c r="O600" s="303" t="s">
        <v>1986</v>
      </c>
      <c r="P600" s="328">
        <v>43385</v>
      </c>
      <c r="Q600" s="303" t="s">
        <v>1952</v>
      </c>
      <c r="R600" s="303">
        <f t="shared" si="13"/>
        <v>1</v>
      </c>
      <c r="S600" s="303">
        <v>0</v>
      </c>
    </row>
    <row r="601" spans="1:19" x14ac:dyDescent="0.25">
      <c r="A601" s="303" t="s">
        <v>2770</v>
      </c>
      <c r="B601" s="303" t="s">
        <v>2769</v>
      </c>
      <c r="C601" s="328">
        <v>43385</v>
      </c>
      <c r="D601" s="303" t="s">
        <v>1961</v>
      </c>
      <c r="E601" s="303" t="s">
        <v>1960</v>
      </c>
      <c r="F601" s="303" t="s">
        <v>1609</v>
      </c>
      <c r="G601" s="303" t="s">
        <v>1609</v>
      </c>
      <c r="H601" s="303" t="s">
        <v>1609</v>
      </c>
      <c r="I601" s="304">
        <v>-11201</v>
      </c>
      <c r="J601" s="303" t="s">
        <v>1874</v>
      </c>
      <c r="K601" s="303" t="s">
        <v>2353</v>
      </c>
      <c r="L601" s="303" t="s">
        <v>1956</v>
      </c>
      <c r="M601" s="303" t="s">
        <v>2768</v>
      </c>
      <c r="N601" s="303" t="s">
        <v>1987</v>
      </c>
      <c r="O601" s="303" t="s">
        <v>1986</v>
      </c>
      <c r="P601" s="328">
        <v>43385</v>
      </c>
      <c r="Q601" s="303" t="s">
        <v>1952</v>
      </c>
      <c r="R601" s="303">
        <f t="shared" si="13"/>
        <v>1</v>
      </c>
      <c r="S601" s="303">
        <v>1</v>
      </c>
    </row>
    <row r="602" spans="1:19" x14ac:dyDescent="0.25">
      <c r="A602" s="303" t="s">
        <v>2767</v>
      </c>
      <c r="B602" s="303" t="s">
        <v>2766</v>
      </c>
      <c r="C602" s="328">
        <v>43389</v>
      </c>
      <c r="D602" s="303" t="s">
        <v>1965</v>
      </c>
      <c r="E602" s="303" t="s">
        <v>1964</v>
      </c>
      <c r="F602" s="303" t="s">
        <v>1741</v>
      </c>
      <c r="G602" s="303" t="s">
        <v>1484</v>
      </c>
      <c r="H602" s="303" t="s">
        <v>1956</v>
      </c>
      <c r="I602" s="304">
        <v>40000</v>
      </c>
      <c r="J602" s="303" t="s">
        <v>1753</v>
      </c>
      <c r="K602" s="303" t="s">
        <v>2112</v>
      </c>
      <c r="L602" s="303" t="s">
        <v>1956</v>
      </c>
      <c r="M602" s="303" t="s">
        <v>2765</v>
      </c>
      <c r="N602" s="303" t="s">
        <v>1987</v>
      </c>
      <c r="O602" s="303" t="s">
        <v>1986</v>
      </c>
      <c r="P602" s="328">
        <v>43389</v>
      </c>
      <c r="Q602" s="303" t="s">
        <v>1952</v>
      </c>
      <c r="R602" s="303">
        <f t="shared" si="13"/>
        <v>1</v>
      </c>
      <c r="S602" s="303">
        <v>1</v>
      </c>
    </row>
    <row r="603" spans="1:19" x14ac:dyDescent="0.25">
      <c r="A603" s="303" t="s">
        <v>2767</v>
      </c>
      <c r="B603" s="303" t="s">
        <v>2766</v>
      </c>
      <c r="C603" s="328">
        <v>43389</v>
      </c>
      <c r="D603" s="303" t="s">
        <v>1961</v>
      </c>
      <c r="E603" s="303" t="s">
        <v>1960</v>
      </c>
      <c r="F603" s="303" t="s">
        <v>1741</v>
      </c>
      <c r="G603" s="303" t="s">
        <v>1484</v>
      </c>
      <c r="H603" s="303" t="s">
        <v>1956</v>
      </c>
      <c r="I603" s="304">
        <v>-40000</v>
      </c>
      <c r="J603" s="303" t="s">
        <v>1753</v>
      </c>
      <c r="K603" s="303" t="s">
        <v>2112</v>
      </c>
      <c r="L603" s="303" t="s">
        <v>1956</v>
      </c>
      <c r="M603" s="303" t="s">
        <v>2765</v>
      </c>
      <c r="N603" s="303" t="s">
        <v>1987</v>
      </c>
      <c r="O603" s="303" t="s">
        <v>1986</v>
      </c>
      <c r="P603" s="328">
        <v>43389</v>
      </c>
      <c r="Q603" s="303" t="s">
        <v>1952</v>
      </c>
      <c r="R603" s="303">
        <f t="shared" si="13"/>
        <v>1</v>
      </c>
      <c r="S603" s="303">
        <v>1</v>
      </c>
    </row>
    <row r="604" spans="1:19" x14ac:dyDescent="0.25">
      <c r="A604" s="303" t="s">
        <v>2764</v>
      </c>
      <c r="B604" s="303" t="s">
        <v>2763</v>
      </c>
      <c r="C604" s="328">
        <v>43397</v>
      </c>
      <c r="D604" s="303" t="s">
        <v>1965</v>
      </c>
      <c r="E604" s="303" t="s">
        <v>1964</v>
      </c>
      <c r="F604" s="303" t="s">
        <v>1914</v>
      </c>
      <c r="G604" s="303" t="s">
        <v>1379</v>
      </c>
      <c r="H604" s="303" t="s">
        <v>1956</v>
      </c>
      <c r="I604" s="304">
        <v>11280</v>
      </c>
      <c r="J604" s="303" t="s">
        <v>1609</v>
      </c>
      <c r="K604" s="303" t="s">
        <v>1609</v>
      </c>
      <c r="L604" s="303" t="s">
        <v>1609</v>
      </c>
      <c r="M604" s="303" t="s">
        <v>2762</v>
      </c>
      <c r="N604" s="303" t="s">
        <v>2031</v>
      </c>
      <c r="O604" s="303" t="s">
        <v>2030</v>
      </c>
      <c r="P604" s="328">
        <v>43397</v>
      </c>
      <c r="Q604" s="303" t="s">
        <v>1952</v>
      </c>
      <c r="R604" s="303">
        <f t="shared" si="13"/>
        <v>1</v>
      </c>
      <c r="S604" s="303">
        <v>1</v>
      </c>
    </row>
    <row r="605" spans="1:19" x14ac:dyDescent="0.25">
      <c r="A605" s="303" t="s">
        <v>2761</v>
      </c>
      <c r="B605" s="303" t="s">
        <v>2760</v>
      </c>
      <c r="C605" s="328">
        <v>43397</v>
      </c>
      <c r="D605" s="303" t="s">
        <v>1965</v>
      </c>
      <c r="E605" s="303" t="s">
        <v>1964</v>
      </c>
      <c r="F605" s="303" t="s">
        <v>1906</v>
      </c>
      <c r="G605" s="303" t="s">
        <v>1391</v>
      </c>
      <c r="H605" s="303" t="s">
        <v>1956</v>
      </c>
      <c r="I605" s="304">
        <v>20563</v>
      </c>
      <c r="J605" s="303" t="s">
        <v>1609</v>
      </c>
      <c r="K605" s="303" t="s">
        <v>1609</v>
      </c>
      <c r="L605" s="303" t="s">
        <v>1609</v>
      </c>
      <c r="M605" s="303" t="s">
        <v>2759</v>
      </c>
      <c r="N605" s="303" t="s">
        <v>2031</v>
      </c>
      <c r="O605" s="303" t="s">
        <v>2030</v>
      </c>
      <c r="P605" s="328">
        <v>43397</v>
      </c>
      <c r="Q605" s="303" t="s">
        <v>1952</v>
      </c>
      <c r="R605" s="303">
        <f t="shared" si="13"/>
        <v>1</v>
      </c>
      <c r="S605" s="303">
        <v>1</v>
      </c>
    </row>
    <row r="606" spans="1:19" x14ac:dyDescent="0.25">
      <c r="A606" s="303" t="s">
        <v>2758</v>
      </c>
      <c r="B606" s="303" t="s">
        <v>2757</v>
      </c>
      <c r="C606" s="328">
        <v>43397</v>
      </c>
      <c r="D606" s="303" t="s">
        <v>1965</v>
      </c>
      <c r="E606" s="303" t="s">
        <v>1964</v>
      </c>
      <c r="F606" s="303" t="s">
        <v>1856</v>
      </c>
      <c r="G606" s="303" t="s">
        <v>1421</v>
      </c>
      <c r="H606" s="303" t="s">
        <v>1956</v>
      </c>
      <c r="I606" s="304">
        <v>15899</v>
      </c>
      <c r="J606" s="303" t="s">
        <v>1609</v>
      </c>
      <c r="K606" s="303" t="s">
        <v>1609</v>
      </c>
      <c r="L606" s="303" t="s">
        <v>1609</v>
      </c>
      <c r="M606" s="303" t="s">
        <v>2756</v>
      </c>
      <c r="N606" s="303" t="s">
        <v>2031</v>
      </c>
      <c r="O606" s="303" t="s">
        <v>2030</v>
      </c>
      <c r="P606" s="328">
        <v>43397</v>
      </c>
      <c r="Q606" s="303" t="s">
        <v>1952</v>
      </c>
      <c r="R606" s="303">
        <f t="shared" si="13"/>
        <v>1</v>
      </c>
      <c r="S606" s="303">
        <v>1</v>
      </c>
    </row>
    <row r="607" spans="1:19" x14ac:dyDescent="0.25">
      <c r="A607" s="303" t="s">
        <v>2755</v>
      </c>
      <c r="B607" s="303" t="s">
        <v>2754</v>
      </c>
      <c r="C607" s="328">
        <v>43397</v>
      </c>
      <c r="D607" s="303" t="s">
        <v>1965</v>
      </c>
      <c r="E607" s="303" t="s">
        <v>1964</v>
      </c>
      <c r="F607" s="303" t="s">
        <v>1880</v>
      </c>
      <c r="G607" s="303" t="s">
        <v>1415</v>
      </c>
      <c r="H607" s="303" t="s">
        <v>1956</v>
      </c>
      <c r="I607" s="304">
        <v>141867</v>
      </c>
      <c r="J607" s="303" t="s">
        <v>1609</v>
      </c>
      <c r="K607" s="303" t="s">
        <v>1609</v>
      </c>
      <c r="L607" s="303" t="s">
        <v>1609</v>
      </c>
      <c r="M607" s="303" t="s">
        <v>2753</v>
      </c>
      <c r="N607" s="303" t="s">
        <v>2031</v>
      </c>
      <c r="O607" s="303" t="s">
        <v>2030</v>
      </c>
      <c r="P607" s="328">
        <v>43397</v>
      </c>
      <c r="Q607" s="303" t="s">
        <v>1952</v>
      </c>
      <c r="R607" s="303">
        <f t="shared" si="13"/>
        <v>1</v>
      </c>
      <c r="S607" s="303">
        <v>1</v>
      </c>
    </row>
    <row r="608" spans="1:19" x14ac:dyDescent="0.25">
      <c r="A608" s="303" t="s">
        <v>2752</v>
      </c>
      <c r="B608" s="303" t="s">
        <v>2751</v>
      </c>
      <c r="C608" s="328">
        <v>43397</v>
      </c>
      <c r="D608" s="303" t="s">
        <v>1965</v>
      </c>
      <c r="E608" s="303" t="s">
        <v>1964</v>
      </c>
      <c r="F608" s="303" t="s">
        <v>1908</v>
      </c>
      <c r="G608" s="303" t="s">
        <v>1388</v>
      </c>
      <c r="H608" s="303" t="s">
        <v>1956</v>
      </c>
      <c r="I608" s="304">
        <v>13850</v>
      </c>
      <c r="J608" s="303" t="s">
        <v>1918</v>
      </c>
      <c r="K608" s="303" t="s">
        <v>2183</v>
      </c>
      <c r="L608" s="303" t="s">
        <v>1956</v>
      </c>
      <c r="M608" s="303" t="s">
        <v>2750</v>
      </c>
      <c r="N608" s="303" t="s">
        <v>1987</v>
      </c>
      <c r="O608" s="303" t="s">
        <v>1986</v>
      </c>
      <c r="P608" s="328">
        <v>43397</v>
      </c>
      <c r="Q608" s="303" t="s">
        <v>1952</v>
      </c>
      <c r="R608" s="303">
        <f t="shared" si="13"/>
        <v>1</v>
      </c>
      <c r="S608" s="303">
        <v>1</v>
      </c>
    </row>
    <row r="609" spans="1:19" x14ac:dyDescent="0.25">
      <c r="A609" s="303" t="s">
        <v>2752</v>
      </c>
      <c r="B609" s="303" t="s">
        <v>2751</v>
      </c>
      <c r="C609" s="328">
        <v>43397</v>
      </c>
      <c r="D609" s="303" t="s">
        <v>1961</v>
      </c>
      <c r="E609" s="303" t="s">
        <v>1960</v>
      </c>
      <c r="F609" s="303" t="s">
        <v>1908</v>
      </c>
      <c r="G609" s="303" t="s">
        <v>1388</v>
      </c>
      <c r="H609" s="303" t="s">
        <v>1956</v>
      </c>
      <c r="I609" s="304">
        <v>-13850</v>
      </c>
      <c r="J609" s="303" t="s">
        <v>1918</v>
      </c>
      <c r="K609" s="303" t="s">
        <v>2183</v>
      </c>
      <c r="L609" s="303" t="s">
        <v>1956</v>
      </c>
      <c r="M609" s="303" t="s">
        <v>2750</v>
      </c>
      <c r="N609" s="303" t="s">
        <v>1987</v>
      </c>
      <c r="O609" s="303" t="s">
        <v>1986</v>
      </c>
      <c r="P609" s="328">
        <v>43397</v>
      </c>
      <c r="Q609" s="303" t="s">
        <v>1952</v>
      </c>
      <c r="R609" s="303">
        <f t="shared" si="13"/>
        <v>1</v>
      </c>
      <c r="S609" s="303">
        <v>1</v>
      </c>
    </row>
    <row r="610" spans="1:19" x14ac:dyDescent="0.25">
      <c r="A610" s="303" t="s">
        <v>2749</v>
      </c>
      <c r="B610" s="303" t="s">
        <v>2748</v>
      </c>
      <c r="C610" s="328">
        <v>43397</v>
      </c>
      <c r="D610" s="303" t="s">
        <v>1965</v>
      </c>
      <c r="E610" s="303" t="s">
        <v>1964</v>
      </c>
      <c r="F610" s="303" t="s">
        <v>1832</v>
      </c>
      <c r="G610" s="303" t="s">
        <v>1427</v>
      </c>
      <c r="H610" s="303" t="s">
        <v>1956</v>
      </c>
      <c r="I610" s="304">
        <v>226</v>
      </c>
      <c r="J610" s="303" t="s">
        <v>1958</v>
      </c>
      <c r="K610" s="303" t="s">
        <v>1957</v>
      </c>
      <c r="L610" s="303" t="s">
        <v>1956</v>
      </c>
      <c r="M610" s="303" t="s">
        <v>2022</v>
      </c>
      <c r="N610" s="303" t="s">
        <v>1987</v>
      </c>
      <c r="O610" s="303" t="s">
        <v>1986</v>
      </c>
      <c r="P610" s="328">
        <v>43397</v>
      </c>
      <c r="Q610" s="303" t="s">
        <v>1952</v>
      </c>
      <c r="R610" s="303">
        <f t="shared" si="13"/>
        <v>0</v>
      </c>
      <c r="S610" s="303">
        <v>0</v>
      </c>
    </row>
    <row r="611" spans="1:19" x14ac:dyDescent="0.25">
      <c r="A611" s="303" t="s">
        <v>2749</v>
      </c>
      <c r="B611" s="303" t="s">
        <v>2748</v>
      </c>
      <c r="C611" s="328">
        <v>43397</v>
      </c>
      <c r="D611" s="303" t="s">
        <v>1961</v>
      </c>
      <c r="E611" s="303" t="s">
        <v>1960</v>
      </c>
      <c r="F611" s="303" t="s">
        <v>1832</v>
      </c>
      <c r="G611" s="303" t="s">
        <v>1427</v>
      </c>
      <c r="H611" s="303" t="s">
        <v>1956</v>
      </c>
      <c r="I611" s="304">
        <v>-226</v>
      </c>
      <c r="J611" s="303" t="s">
        <v>1958</v>
      </c>
      <c r="K611" s="303" t="s">
        <v>1957</v>
      </c>
      <c r="L611" s="303" t="s">
        <v>1956</v>
      </c>
      <c r="M611" s="303" t="s">
        <v>2022</v>
      </c>
      <c r="N611" s="303" t="s">
        <v>1987</v>
      </c>
      <c r="O611" s="303" t="s">
        <v>1986</v>
      </c>
      <c r="P611" s="328">
        <v>43397</v>
      </c>
      <c r="Q611" s="303" t="s">
        <v>1952</v>
      </c>
      <c r="R611" s="303">
        <f t="shared" si="13"/>
        <v>0</v>
      </c>
      <c r="S611" s="303">
        <v>0</v>
      </c>
    </row>
    <row r="612" spans="1:19" x14ac:dyDescent="0.25">
      <c r="A612" s="303" t="s">
        <v>2747</v>
      </c>
      <c r="B612" s="303" t="s">
        <v>2746</v>
      </c>
      <c r="C612" s="328">
        <v>43397</v>
      </c>
      <c r="D612" s="303" t="s">
        <v>1965</v>
      </c>
      <c r="E612" s="303" t="s">
        <v>1964</v>
      </c>
      <c r="F612" s="303" t="s">
        <v>1832</v>
      </c>
      <c r="G612" s="303" t="s">
        <v>1427</v>
      </c>
      <c r="H612" s="303" t="s">
        <v>1956</v>
      </c>
      <c r="I612" s="304">
        <v>961</v>
      </c>
      <c r="J612" s="303" t="s">
        <v>1967</v>
      </c>
      <c r="K612" s="303" t="s">
        <v>1427</v>
      </c>
      <c r="L612" s="303" t="s">
        <v>1956</v>
      </c>
      <c r="M612" s="303" t="s">
        <v>2019</v>
      </c>
      <c r="N612" s="303" t="s">
        <v>1987</v>
      </c>
      <c r="O612" s="303" t="s">
        <v>1986</v>
      </c>
      <c r="P612" s="328">
        <v>43397</v>
      </c>
      <c r="Q612" s="303" t="s">
        <v>1952</v>
      </c>
      <c r="R612" s="303">
        <f t="shared" si="13"/>
        <v>0</v>
      </c>
      <c r="S612" s="303">
        <v>0</v>
      </c>
    </row>
    <row r="613" spans="1:19" x14ac:dyDescent="0.25">
      <c r="A613" s="303" t="s">
        <v>2747</v>
      </c>
      <c r="B613" s="303" t="s">
        <v>2746</v>
      </c>
      <c r="C613" s="328">
        <v>43397</v>
      </c>
      <c r="D613" s="303" t="s">
        <v>1961</v>
      </c>
      <c r="E613" s="303" t="s">
        <v>1960</v>
      </c>
      <c r="F613" s="303" t="s">
        <v>1832</v>
      </c>
      <c r="G613" s="303" t="s">
        <v>1427</v>
      </c>
      <c r="H613" s="303" t="s">
        <v>1956</v>
      </c>
      <c r="I613" s="304">
        <v>-961</v>
      </c>
      <c r="J613" s="303" t="s">
        <v>1967</v>
      </c>
      <c r="K613" s="303" t="s">
        <v>1427</v>
      </c>
      <c r="L613" s="303" t="s">
        <v>1956</v>
      </c>
      <c r="M613" s="303" t="s">
        <v>2019</v>
      </c>
      <c r="N613" s="303" t="s">
        <v>1987</v>
      </c>
      <c r="O613" s="303" t="s">
        <v>1986</v>
      </c>
      <c r="P613" s="328">
        <v>43397</v>
      </c>
      <c r="Q613" s="303" t="s">
        <v>1952</v>
      </c>
      <c r="R613" s="303">
        <f t="shared" si="13"/>
        <v>0</v>
      </c>
      <c r="S613" s="303">
        <v>0</v>
      </c>
    </row>
    <row r="614" spans="1:19" x14ac:dyDescent="0.25">
      <c r="A614" s="303" t="s">
        <v>2745</v>
      </c>
      <c r="B614" s="303" t="s">
        <v>2744</v>
      </c>
      <c r="C614" s="328">
        <v>43397</v>
      </c>
      <c r="D614" s="303" t="s">
        <v>1965</v>
      </c>
      <c r="E614" s="303" t="s">
        <v>1964</v>
      </c>
      <c r="F614" s="303" t="s">
        <v>1747</v>
      </c>
      <c r="G614" s="303" t="s">
        <v>1475</v>
      </c>
      <c r="H614" s="303" t="s">
        <v>1956</v>
      </c>
      <c r="I614" s="304">
        <v>4245</v>
      </c>
      <c r="J614" s="303" t="s">
        <v>1958</v>
      </c>
      <c r="K614" s="303" t="s">
        <v>1957</v>
      </c>
      <c r="L614" s="303" t="s">
        <v>1956</v>
      </c>
      <c r="M614" s="303" t="s">
        <v>2022</v>
      </c>
      <c r="N614" s="303" t="s">
        <v>1987</v>
      </c>
      <c r="O614" s="303" t="s">
        <v>1986</v>
      </c>
      <c r="P614" s="328">
        <v>43397</v>
      </c>
      <c r="Q614" s="303" t="s">
        <v>1952</v>
      </c>
      <c r="R614" s="303">
        <f t="shared" si="13"/>
        <v>0</v>
      </c>
      <c r="S614" s="303">
        <v>0</v>
      </c>
    </row>
    <row r="615" spans="1:19" x14ac:dyDescent="0.25">
      <c r="A615" s="303" t="s">
        <v>2745</v>
      </c>
      <c r="B615" s="303" t="s">
        <v>2744</v>
      </c>
      <c r="C615" s="328">
        <v>43397</v>
      </c>
      <c r="D615" s="303" t="s">
        <v>1961</v>
      </c>
      <c r="E615" s="303" t="s">
        <v>1960</v>
      </c>
      <c r="F615" s="303" t="s">
        <v>1747</v>
      </c>
      <c r="G615" s="303" t="s">
        <v>1475</v>
      </c>
      <c r="H615" s="303" t="s">
        <v>1956</v>
      </c>
      <c r="I615" s="304">
        <v>-4245</v>
      </c>
      <c r="J615" s="303" t="s">
        <v>1958</v>
      </c>
      <c r="K615" s="303" t="s">
        <v>1957</v>
      </c>
      <c r="L615" s="303" t="s">
        <v>1956</v>
      </c>
      <c r="M615" s="303" t="s">
        <v>2022</v>
      </c>
      <c r="N615" s="303" t="s">
        <v>1987</v>
      </c>
      <c r="O615" s="303" t="s">
        <v>1986</v>
      </c>
      <c r="P615" s="328">
        <v>43397</v>
      </c>
      <c r="Q615" s="303" t="s">
        <v>1952</v>
      </c>
      <c r="R615" s="303">
        <f t="shared" si="13"/>
        <v>0</v>
      </c>
      <c r="S615" s="303">
        <v>0</v>
      </c>
    </row>
    <row r="616" spans="1:19" x14ac:dyDescent="0.25">
      <c r="A616" s="303" t="s">
        <v>2743</v>
      </c>
      <c r="B616" s="303" t="s">
        <v>2742</v>
      </c>
      <c r="C616" s="328">
        <v>43397</v>
      </c>
      <c r="D616" s="303" t="s">
        <v>1965</v>
      </c>
      <c r="E616" s="303" t="s">
        <v>1964</v>
      </c>
      <c r="F616" s="303" t="s">
        <v>1747</v>
      </c>
      <c r="G616" s="303" t="s">
        <v>1475</v>
      </c>
      <c r="H616" s="303" t="s">
        <v>1956</v>
      </c>
      <c r="I616" s="304">
        <v>18063</v>
      </c>
      <c r="J616" s="303" t="s">
        <v>1967</v>
      </c>
      <c r="K616" s="303" t="s">
        <v>1475</v>
      </c>
      <c r="L616" s="303" t="s">
        <v>1956</v>
      </c>
      <c r="M616" s="303" t="s">
        <v>2019</v>
      </c>
      <c r="N616" s="303" t="s">
        <v>1987</v>
      </c>
      <c r="O616" s="303" t="s">
        <v>1986</v>
      </c>
      <c r="P616" s="328">
        <v>43397</v>
      </c>
      <c r="Q616" s="303" t="s">
        <v>1952</v>
      </c>
      <c r="R616" s="303">
        <f t="shared" si="13"/>
        <v>0</v>
      </c>
      <c r="S616" s="303">
        <v>0</v>
      </c>
    </row>
    <row r="617" spans="1:19" x14ac:dyDescent="0.25">
      <c r="A617" s="303" t="s">
        <v>2743</v>
      </c>
      <c r="B617" s="303" t="s">
        <v>2742</v>
      </c>
      <c r="C617" s="328">
        <v>43397</v>
      </c>
      <c r="D617" s="303" t="s">
        <v>1961</v>
      </c>
      <c r="E617" s="303" t="s">
        <v>1960</v>
      </c>
      <c r="F617" s="303" t="s">
        <v>1747</v>
      </c>
      <c r="G617" s="303" t="s">
        <v>1475</v>
      </c>
      <c r="H617" s="303" t="s">
        <v>1956</v>
      </c>
      <c r="I617" s="304">
        <v>-18063</v>
      </c>
      <c r="J617" s="303" t="s">
        <v>1967</v>
      </c>
      <c r="K617" s="303" t="s">
        <v>1475</v>
      </c>
      <c r="L617" s="303" t="s">
        <v>1956</v>
      </c>
      <c r="M617" s="303" t="s">
        <v>2019</v>
      </c>
      <c r="N617" s="303" t="s">
        <v>1987</v>
      </c>
      <c r="O617" s="303" t="s">
        <v>1986</v>
      </c>
      <c r="P617" s="328">
        <v>43397</v>
      </c>
      <c r="Q617" s="303" t="s">
        <v>1952</v>
      </c>
      <c r="R617" s="303">
        <f t="shared" si="13"/>
        <v>0</v>
      </c>
      <c r="S617" s="303">
        <v>0</v>
      </c>
    </row>
    <row r="618" spans="1:19" x14ac:dyDescent="0.25">
      <c r="A618" s="303" t="s">
        <v>2741</v>
      </c>
      <c r="B618" s="303" t="s">
        <v>2740</v>
      </c>
      <c r="C618" s="328">
        <v>43398</v>
      </c>
      <c r="D618" s="303" t="s">
        <v>1965</v>
      </c>
      <c r="E618" s="303" t="s">
        <v>1964</v>
      </c>
      <c r="F618" s="303" t="s">
        <v>1729</v>
      </c>
      <c r="G618" s="303" t="s">
        <v>1499</v>
      </c>
      <c r="H618" s="303" t="s">
        <v>1956</v>
      </c>
      <c r="I618" s="304">
        <v>3031</v>
      </c>
      <c r="J618" s="303" t="s">
        <v>1759</v>
      </c>
      <c r="K618" s="303" t="s">
        <v>2072</v>
      </c>
      <c r="L618" s="303" t="s">
        <v>1956</v>
      </c>
      <c r="M618" s="303" t="s">
        <v>2739</v>
      </c>
      <c r="N618" s="303" t="s">
        <v>1987</v>
      </c>
      <c r="O618" s="303" t="s">
        <v>1986</v>
      </c>
      <c r="P618" s="328">
        <v>43398</v>
      </c>
      <c r="Q618" s="303" t="s">
        <v>1952</v>
      </c>
      <c r="R618" s="303">
        <f t="shared" si="13"/>
        <v>1</v>
      </c>
      <c r="S618" s="303">
        <v>1</v>
      </c>
    </row>
    <row r="619" spans="1:19" x14ac:dyDescent="0.25">
      <c r="A619" s="303" t="s">
        <v>2741</v>
      </c>
      <c r="B619" s="303" t="s">
        <v>2740</v>
      </c>
      <c r="C619" s="328">
        <v>43398</v>
      </c>
      <c r="D619" s="303" t="s">
        <v>1961</v>
      </c>
      <c r="E619" s="303" t="s">
        <v>1960</v>
      </c>
      <c r="F619" s="303" t="s">
        <v>1729</v>
      </c>
      <c r="G619" s="303" t="s">
        <v>1499</v>
      </c>
      <c r="H619" s="303" t="s">
        <v>1956</v>
      </c>
      <c r="I619" s="304">
        <v>-3031</v>
      </c>
      <c r="J619" s="303" t="s">
        <v>1759</v>
      </c>
      <c r="K619" s="303" t="s">
        <v>2072</v>
      </c>
      <c r="L619" s="303" t="s">
        <v>1956</v>
      </c>
      <c r="M619" s="303" t="s">
        <v>2739</v>
      </c>
      <c r="N619" s="303" t="s">
        <v>1987</v>
      </c>
      <c r="O619" s="303" t="s">
        <v>1986</v>
      </c>
      <c r="P619" s="328">
        <v>43398</v>
      </c>
      <c r="Q619" s="303" t="s">
        <v>1952</v>
      </c>
      <c r="R619" s="303">
        <f t="shared" si="13"/>
        <v>1</v>
      </c>
      <c r="S619" s="303">
        <v>1</v>
      </c>
    </row>
    <row r="620" spans="1:19" x14ac:dyDescent="0.25">
      <c r="A620" s="303" t="s">
        <v>2738</v>
      </c>
      <c r="B620" s="303" t="s">
        <v>2737</v>
      </c>
      <c r="C620" s="328">
        <v>43398</v>
      </c>
      <c r="D620" s="303" t="s">
        <v>1965</v>
      </c>
      <c r="E620" s="303" t="s">
        <v>1964</v>
      </c>
      <c r="F620" s="303" t="s">
        <v>1741</v>
      </c>
      <c r="G620" s="303" t="s">
        <v>1484</v>
      </c>
      <c r="H620" s="303" t="s">
        <v>1956</v>
      </c>
      <c r="I620" s="304">
        <v>7050</v>
      </c>
      <c r="J620" s="303" t="s">
        <v>1958</v>
      </c>
      <c r="K620" s="303" t="s">
        <v>1957</v>
      </c>
      <c r="L620" s="303" t="s">
        <v>1956</v>
      </c>
      <c r="M620" s="303" t="s">
        <v>2022</v>
      </c>
      <c r="N620" s="303" t="s">
        <v>1987</v>
      </c>
      <c r="O620" s="303" t="s">
        <v>1986</v>
      </c>
      <c r="P620" s="328">
        <v>43398</v>
      </c>
      <c r="Q620" s="303" t="s">
        <v>1952</v>
      </c>
      <c r="R620" s="303">
        <f t="shared" si="13"/>
        <v>0</v>
      </c>
      <c r="S620" s="303">
        <v>0</v>
      </c>
    </row>
    <row r="621" spans="1:19" x14ac:dyDescent="0.25">
      <c r="A621" s="303" t="s">
        <v>2738</v>
      </c>
      <c r="B621" s="303" t="s">
        <v>2737</v>
      </c>
      <c r="C621" s="328">
        <v>43398</v>
      </c>
      <c r="D621" s="303" t="s">
        <v>1961</v>
      </c>
      <c r="E621" s="303" t="s">
        <v>1960</v>
      </c>
      <c r="F621" s="303" t="s">
        <v>1741</v>
      </c>
      <c r="G621" s="303" t="s">
        <v>1484</v>
      </c>
      <c r="H621" s="303" t="s">
        <v>1956</v>
      </c>
      <c r="I621" s="304">
        <v>-7050</v>
      </c>
      <c r="J621" s="303" t="s">
        <v>1958</v>
      </c>
      <c r="K621" s="303" t="s">
        <v>1957</v>
      </c>
      <c r="L621" s="303" t="s">
        <v>1956</v>
      </c>
      <c r="M621" s="303" t="s">
        <v>2022</v>
      </c>
      <c r="N621" s="303" t="s">
        <v>1987</v>
      </c>
      <c r="O621" s="303" t="s">
        <v>1986</v>
      </c>
      <c r="P621" s="328">
        <v>43398</v>
      </c>
      <c r="Q621" s="303" t="s">
        <v>1952</v>
      </c>
      <c r="R621" s="303">
        <f t="shared" si="13"/>
        <v>0</v>
      </c>
      <c r="S621" s="303">
        <v>0</v>
      </c>
    </row>
    <row r="622" spans="1:19" x14ac:dyDescent="0.25">
      <c r="A622" s="303" t="s">
        <v>2736</v>
      </c>
      <c r="B622" s="303" t="s">
        <v>2735</v>
      </c>
      <c r="C622" s="328">
        <v>43398</v>
      </c>
      <c r="D622" s="303" t="s">
        <v>1965</v>
      </c>
      <c r="E622" s="303" t="s">
        <v>1964</v>
      </c>
      <c r="F622" s="303" t="s">
        <v>1741</v>
      </c>
      <c r="G622" s="303" t="s">
        <v>1484</v>
      </c>
      <c r="H622" s="303" t="s">
        <v>1956</v>
      </c>
      <c r="I622" s="304">
        <v>30000</v>
      </c>
      <c r="J622" s="303" t="s">
        <v>1967</v>
      </c>
      <c r="K622" s="303" t="s">
        <v>1484</v>
      </c>
      <c r="L622" s="303" t="s">
        <v>1956</v>
      </c>
      <c r="M622" s="303" t="s">
        <v>2019</v>
      </c>
      <c r="N622" s="303" t="s">
        <v>1987</v>
      </c>
      <c r="O622" s="303" t="s">
        <v>1986</v>
      </c>
      <c r="P622" s="328">
        <v>43398</v>
      </c>
      <c r="Q622" s="303" t="s">
        <v>1952</v>
      </c>
      <c r="R622" s="303">
        <f t="shared" si="13"/>
        <v>0</v>
      </c>
      <c r="S622" s="303">
        <v>0</v>
      </c>
    </row>
    <row r="623" spans="1:19" x14ac:dyDescent="0.25">
      <c r="A623" s="303" t="s">
        <v>2736</v>
      </c>
      <c r="B623" s="303" t="s">
        <v>2735</v>
      </c>
      <c r="C623" s="328">
        <v>43398</v>
      </c>
      <c r="D623" s="303" t="s">
        <v>1961</v>
      </c>
      <c r="E623" s="303" t="s">
        <v>1960</v>
      </c>
      <c r="F623" s="303" t="s">
        <v>1741</v>
      </c>
      <c r="G623" s="303" t="s">
        <v>1484</v>
      </c>
      <c r="H623" s="303" t="s">
        <v>1956</v>
      </c>
      <c r="I623" s="304">
        <v>-30000</v>
      </c>
      <c r="J623" s="303" t="s">
        <v>1967</v>
      </c>
      <c r="K623" s="303" t="s">
        <v>1484</v>
      </c>
      <c r="L623" s="303" t="s">
        <v>1956</v>
      </c>
      <c r="M623" s="303" t="s">
        <v>2019</v>
      </c>
      <c r="N623" s="303" t="s">
        <v>1987</v>
      </c>
      <c r="O623" s="303" t="s">
        <v>1986</v>
      </c>
      <c r="P623" s="328">
        <v>43398</v>
      </c>
      <c r="Q623" s="303" t="s">
        <v>1952</v>
      </c>
      <c r="R623" s="303">
        <f t="shared" si="13"/>
        <v>0</v>
      </c>
      <c r="S623" s="303">
        <v>0</v>
      </c>
    </row>
    <row r="624" spans="1:19" x14ac:dyDescent="0.25">
      <c r="A624" s="303" t="s">
        <v>2734</v>
      </c>
      <c r="B624" s="303" t="s">
        <v>2733</v>
      </c>
      <c r="C624" s="328">
        <v>43402</v>
      </c>
      <c r="D624" s="303" t="s">
        <v>1965</v>
      </c>
      <c r="E624" s="303" t="s">
        <v>1964</v>
      </c>
      <c r="F624" s="303" t="s">
        <v>1719</v>
      </c>
      <c r="G624" s="303" t="s">
        <v>1511</v>
      </c>
      <c r="H624" s="303" t="s">
        <v>1956</v>
      </c>
      <c r="I624" s="304">
        <v>10694</v>
      </c>
      <c r="J624" s="303" t="s">
        <v>1958</v>
      </c>
      <c r="K624" s="303" t="s">
        <v>1957</v>
      </c>
      <c r="L624" s="303" t="s">
        <v>1956</v>
      </c>
      <c r="M624" s="303" t="s">
        <v>2022</v>
      </c>
      <c r="N624" s="303" t="s">
        <v>1987</v>
      </c>
      <c r="O624" s="303" t="s">
        <v>1986</v>
      </c>
      <c r="P624" s="328">
        <v>43402</v>
      </c>
      <c r="Q624" s="303" t="s">
        <v>1952</v>
      </c>
      <c r="R624" s="303">
        <f t="shared" si="13"/>
        <v>0</v>
      </c>
      <c r="S624" s="303">
        <v>0</v>
      </c>
    </row>
    <row r="625" spans="1:19" x14ac:dyDescent="0.25">
      <c r="A625" s="303" t="s">
        <v>2734</v>
      </c>
      <c r="B625" s="303" t="s">
        <v>2733</v>
      </c>
      <c r="C625" s="328">
        <v>43402</v>
      </c>
      <c r="D625" s="303" t="s">
        <v>1961</v>
      </c>
      <c r="E625" s="303" t="s">
        <v>1960</v>
      </c>
      <c r="F625" s="303" t="s">
        <v>1719</v>
      </c>
      <c r="G625" s="303" t="s">
        <v>1511</v>
      </c>
      <c r="H625" s="303" t="s">
        <v>1956</v>
      </c>
      <c r="I625" s="304">
        <v>-10694</v>
      </c>
      <c r="J625" s="303" t="s">
        <v>1958</v>
      </c>
      <c r="K625" s="303" t="s">
        <v>1957</v>
      </c>
      <c r="L625" s="303" t="s">
        <v>1956</v>
      </c>
      <c r="M625" s="303" t="s">
        <v>2022</v>
      </c>
      <c r="N625" s="303" t="s">
        <v>1987</v>
      </c>
      <c r="O625" s="303" t="s">
        <v>1986</v>
      </c>
      <c r="P625" s="328">
        <v>43402</v>
      </c>
      <c r="Q625" s="303" t="s">
        <v>1952</v>
      </c>
      <c r="R625" s="303">
        <f t="shared" si="13"/>
        <v>0</v>
      </c>
      <c r="S625" s="303">
        <v>0</v>
      </c>
    </row>
    <row r="626" spans="1:19" x14ac:dyDescent="0.25">
      <c r="A626" s="303" t="s">
        <v>2732</v>
      </c>
      <c r="B626" s="303" t="s">
        <v>2731</v>
      </c>
      <c r="C626" s="328">
        <v>43402</v>
      </c>
      <c r="D626" s="303" t="s">
        <v>1965</v>
      </c>
      <c r="E626" s="303" t="s">
        <v>1964</v>
      </c>
      <c r="F626" s="303" t="s">
        <v>1719</v>
      </c>
      <c r="G626" s="303" t="s">
        <v>1511</v>
      </c>
      <c r="H626" s="303" t="s">
        <v>1956</v>
      </c>
      <c r="I626" s="304">
        <v>45506</v>
      </c>
      <c r="J626" s="303" t="s">
        <v>1967</v>
      </c>
      <c r="K626" s="303" t="s">
        <v>1511</v>
      </c>
      <c r="L626" s="303" t="s">
        <v>1956</v>
      </c>
      <c r="M626" s="303" t="s">
        <v>2019</v>
      </c>
      <c r="N626" s="303" t="s">
        <v>1987</v>
      </c>
      <c r="O626" s="303" t="s">
        <v>1986</v>
      </c>
      <c r="P626" s="328">
        <v>43402</v>
      </c>
      <c r="Q626" s="303" t="s">
        <v>1952</v>
      </c>
      <c r="R626" s="303">
        <f t="shared" si="13"/>
        <v>0</v>
      </c>
      <c r="S626" s="303">
        <v>0</v>
      </c>
    </row>
    <row r="627" spans="1:19" x14ac:dyDescent="0.25">
      <c r="A627" s="303" t="s">
        <v>2732</v>
      </c>
      <c r="B627" s="303" t="s">
        <v>2731</v>
      </c>
      <c r="C627" s="328">
        <v>43402</v>
      </c>
      <c r="D627" s="303" t="s">
        <v>1961</v>
      </c>
      <c r="E627" s="303" t="s">
        <v>1960</v>
      </c>
      <c r="F627" s="303" t="s">
        <v>1719</v>
      </c>
      <c r="G627" s="303" t="s">
        <v>1511</v>
      </c>
      <c r="H627" s="303" t="s">
        <v>1956</v>
      </c>
      <c r="I627" s="304">
        <v>-45506</v>
      </c>
      <c r="J627" s="303" t="s">
        <v>1967</v>
      </c>
      <c r="K627" s="303" t="s">
        <v>1511</v>
      </c>
      <c r="L627" s="303" t="s">
        <v>1956</v>
      </c>
      <c r="M627" s="303" t="s">
        <v>2019</v>
      </c>
      <c r="N627" s="303" t="s">
        <v>1987</v>
      </c>
      <c r="O627" s="303" t="s">
        <v>1986</v>
      </c>
      <c r="P627" s="328">
        <v>43402</v>
      </c>
      <c r="Q627" s="303" t="s">
        <v>1952</v>
      </c>
      <c r="R627" s="303">
        <f t="shared" si="13"/>
        <v>0</v>
      </c>
      <c r="S627" s="303">
        <v>0</v>
      </c>
    </row>
    <row r="628" spans="1:19" x14ac:dyDescent="0.25">
      <c r="A628" s="303" t="s">
        <v>2730</v>
      </c>
      <c r="B628" s="303" t="s">
        <v>2729</v>
      </c>
      <c r="C628" s="328">
        <v>43402</v>
      </c>
      <c r="D628" s="303" t="s">
        <v>1965</v>
      </c>
      <c r="E628" s="303" t="s">
        <v>1964</v>
      </c>
      <c r="F628" s="303" t="s">
        <v>1856</v>
      </c>
      <c r="G628" s="303" t="s">
        <v>1421</v>
      </c>
      <c r="H628" s="303" t="s">
        <v>1956</v>
      </c>
      <c r="I628" s="304">
        <v>7873</v>
      </c>
      <c r="J628" s="303" t="s">
        <v>1958</v>
      </c>
      <c r="K628" s="303" t="s">
        <v>1957</v>
      </c>
      <c r="L628" s="303" t="s">
        <v>1956</v>
      </c>
      <c r="M628" s="303" t="s">
        <v>2022</v>
      </c>
      <c r="N628" s="303" t="s">
        <v>1987</v>
      </c>
      <c r="O628" s="303" t="s">
        <v>1986</v>
      </c>
      <c r="P628" s="328">
        <v>43402</v>
      </c>
      <c r="Q628" s="303" t="s">
        <v>1952</v>
      </c>
      <c r="R628" s="303">
        <f t="shared" si="13"/>
        <v>0</v>
      </c>
      <c r="S628" s="303">
        <v>0</v>
      </c>
    </row>
    <row r="629" spans="1:19" x14ac:dyDescent="0.25">
      <c r="A629" s="303" t="s">
        <v>2730</v>
      </c>
      <c r="B629" s="303" t="s">
        <v>2729</v>
      </c>
      <c r="C629" s="328">
        <v>43402</v>
      </c>
      <c r="D629" s="303" t="s">
        <v>1961</v>
      </c>
      <c r="E629" s="303" t="s">
        <v>1960</v>
      </c>
      <c r="F629" s="303" t="s">
        <v>1856</v>
      </c>
      <c r="G629" s="303" t="s">
        <v>1421</v>
      </c>
      <c r="H629" s="303" t="s">
        <v>1956</v>
      </c>
      <c r="I629" s="304">
        <v>-7873</v>
      </c>
      <c r="J629" s="303" t="s">
        <v>1958</v>
      </c>
      <c r="K629" s="303" t="s">
        <v>1957</v>
      </c>
      <c r="L629" s="303" t="s">
        <v>1956</v>
      </c>
      <c r="M629" s="303" t="s">
        <v>2022</v>
      </c>
      <c r="N629" s="303" t="s">
        <v>1987</v>
      </c>
      <c r="O629" s="303" t="s">
        <v>1986</v>
      </c>
      <c r="P629" s="328">
        <v>43402</v>
      </c>
      <c r="Q629" s="303" t="s">
        <v>1952</v>
      </c>
      <c r="R629" s="303">
        <f t="shared" si="13"/>
        <v>0</v>
      </c>
      <c r="S629" s="303">
        <v>0</v>
      </c>
    </row>
    <row r="630" spans="1:19" x14ac:dyDescent="0.25">
      <c r="A630" s="303" t="s">
        <v>2728</v>
      </c>
      <c r="B630" s="303" t="s">
        <v>2727</v>
      </c>
      <c r="C630" s="328">
        <v>43402</v>
      </c>
      <c r="D630" s="303" t="s">
        <v>1965</v>
      </c>
      <c r="E630" s="303" t="s">
        <v>1964</v>
      </c>
      <c r="F630" s="303" t="s">
        <v>1856</v>
      </c>
      <c r="G630" s="303" t="s">
        <v>1421</v>
      </c>
      <c r="H630" s="303" t="s">
        <v>1956</v>
      </c>
      <c r="I630" s="304">
        <v>33500</v>
      </c>
      <c r="J630" s="303" t="s">
        <v>1967</v>
      </c>
      <c r="K630" s="303" t="s">
        <v>1421</v>
      </c>
      <c r="L630" s="303" t="s">
        <v>1956</v>
      </c>
      <c r="M630" s="303" t="s">
        <v>2019</v>
      </c>
      <c r="N630" s="303" t="s">
        <v>1987</v>
      </c>
      <c r="O630" s="303" t="s">
        <v>1986</v>
      </c>
      <c r="P630" s="328">
        <v>43402</v>
      </c>
      <c r="Q630" s="303" t="s">
        <v>1952</v>
      </c>
      <c r="R630" s="303">
        <f t="shared" si="13"/>
        <v>0</v>
      </c>
      <c r="S630" s="303">
        <v>0</v>
      </c>
    </row>
    <row r="631" spans="1:19" x14ac:dyDescent="0.25">
      <c r="A631" s="303" t="s">
        <v>2728</v>
      </c>
      <c r="B631" s="303" t="s">
        <v>2727</v>
      </c>
      <c r="C631" s="328">
        <v>43402</v>
      </c>
      <c r="D631" s="303" t="s">
        <v>1961</v>
      </c>
      <c r="E631" s="303" t="s">
        <v>1960</v>
      </c>
      <c r="F631" s="303" t="s">
        <v>1856</v>
      </c>
      <c r="G631" s="303" t="s">
        <v>1421</v>
      </c>
      <c r="H631" s="303" t="s">
        <v>1956</v>
      </c>
      <c r="I631" s="304">
        <v>-33500</v>
      </c>
      <c r="J631" s="303" t="s">
        <v>1967</v>
      </c>
      <c r="K631" s="303" t="s">
        <v>1421</v>
      </c>
      <c r="L631" s="303" t="s">
        <v>1956</v>
      </c>
      <c r="M631" s="303" t="s">
        <v>2019</v>
      </c>
      <c r="N631" s="303" t="s">
        <v>1987</v>
      </c>
      <c r="O631" s="303" t="s">
        <v>1986</v>
      </c>
      <c r="P631" s="328">
        <v>43402</v>
      </c>
      <c r="Q631" s="303" t="s">
        <v>1952</v>
      </c>
      <c r="R631" s="303">
        <f t="shared" si="13"/>
        <v>0</v>
      </c>
      <c r="S631" s="303">
        <v>0</v>
      </c>
    </row>
    <row r="632" spans="1:19" x14ac:dyDescent="0.25">
      <c r="A632" s="303" t="s">
        <v>2726</v>
      </c>
      <c r="B632" s="303" t="s">
        <v>2725</v>
      </c>
      <c r="C632" s="328">
        <v>43403</v>
      </c>
      <c r="D632" s="303" t="s">
        <v>1965</v>
      </c>
      <c r="E632" s="303" t="s">
        <v>1964</v>
      </c>
      <c r="F632" s="303" t="s">
        <v>1989</v>
      </c>
      <c r="G632" s="303" t="s">
        <v>1529</v>
      </c>
      <c r="H632" s="303" t="s">
        <v>1956</v>
      </c>
      <c r="I632" s="304">
        <v>10335</v>
      </c>
      <c r="J632" s="303" t="s">
        <v>1697</v>
      </c>
      <c r="K632" s="303" t="s">
        <v>1529</v>
      </c>
      <c r="L632" s="303" t="s">
        <v>1956</v>
      </c>
      <c r="M632" s="303" t="s">
        <v>2724</v>
      </c>
      <c r="N632" s="303" t="s">
        <v>1987</v>
      </c>
      <c r="O632" s="303" t="s">
        <v>1986</v>
      </c>
      <c r="P632" s="328">
        <v>43403</v>
      </c>
      <c r="Q632" s="303" t="s">
        <v>1952</v>
      </c>
      <c r="R632" s="303">
        <f t="shared" si="13"/>
        <v>1</v>
      </c>
      <c r="S632" s="303">
        <v>0</v>
      </c>
    </row>
    <row r="633" spans="1:19" x14ac:dyDescent="0.25">
      <c r="A633" s="303" t="s">
        <v>2726</v>
      </c>
      <c r="B633" s="303" t="s">
        <v>2725</v>
      </c>
      <c r="C633" s="328">
        <v>43403</v>
      </c>
      <c r="D633" s="303" t="s">
        <v>1961</v>
      </c>
      <c r="E633" s="303" t="s">
        <v>1960</v>
      </c>
      <c r="F633" s="303" t="s">
        <v>1989</v>
      </c>
      <c r="G633" s="303" t="s">
        <v>1529</v>
      </c>
      <c r="H633" s="303" t="s">
        <v>1956</v>
      </c>
      <c r="I633" s="304">
        <v>-10335</v>
      </c>
      <c r="J633" s="303" t="s">
        <v>1697</v>
      </c>
      <c r="K633" s="303" t="s">
        <v>1529</v>
      </c>
      <c r="L633" s="303" t="s">
        <v>1956</v>
      </c>
      <c r="M633" s="303" t="s">
        <v>2724</v>
      </c>
      <c r="N633" s="303" t="s">
        <v>1987</v>
      </c>
      <c r="O633" s="303" t="s">
        <v>1986</v>
      </c>
      <c r="P633" s="328">
        <v>43403</v>
      </c>
      <c r="Q633" s="303" t="s">
        <v>1952</v>
      </c>
      <c r="R633" s="303">
        <f t="shared" si="13"/>
        <v>1</v>
      </c>
      <c r="S633" s="303">
        <v>0</v>
      </c>
    </row>
    <row r="634" spans="1:19" x14ac:dyDescent="0.25">
      <c r="A634" s="303" t="s">
        <v>2723</v>
      </c>
      <c r="B634" s="303" t="s">
        <v>2722</v>
      </c>
      <c r="C634" s="328">
        <v>43406</v>
      </c>
      <c r="D634" s="303" t="s">
        <v>1965</v>
      </c>
      <c r="E634" s="303" t="s">
        <v>1964</v>
      </c>
      <c r="F634" s="303" t="s">
        <v>1967</v>
      </c>
      <c r="G634" s="303" t="s">
        <v>2027</v>
      </c>
      <c r="H634" s="303" t="s">
        <v>1956</v>
      </c>
      <c r="I634" s="304">
        <v>3196</v>
      </c>
      <c r="J634" s="303" t="s">
        <v>1609</v>
      </c>
      <c r="K634" s="303" t="s">
        <v>1609</v>
      </c>
      <c r="L634" s="303" t="s">
        <v>1609</v>
      </c>
      <c r="M634" s="303" t="s">
        <v>2719</v>
      </c>
      <c r="N634" s="303" t="s">
        <v>2622</v>
      </c>
      <c r="O634" s="303" t="s">
        <v>2621</v>
      </c>
      <c r="P634" s="328">
        <v>43406</v>
      </c>
      <c r="Q634" s="303" t="s">
        <v>1952</v>
      </c>
      <c r="R634" s="303">
        <f t="shared" si="13"/>
        <v>1</v>
      </c>
      <c r="S634" s="303">
        <v>0</v>
      </c>
    </row>
    <row r="635" spans="1:19" x14ac:dyDescent="0.25">
      <c r="A635" s="303" t="s">
        <v>2721</v>
      </c>
      <c r="B635" s="303" t="s">
        <v>2720</v>
      </c>
      <c r="C635" s="328">
        <v>43406</v>
      </c>
      <c r="D635" s="303" t="s">
        <v>1965</v>
      </c>
      <c r="E635" s="303" t="s">
        <v>1964</v>
      </c>
      <c r="F635" s="303" t="s">
        <v>1958</v>
      </c>
      <c r="G635" s="303" t="s">
        <v>1957</v>
      </c>
      <c r="H635" s="303" t="s">
        <v>1956</v>
      </c>
      <c r="I635" s="304">
        <v>751</v>
      </c>
      <c r="J635" s="303" t="s">
        <v>1609</v>
      </c>
      <c r="K635" s="303" t="s">
        <v>1609</v>
      </c>
      <c r="L635" s="303" t="s">
        <v>1609</v>
      </c>
      <c r="M635" s="303" t="s">
        <v>2719</v>
      </c>
      <c r="N635" s="303" t="s">
        <v>2622</v>
      </c>
      <c r="O635" s="303" t="s">
        <v>2621</v>
      </c>
      <c r="P635" s="328">
        <v>43406</v>
      </c>
      <c r="Q635" s="303" t="s">
        <v>1952</v>
      </c>
      <c r="R635" s="303">
        <f t="shared" si="13"/>
        <v>1</v>
      </c>
      <c r="S635" s="303">
        <v>1</v>
      </c>
    </row>
    <row r="636" spans="1:19" x14ac:dyDescent="0.25">
      <c r="A636" s="303" t="s">
        <v>2718</v>
      </c>
      <c r="B636" s="303" t="s">
        <v>2717</v>
      </c>
      <c r="C636" s="328">
        <v>43406</v>
      </c>
      <c r="D636" s="303" t="s">
        <v>1965</v>
      </c>
      <c r="E636" s="303" t="s">
        <v>1964</v>
      </c>
      <c r="F636" s="303" t="s">
        <v>1741</v>
      </c>
      <c r="G636" s="303" t="s">
        <v>1484</v>
      </c>
      <c r="H636" s="303" t="s">
        <v>1956</v>
      </c>
      <c r="I636" s="304">
        <v>20000</v>
      </c>
      <c r="J636" s="303" t="s">
        <v>1609</v>
      </c>
      <c r="K636" s="303" t="s">
        <v>1609</v>
      </c>
      <c r="L636" s="303" t="s">
        <v>1609</v>
      </c>
      <c r="M636" s="303" t="s">
        <v>2716</v>
      </c>
      <c r="N636" s="303" t="s">
        <v>2031</v>
      </c>
      <c r="O636" s="303" t="s">
        <v>2030</v>
      </c>
      <c r="P636" s="328">
        <v>43406</v>
      </c>
      <c r="Q636" s="303" t="s">
        <v>1952</v>
      </c>
      <c r="R636" s="303">
        <f t="shared" si="13"/>
        <v>1</v>
      </c>
      <c r="S636" s="303">
        <v>1</v>
      </c>
    </row>
    <row r="637" spans="1:19" x14ac:dyDescent="0.25">
      <c r="A637" s="303" t="s">
        <v>2715</v>
      </c>
      <c r="B637" s="303" t="s">
        <v>2714</v>
      </c>
      <c r="C637" s="328">
        <v>43406</v>
      </c>
      <c r="D637" s="303" t="s">
        <v>1965</v>
      </c>
      <c r="E637" s="303" t="s">
        <v>1964</v>
      </c>
      <c r="F637" s="303" t="s">
        <v>1741</v>
      </c>
      <c r="G637" s="303" t="s">
        <v>1484</v>
      </c>
      <c r="H637" s="303" t="s">
        <v>1956</v>
      </c>
      <c r="I637" s="304">
        <v>5000</v>
      </c>
      <c r="J637" s="303" t="s">
        <v>1609</v>
      </c>
      <c r="K637" s="303" t="s">
        <v>1609</v>
      </c>
      <c r="L637" s="303" t="s">
        <v>1609</v>
      </c>
      <c r="M637" s="303" t="s">
        <v>2713</v>
      </c>
      <c r="N637" s="303" t="s">
        <v>2031</v>
      </c>
      <c r="O637" s="303" t="s">
        <v>2030</v>
      </c>
      <c r="P637" s="328">
        <v>43406</v>
      </c>
      <c r="Q637" s="303" t="s">
        <v>1952</v>
      </c>
      <c r="R637" s="303">
        <f t="shared" si="13"/>
        <v>1</v>
      </c>
      <c r="S637" s="303">
        <v>1</v>
      </c>
    </row>
    <row r="638" spans="1:19" x14ac:dyDescent="0.25">
      <c r="A638" s="303" t="s">
        <v>2712</v>
      </c>
      <c r="B638" s="303" t="s">
        <v>2711</v>
      </c>
      <c r="C638" s="328">
        <v>43406</v>
      </c>
      <c r="D638" s="303" t="s">
        <v>1965</v>
      </c>
      <c r="E638" s="303" t="s">
        <v>1964</v>
      </c>
      <c r="F638" s="303" t="s">
        <v>1741</v>
      </c>
      <c r="G638" s="303" t="s">
        <v>1484</v>
      </c>
      <c r="H638" s="303" t="s">
        <v>1956</v>
      </c>
      <c r="I638" s="304">
        <v>5000</v>
      </c>
      <c r="J638" s="303" t="s">
        <v>1609</v>
      </c>
      <c r="K638" s="303" t="s">
        <v>1609</v>
      </c>
      <c r="L638" s="303" t="s">
        <v>1609</v>
      </c>
      <c r="M638" s="303" t="s">
        <v>2710</v>
      </c>
      <c r="N638" s="303" t="s">
        <v>2031</v>
      </c>
      <c r="O638" s="303" t="s">
        <v>2030</v>
      </c>
      <c r="P638" s="328">
        <v>43406</v>
      </c>
      <c r="Q638" s="303" t="s">
        <v>1952</v>
      </c>
      <c r="R638" s="303">
        <f t="shared" si="13"/>
        <v>1</v>
      </c>
      <c r="S638" s="303">
        <v>1</v>
      </c>
    </row>
    <row r="639" spans="1:19" x14ac:dyDescent="0.25">
      <c r="A639" s="303" t="s">
        <v>2709</v>
      </c>
      <c r="B639" s="303" t="s">
        <v>2708</v>
      </c>
      <c r="C639" s="328">
        <v>43406</v>
      </c>
      <c r="D639" s="303" t="s">
        <v>1965</v>
      </c>
      <c r="E639" s="303" t="s">
        <v>1964</v>
      </c>
      <c r="F639" s="303" t="s">
        <v>1918</v>
      </c>
      <c r="G639" s="303" t="s">
        <v>2183</v>
      </c>
      <c r="H639" s="303" t="s">
        <v>1956</v>
      </c>
      <c r="I639" s="304">
        <v>20000</v>
      </c>
      <c r="J639" s="303" t="s">
        <v>1609</v>
      </c>
      <c r="K639" s="303" t="s">
        <v>1609</v>
      </c>
      <c r="L639" s="303" t="s">
        <v>1609</v>
      </c>
      <c r="M639" s="303" t="s">
        <v>2707</v>
      </c>
      <c r="N639" s="303" t="s">
        <v>2031</v>
      </c>
      <c r="O639" s="303" t="s">
        <v>2030</v>
      </c>
      <c r="P639" s="328">
        <v>43406</v>
      </c>
      <c r="Q639" s="303" t="s">
        <v>1952</v>
      </c>
      <c r="R639" s="303">
        <f t="shared" si="13"/>
        <v>1</v>
      </c>
      <c r="S639" s="303">
        <v>1</v>
      </c>
    </row>
    <row r="640" spans="1:19" x14ac:dyDescent="0.25">
      <c r="A640" s="303" t="s">
        <v>2706</v>
      </c>
      <c r="B640" s="303" t="s">
        <v>2705</v>
      </c>
      <c r="C640" s="328">
        <v>43406</v>
      </c>
      <c r="D640" s="303" t="s">
        <v>1965</v>
      </c>
      <c r="E640" s="303" t="s">
        <v>1964</v>
      </c>
      <c r="F640" s="303" t="s">
        <v>1989</v>
      </c>
      <c r="G640" s="303" t="s">
        <v>1400</v>
      </c>
      <c r="H640" s="303" t="s">
        <v>1956</v>
      </c>
      <c r="I640" s="304">
        <v>4400</v>
      </c>
      <c r="J640" s="303" t="s">
        <v>1918</v>
      </c>
      <c r="K640" s="303" t="s">
        <v>2183</v>
      </c>
      <c r="L640" s="303" t="s">
        <v>1956</v>
      </c>
      <c r="M640" s="303" t="s">
        <v>2704</v>
      </c>
      <c r="N640" s="303" t="s">
        <v>1987</v>
      </c>
      <c r="O640" s="303" t="s">
        <v>1986</v>
      </c>
      <c r="P640" s="328">
        <v>43406</v>
      </c>
      <c r="Q640" s="303" t="s">
        <v>1952</v>
      </c>
      <c r="R640" s="303">
        <f t="shared" si="13"/>
        <v>1</v>
      </c>
      <c r="S640" s="303">
        <v>0</v>
      </c>
    </row>
    <row r="641" spans="1:19" x14ac:dyDescent="0.25">
      <c r="A641" s="303" t="s">
        <v>2706</v>
      </c>
      <c r="B641" s="303" t="s">
        <v>2705</v>
      </c>
      <c r="C641" s="328">
        <v>43406</v>
      </c>
      <c r="D641" s="303" t="s">
        <v>1961</v>
      </c>
      <c r="E641" s="303" t="s">
        <v>1960</v>
      </c>
      <c r="F641" s="303" t="s">
        <v>1989</v>
      </c>
      <c r="G641" s="303" t="s">
        <v>1400</v>
      </c>
      <c r="H641" s="303" t="s">
        <v>1956</v>
      </c>
      <c r="I641" s="304">
        <v>-4400</v>
      </c>
      <c r="J641" s="303" t="s">
        <v>1918</v>
      </c>
      <c r="K641" s="303" t="s">
        <v>2183</v>
      </c>
      <c r="L641" s="303" t="s">
        <v>1956</v>
      </c>
      <c r="M641" s="303" t="s">
        <v>2704</v>
      </c>
      <c r="N641" s="303" t="s">
        <v>1987</v>
      </c>
      <c r="O641" s="303" t="s">
        <v>1986</v>
      </c>
      <c r="P641" s="328">
        <v>43406</v>
      </c>
      <c r="Q641" s="303" t="s">
        <v>1952</v>
      </c>
      <c r="R641" s="303">
        <f t="shared" si="13"/>
        <v>1</v>
      </c>
      <c r="S641" s="303">
        <v>0</v>
      </c>
    </row>
    <row r="642" spans="1:19" x14ac:dyDescent="0.25">
      <c r="A642" s="303" t="s">
        <v>2703</v>
      </c>
      <c r="B642" s="303" t="s">
        <v>2702</v>
      </c>
      <c r="C642" s="328">
        <v>43406</v>
      </c>
      <c r="D642" s="303" t="s">
        <v>1965</v>
      </c>
      <c r="E642" s="303" t="s">
        <v>1964</v>
      </c>
      <c r="F642" s="303" t="s">
        <v>2014</v>
      </c>
      <c r="G642" s="303" t="s">
        <v>2161</v>
      </c>
      <c r="H642" s="303" t="s">
        <v>1956</v>
      </c>
      <c r="I642" s="304">
        <v>5000</v>
      </c>
      <c r="J642" s="303" t="s">
        <v>2014</v>
      </c>
      <c r="K642" s="303" t="s">
        <v>2123</v>
      </c>
      <c r="L642" s="303" t="s">
        <v>1956</v>
      </c>
      <c r="M642" s="303" t="s">
        <v>2701</v>
      </c>
      <c r="N642" s="303" t="s">
        <v>1987</v>
      </c>
      <c r="O642" s="303" t="s">
        <v>1986</v>
      </c>
      <c r="P642" s="328">
        <v>43406</v>
      </c>
      <c r="Q642" s="303" t="s">
        <v>1952</v>
      </c>
      <c r="R642" s="303">
        <f t="shared" si="13"/>
        <v>1</v>
      </c>
      <c r="S642" s="303">
        <v>0</v>
      </c>
    </row>
    <row r="643" spans="1:19" x14ac:dyDescent="0.25">
      <c r="A643" s="303" t="s">
        <v>2703</v>
      </c>
      <c r="B643" s="303" t="s">
        <v>2702</v>
      </c>
      <c r="C643" s="328">
        <v>43406</v>
      </c>
      <c r="D643" s="303" t="s">
        <v>1961</v>
      </c>
      <c r="E643" s="303" t="s">
        <v>1960</v>
      </c>
      <c r="F643" s="303" t="s">
        <v>2014</v>
      </c>
      <c r="G643" s="303" t="s">
        <v>2161</v>
      </c>
      <c r="H643" s="303" t="s">
        <v>1956</v>
      </c>
      <c r="I643" s="304">
        <v>-5000</v>
      </c>
      <c r="J643" s="303" t="s">
        <v>2014</v>
      </c>
      <c r="K643" s="303" t="s">
        <v>2123</v>
      </c>
      <c r="L643" s="303" t="s">
        <v>1956</v>
      </c>
      <c r="M643" s="303" t="s">
        <v>2701</v>
      </c>
      <c r="N643" s="303" t="s">
        <v>1987</v>
      </c>
      <c r="O643" s="303" t="s">
        <v>1986</v>
      </c>
      <c r="P643" s="328">
        <v>43406</v>
      </c>
      <c r="Q643" s="303" t="s">
        <v>1952</v>
      </c>
      <c r="R643" s="303">
        <f t="shared" ref="R643:R706" si="14">IF(OR(M643="transfert de B vers A",M643="transfert de B vers D",M643="transfert de A vers B",M643="transfert de D vers B",M643="carryover 2017 -&gt; 2018",IF(ISERR(SEARCH("fidélité",M643)),FALSE,TRUE),M643="Fermeture STI-FORM",M643="répartition AE/AC"),0,1)</f>
        <v>1</v>
      </c>
      <c r="S643" s="303">
        <v>0</v>
      </c>
    </row>
    <row r="644" spans="1:19" x14ac:dyDescent="0.25">
      <c r="A644" s="303" t="s">
        <v>2700</v>
      </c>
      <c r="B644" s="303" t="s">
        <v>2699</v>
      </c>
      <c r="C644" s="328">
        <v>43406</v>
      </c>
      <c r="D644" s="303" t="s">
        <v>1965</v>
      </c>
      <c r="E644" s="303" t="s">
        <v>1964</v>
      </c>
      <c r="F644" s="303" t="s">
        <v>2014</v>
      </c>
      <c r="G644" s="303" t="s">
        <v>1436</v>
      </c>
      <c r="H644" s="303" t="s">
        <v>1956</v>
      </c>
      <c r="I644" s="304">
        <v>3000</v>
      </c>
      <c r="J644" s="303" t="s">
        <v>2014</v>
      </c>
      <c r="K644" s="303" t="s">
        <v>2123</v>
      </c>
      <c r="L644" s="303" t="s">
        <v>1956</v>
      </c>
      <c r="M644" s="303" t="s">
        <v>2698</v>
      </c>
      <c r="N644" s="303" t="s">
        <v>1987</v>
      </c>
      <c r="O644" s="303" t="s">
        <v>1986</v>
      </c>
      <c r="P644" s="328">
        <v>43406</v>
      </c>
      <c r="Q644" s="303" t="s">
        <v>1952</v>
      </c>
      <c r="R644" s="303">
        <f t="shared" si="14"/>
        <v>1</v>
      </c>
      <c r="S644" s="303">
        <v>0</v>
      </c>
    </row>
    <row r="645" spans="1:19" x14ac:dyDescent="0.25">
      <c r="A645" s="303" t="s">
        <v>2700</v>
      </c>
      <c r="B645" s="303" t="s">
        <v>2699</v>
      </c>
      <c r="C645" s="328">
        <v>43406</v>
      </c>
      <c r="D645" s="303" t="s">
        <v>1961</v>
      </c>
      <c r="E645" s="303" t="s">
        <v>1960</v>
      </c>
      <c r="F645" s="303" t="s">
        <v>2014</v>
      </c>
      <c r="G645" s="303" t="s">
        <v>1436</v>
      </c>
      <c r="H645" s="303" t="s">
        <v>1956</v>
      </c>
      <c r="I645" s="304">
        <v>-3000</v>
      </c>
      <c r="J645" s="303" t="s">
        <v>2014</v>
      </c>
      <c r="K645" s="303" t="s">
        <v>2123</v>
      </c>
      <c r="L645" s="303" t="s">
        <v>1956</v>
      </c>
      <c r="M645" s="303" t="s">
        <v>2698</v>
      </c>
      <c r="N645" s="303" t="s">
        <v>1987</v>
      </c>
      <c r="O645" s="303" t="s">
        <v>1986</v>
      </c>
      <c r="P645" s="328">
        <v>43406</v>
      </c>
      <c r="Q645" s="303" t="s">
        <v>1952</v>
      </c>
      <c r="R645" s="303">
        <f t="shared" si="14"/>
        <v>1</v>
      </c>
      <c r="S645" s="303">
        <v>0</v>
      </c>
    </row>
    <row r="646" spans="1:19" x14ac:dyDescent="0.25">
      <c r="A646" s="303" t="s">
        <v>2697</v>
      </c>
      <c r="B646" s="303" t="s">
        <v>2696</v>
      </c>
      <c r="C646" s="328">
        <v>43406</v>
      </c>
      <c r="D646" s="303" t="s">
        <v>1965</v>
      </c>
      <c r="E646" s="303" t="s">
        <v>1964</v>
      </c>
      <c r="F646" s="303" t="s">
        <v>2014</v>
      </c>
      <c r="G646" s="303" t="s">
        <v>1463</v>
      </c>
      <c r="H646" s="303" t="s">
        <v>1956</v>
      </c>
      <c r="I646" s="304">
        <v>12178</v>
      </c>
      <c r="J646" s="303" t="s">
        <v>2014</v>
      </c>
      <c r="K646" s="303" t="s">
        <v>2123</v>
      </c>
      <c r="L646" s="303" t="s">
        <v>1956</v>
      </c>
      <c r="M646" s="303" t="s">
        <v>2695</v>
      </c>
      <c r="N646" s="303" t="s">
        <v>1987</v>
      </c>
      <c r="O646" s="303" t="s">
        <v>1986</v>
      </c>
      <c r="P646" s="328">
        <v>43406</v>
      </c>
      <c r="Q646" s="303" t="s">
        <v>1952</v>
      </c>
      <c r="R646" s="303">
        <f t="shared" si="14"/>
        <v>1</v>
      </c>
      <c r="S646" s="303">
        <v>0</v>
      </c>
    </row>
    <row r="647" spans="1:19" x14ac:dyDescent="0.25">
      <c r="A647" s="303" t="s">
        <v>2697</v>
      </c>
      <c r="B647" s="303" t="s">
        <v>2696</v>
      </c>
      <c r="C647" s="328">
        <v>43406</v>
      </c>
      <c r="D647" s="303" t="s">
        <v>1961</v>
      </c>
      <c r="E647" s="303" t="s">
        <v>1960</v>
      </c>
      <c r="F647" s="303" t="s">
        <v>2014</v>
      </c>
      <c r="G647" s="303" t="s">
        <v>1463</v>
      </c>
      <c r="H647" s="303" t="s">
        <v>1956</v>
      </c>
      <c r="I647" s="304">
        <v>-12178</v>
      </c>
      <c r="J647" s="303" t="s">
        <v>2014</v>
      </c>
      <c r="K647" s="303" t="s">
        <v>2123</v>
      </c>
      <c r="L647" s="303" t="s">
        <v>1956</v>
      </c>
      <c r="M647" s="303" t="s">
        <v>2695</v>
      </c>
      <c r="N647" s="303" t="s">
        <v>1987</v>
      </c>
      <c r="O647" s="303" t="s">
        <v>1986</v>
      </c>
      <c r="P647" s="328">
        <v>43406</v>
      </c>
      <c r="Q647" s="303" t="s">
        <v>1952</v>
      </c>
      <c r="R647" s="303">
        <f t="shared" si="14"/>
        <v>1</v>
      </c>
      <c r="S647" s="303">
        <v>0</v>
      </c>
    </row>
    <row r="648" spans="1:19" x14ac:dyDescent="0.25">
      <c r="A648" s="303" t="s">
        <v>2694</v>
      </c>
      <c r="B648" s="303" t="s">
        <v>2693</v>
      </c>
      <c r="C648" s="328">
        <v>43406</v>
      </c>
      <c r="D648" s="303" t="s">
        <v>1965</v>
      </c>
      <c r="E648" s="303" t="s">
        <v>1964</v>
      </c>
      <c r="F648" s="303" t="s">
        <v>1854</v>
      </c>
      <c r="G648" s="303" t="s">
        <v>2172</v>
      </c>
      <c r="H648" s="303" t="s">
        <v>1956</v>
      </c>
      <c r="I648" s="304">
        <v>672</v>
      </c>
      <c r="J648" s="303" t="s">
        <v>1828</v>
      </c>
      <c r="K648" s="303" t="s">
        <v>2154</v>
      </c>
      <c r="L648" s="303" t="s">
        <v>1956</v>
      </c>
      <c r="M648" s="303" t="s">
        <v>2692</v>
      </c>
      <c r="N648" s="303" t="s">
        <v>1987</v>
      </c>
      <c r="O648" s="303" t="s">
        <v>1986</v>
      </c>
      <c r="P648" s="328">
        <v>43406</v>
      </c>
      <c r="Q648" s="303" t="s">
        <v>1952</v>
      </c>
      <c r="R648" s="303">
        <f t="shared" si="14"/>
        <v>1</v>
      </c>
      <c r="S648" s="303">
        <v>1</v>
      </c>
    </row>
    <row r="649" spans="1:19" x14ac:dyDescent="0.25">
      <c r="A649" s="303" t="s">
        <v>2694</v>
      </c>
      <c r="B649" s="303" t="s">
        <v>2693</v>
      </c>
      <c r="C649" s="328">
        <v>43406</v>
      </c>
      <c r="D649" s="303" t="s">
        <v>1961</v>
      </c>
      <c r="E649" s="303" t="s">
        <v>1960</v>
      </c>
      <c r="F649" s="303" t="s">
        <v>1854</v>
      </c>
      <c r="G649" s="303" t="s">
        <v>2172</v>
      </c>
      <c r="H649" s="303" t="s">
        <v>1956</v>
      </c>
      <c r="I649" s="304">
        <v>-672</v>
      </c>
      <c r="J649" s="303" t="s">
        <v>1828</v>
      </c>
      <c r="K649" s="303" t="s">
        <v>2154</v>
      </c>
      <c r="L649" s="303" t="s">
        <v>1956</v>
      </c>
      <c r="M649" s="303" t="s">
        <v>2692</v>
      </c>
      <c r="N649" s="303" t="s">
        <v>1987</v>
      </c>
      <c r="O649" s="303" t="s">
        <v>1986</v>
      </c>
      <c r="P649" s="328">
        <v>43406</v>
      </c>
      <c r="Q649" s="303" t="s">
        <v>1952</v>
      </c>
      <c r="R649" s="303">
        <f t="shared" si="14"/>
        <v>1</v>
      </c>
      <c r="S649" s="303">
        <v>1</v>
      </c>
    </row>
    <row r="650" spans="1:19" x14ac:dyDescent="0.25">
      <c r="A650" s="303" t="s">
        <v>2691</v>
      </c>
      <c r="B650" s="303" t="s">
        <v>2690</v>
      </c>
      <c r="C650" s="328">
        <v>43406</v>
      </c>
      <c r="D650" s="303" t="s">
        <v>1965</v>
      </c>
      <c r="E650" s="303" t="s">
        <v>1964</v>
      </c>
      <c r="F650" s="303" t="s">
        <v>1989</v>
      </c>
      <c r="G650" s="303" t="s">
        <v>2154</v>
      </c>
      <c r="H650" s="303" t="s">
        <v>1956</v>
      </c>
      <c r="I650" s="304">
        <v>4352</v>
      </c>
      <c r="J650" s="303" t="s">
        <v>1828</v>
      </c>
      <c r="K650" s="303" t="s">
        <v>2154</v>
      </c>
      <c r="L650" s="303" t="s">
        <v>1956</v>
      </c>
      <c r="M650" s="303" t="s">
        <v>1988</v>
      </c>
      <c r="N650" s="303" t="s">
        <v>1987</v>
      </c>
      <c r="O650" s="303" t="s">
        <v>1986</v>
      </c>
      <c r="P650" s="328">
        <v>43406</v>
      </c>
      <c r="Q650" s="303" t="s">
        <v>1952</v>
      </c>
      <c r="R650" s="303">
        <f t="shared" si="14"/>
        <v>1</v>
      </c>
      <c r="S650" s="303">
        <v>0</v>
      </c>
    </row>
    <row r="651" spans="1:19" x14ac:dyDescent="0.25">
      <c r="A651" s="303" t="s">
        <v>2691</v>
      </c>
      <c r="B651" s="303" t="s">
        <v>2690</v>
      </c>
      <c r="C651" s="328">
        <v>43406</v>
      </c>
      <c r="D651" s="303" t="s">
        <v>1961</v>
      </c>
      <c r="E651" s="303" t="s">
        <v>1960</v>
      </c>
      <c r="F651" s="303" t="s">
        <v>1989</v>
      </c>
      <c r="G651" s="303" t="s">
        <v>2154</v>
      </c>
      <c r="H651" s="303" t="s">
        <v>1956</v>
      </c>
      <c r="I651" s="304">
        <v>-4352</v>
      </c>
      <c r="J651" s="303" t="s">
        <v>1828</v>
      </c>
      <c r="K651" s="303" t="s">
        <v>2154</v>
      </c>
      <c r="L651" s="303" t="s">
        <v>1956</v>
      </c>
      <c r="M651" s="303" t="s">
        <v>1988</v>
      </c>
      <c r="N651" s="303" t="s">
        <v>1987</v>
      </c>
      <c r="O651" s="303" t="s">
        <v>1986</v>
      </c>
      <c r="P651" s="328">
        <v>43406</v>
      </c>
      <c r="Q651" s="303" t="s">
        <v>1952</v>
      </c>
      <c r="R651" s="303">
        <f t="shared" si="14"/>
        <v>1</v>
      </c>
      <c r="S651" s="303">
        <v>0</v>
      </c>
    </row>
    <row r="652" spans="1:19" x14ac:dyDescent="0.25">
      <c r="A652" s="303" t="s">
        <v>2689</v>
      </c>
      <c r="B652" s="303" t="s">
        <v>2688</v>
      </c>
      <c r="C652" s="328">
        <v>43406</v>
      </c>
      <c r="D652" s="303" t="s">
        <v>1965</v>
      </c>
      <c r="E652" s="303" t="s">
        <v>1964</v>
      </c>
      <c r="F652" s="303" t="s">
        <v>1621</v>
      </c>
      <c r="G652" s="303" t="s">
        <v>1597</v>
      </c>
      <c r="H652" s="303" t="s">
        <v>1956</v>
      </c>
      <c r="I652" s="304">
        <v>10000</v>
      </c>
      <c r="J652" s="303" t="s">
        <v>1828</v>
      </c>
      <c r="K652" s="303" t="s">
        <v>2154</v>
      </c>
      <c r="L652" s="303" t="s">
        <v>1956</v>
      </c>
      <c r="M652" s="303" t="s">
        <v>2687</v>
      </c>
      <c r="N652" s="303" t="s">
        <v>1987</v>
      </c>
      <c r="O652" s="303" t="s">
        <v>1986</v>
      </c>
      <c r="P652" s="328">
        <v>43406</v>
      </c>
      <c r="Q652" s="303" t="s">
        <v>1952</v>
      </c>
      <c r="R652" s="303">
        <f t="shared" si="14"/>
        <v>1</v>
      </c>
      <c r="S652" s="303">
        <v>1</v>
      </c>
    </row>
    <row r="653" spans="1:19" x14ac:dyDescent="0.25">
      <c r="A653" s="303" t="s">
        <v>2689</v>
      </c>
      <c r="B653" s="303" t="s">
        <v>2688</v>
      </c>
      <c r="C653" s="328">
        <v>43406</v>
      </c>
      <c r="D653" s="303" t="s">
        <v>1961</v>
      </c>
      <c r="E653" s="303" t="s">
        <v>1960</v>
      </c>
      <c r="F653" s="303" t="s">
        <v>1621</v>
      </c>
      <c r="G653" s="303" t="s">
        <v>1597</v>
      </c>
      <c r="H653" s="303" t="s">
        <v>1956</v>
      </c>
      <c r="I653" s="304">
        <v>-10000</v>
      </c>
      <c r="J653" s="303" t="s">
        <v>1828</v>
      </c>
      <c r="K653" s="303" t="s">
        <v>2154</v>
      </c>
      <c r="L653" s="303" t="s">
        <v>1956</v>
      </c>
      <c r="M653" s="303" t="s">
        <v>2687</v>
      </c>
      <c r="N653" s="303" t="s">
        <v>1987</v>
      </c>
      <c r="O653" s="303" t="s">
        <v>1986</v>
      </c>
      <c r="P653" s="328">
        <v>43406</v>
      </c>
      <c r="Q653" s="303" t="s">
        <v>1952</v>
      </c>
      <c r="R653" s="303">
        <f t="shared" si="14"/>
        <v>1</v>
      </c>
      <c r="S653" s="303">
        <v>1</v>
      </c>
    </row>
    <row r="654" spans="1:19" x14ac:dyDescent="0.25">
      <c r="A654" s="303" t="s">
        <v>2686</v>
      </c>
      <c r="B654" s="303" t="s">
        <v>2685</v>
      </c>
      <c r="C654" s="328">
        <v>43406</v>
      </c>
      <c r="D654" s="303" t="s">
        <v>1965</v>
      </c>
      <c r="E654" s="303" t="s">
        <v>1964</v>
      </c>
      <c r="F654" s="303" t="s">
        <v>1989</v>
      </c>
      <c r="G654" s="303" t="s">
        <v>2665</v>
      </c>
      <c r="H654" s="303" t="s">
        <v>1956</v>
      </c>
      <c r="I654" s="304">
        <v>4400</v>
      </c>
      <c r="J654" s="303" t="s">
        <v>1918</v>
      </c>
      <c r="K654" s="303" t="s">
        <v>2183</v>
      </c>
      <c r="L654" s="303" t="s">
        <v>1956</v>
      </c>
      <c r="M654" s="303" t="s">
        <v>2684</v>
      </c>
      <c r="N654" s="303" t="s">
        <v>1987</v>
      </c>
      <c r="O654" s="303" t="s">
        <v>1986</v>
      </c>
      <c r="P654" s="328">
        <v>43406</v>
      </c>
      <c r="Q654" s="303" t="s">
        <v>1952</v>
      </c>
      <c r="R654" s="303">
        <f t="shared" si="14"/>
        <v>1</v>
      </c>
      <c r="S654" s="303">
        <v>0</v>
      </c>
    </row>
    <row r="655" spans="1:19" x14ac:dyDescent="0.25">
      <c r="A655" s="303" t="s">
        <v>2686</v>
      </c>
      <c r="B655" s="303" t="s">
        <v>2685</v>
      </c>
      <c r="C655" s="328">
        <v>43406</v>
      </c>
      <c r="D655" s="303" t="s">
        <v>1961</v>
      </c>
      <c r="E655" s="303" t="s">
        <v>1960</v>
      </c>
      <c r="F655" s="303" t="s">
        <v>1989</v>
      </c>
      <c r="G655" s="303" t="s">
        <v>2665</v>
      </c>
      <c r="H655" s="303" t="s">
        <v>1956</v>
      </c>
      <c r="I655" s="304">
        <v>-4400</v>
      </c>
      <c r="J655" s="303" t="s">
        <v>1918</v>
      </c>
      <c r="K655" s="303" t="s">
        <v>2183</v>
      </c>
      <c r="L655" s="303" t="s">
        <v>1956</v>
      </c>
      <c r="M655" s="303" t="s">
        <v>2684</v>
      </c>
      <c r="N655" s="303" t="s">
        <v>1987</v>
      </c>
      <c r="O655" s="303" t="s">
        <v>1986</v>
      </c>
      <c r="P655" s="328">
        <v>43406</v>
      </c>
      <c r="Q655" s="303" t="s">
        <v>1952</v>
      </c>
      <c r="R655" s="303">
        <f t="shared" si="14"/>
        <v>1</v>
      </c>
      <c r="S655" s="303">
        <v>0</v>
      </c>
    </row>
    <row r="656" spans="1:19" x14ac:dyDescent="0.25">
      <c r="A656" s="303" t="s">
        <v>2683</v>
      </c>
      <c r="B656" s="303" t="s">
        <v>2682</v>
      </c>
      <c r="C656" s="328">
        <v>43409</v>
      </c>
      <c r="D656" s="303" t="s">
        <v>1965</v>
      </c>
      <c r="E656" s="303" t="s">
        <v>1964</v>
      </c>
      <c r="F656" s="303" t="s">
        <v>1967</v>
      </c>
      <c r="G656" s="303" t="s">
        <v>1567</v>
      </c>
      <c r="H656" s="303" t="s">
        <v>1956</v>
      </c>
      <c r="I656" s="304">
        <v>1500</v>
      </c>
      <c r="J656" s="303" t="s">
        <v>1651</v>
      </c>
      <c r="K656" s="303" t="s">
        <v>1567</v>
      </c>
      <c r="L656" s="303" t="s">
        <v>1956</v>
      </c>
      <c r="M656" s="303" t="s">
        <v>2681</v>
      </c>
      <c r="N656" s="303" t="s">
        <v>1987</v>
      </c>
      <c r="O656" s="303" t="s">
        <v>1986</v>
      </c>
      <c r="P656" s="328">
        <v>43409</v>
      </c>
      <c r="Q656" s="303" t="s">
        <v>1952</v>
      </c>
      <c r="R656" s="303">
        <f t="shared" si="14"/>
        <v>1</v>
      </c>
      <c r="S656" s="303">
        <v>0</v>
      </c>
    </row>
    <row r="657" spans="1:19" x14ac:dyDescent="0.25">
      <c r="A657" s="303" t="s">
        <v>2683</v>
      </c>
      <c r="B657" s="303" t="s">
        <v>2682</v>
      </c>
      <c r="C657" s="328">
        <v>43409</v>
      </c>
      <c r="D657" s="303" t="s">
        <v>1961</v>
      </c>
      <c r="E657" s="303" t="s">
        <v>1960</v>
      </c>
      <c r="F657" s="303" t="s">
        <v>1967</v>
      </c>
      <c r="G657" s="303" t="s">
        <v>1567</v>
      </c>
      <c r="H657" s="303" t="s">
        <v>1956</v>
      </c>
      <c r="I657" s="304">
        <v>-1500</v>
      </c>
      <c r="J657" s="303" t="s">
        <v>1651</v>
      </c>
      <c r="K657" s="303" t="s">
        <v>1567</v>
      </c>
      <c r="L657" s="303" t="s">
        <v>1956</v>
      </c>
      <c r="M657" s="303" t="s">
        <v>2681</v>
      </c>
      <c r="N657" s="303" t="s">
        <v>1987</v>
      </c>
      <c r="O657" s="303" t="s">
        <v>1986</v>
      </c>
      <c r="P657" s="328">
        <v>43409</v>
      </c>
      <c r="Q657" s="303" t="s">
        <v>1952</v>
      </c>
      <c r="R657" s="303">
        <f t="shared" si="14"/>
        <v>1</v>
      </c>
      <c r="S657" s="303">
        <v>0</v>
      </c>
    </row>
    <row r="658" spans="1:19" x14ac:dyDescent="0.25">
      <c r="A658" s="303" t="s">
        <v>2680</v>
      </c>
      <c r="B658" s="303" t="s">
        <v>2679</v>
      </c>
      <c r="C658" s="328">
        <v>43409</v>
      </c>
      <c r="D658" s="303" t="s">
        <v>1965</v>
      </c>
      <c r="E658" s="303" t="s">
        <v>1964</v>
      </c>
      <c r="F658" s="303" t="s">
        <v>1958</v>
      </c>
      <c r="G658" s="303" t="s">
        <v>1957</v>
      </c>
      <c r="H658" s="303" t="s">
        <v>1956</v>
      </c>
      <c r="I658" s="304">
        <v>353</v>
      </c>
      <c r="J658" s="303" t="s">
        <v>1651</v>
      </c>
      <c r="K658" s="303" t="s">
        <v>1567</v>
      </c>
      <c r="L658" s="303" t="s">
        <v>1956</v>
      </c>
      <c r="M658" s="303" t="s">
        <v>2270</v>
      </c>
      <c r="N658" s="303" t="s">
        <v>1987</v>
      </c>
      <c r="O658" s="303" t="s">
        <v>1986</v>
      </c>
      <c r="P658" s="328">
        <v>43409</v>
      </c>
      <c r="Q658" s="303" t="s">
        <v>1952</v>
      </c>
      <c r="R658" s="303">
        <f t="shared" si="14"/>
        <v>0</v>
      </c>
      <c r="S658" s="303">
        <v>0</v>
      </c>
    </row>
    <row r="659" spans="1:19" x14ac:dyDescent="0.25">
      <c r="A659" s="303" t="s">
        <v>2680</v>
      </c>
      <c r="B659" s="303" t="s">
        <v>2679</v>
      </c>
      <c r="C659" s="328">
        <v>43409</v>
      </c>
      <c r="D659" s="303" t="s">
        <v>1961</v>
      </c>
      <c r="E659" s="303" t="s">
        <v>1960</v>
      </c>
      <c r="F659" s="303" t="s">
        <v>1958</v>
      </c>
      <c r="G659" s="303" t="s">
        <v>1957</v>
      </c>
      <c r="H659" s="303" t="s">
        <v>1956</v>
      </c>
      <c r="I659" s="304">
        <v>-353</v>
      </c>
      <c r="J659" s="303" t="s">
        <v>1651</v>
      </c>
      <c r="K659" s="303" t="s">
        <v>1567</v>
      </c>
      <c r="L659" s="303" t="s">
        <v>1956</v>
      </c>
      <c r="M659" s="303" t="s">
        <v>2270</v>
      </c>
      <c r="N659" s="303" t="s">
        <v>1987</v>
      </c>
      <c r="O659" s="303" t="s">
        <v>1986</v>
      </c>
      <c r="P659" s="328">
        <v>43409</v>
      </c>
      <c r="Q659" s="303" t="s">
        <v>1952</v>
      </c>
      <c r="R659" s="303">
        <f t="shared" si="14"/>
        <v>0</v>
      </c>
      <c r="S659" s="303">
        <v>0</v>
      </c>
    </row>
    <row r="660" spans="1:19" x14ac:dyDescent="0.25">
      <c r="A660" s="303" t="s">
        <v>2678</v>
      </c>
      <c r="B660" s="303" t="s">
        <v>2677</v>
      </c>
      <c r="C660" s="328">
        <v>43411</v>
      </c>
      <c r="D660" s="303" t="s">
        <v>1965</v>
      </c>
      <c r="E660" s="303" t="s">
        <v>1964</v>
      </c>
      <c r="F660" s="303" t="s">
        <v>1958</v>
      </c>
      <c r="G660" s="303" t="s">
        <v>1957</v>
      </c>
      <c r="H660" s="303" t="s">
        <v>1956</v>
      </c>
      <c r="I660" s="304">
        <v>598</v>
      </c>
      <c r="J660" s="303" t="s">
        <v>1729</v>
      </c>
      <c r="K660" s="303" t="s">
        <v>1499</v>
      </c>
      <c r="L660" s="303" t="s">
        <v>1956</v>
      </c>
      <c r="M660" s="303" t="s">
        <v>2270</v>
      </c>
      <c r="N660" s="303" t="s">
        <v>1987</v>
      </c>
      <c r="O660" s="303" t="s">
        <v>1986</v>
      </c>
      <c r="P660" s="328">
        <v>43411</v>
      </c>
      <c r="Q660" s="303" t="s">
        <v>1952</v>
      </c>
      <c r="R660" s="303">
        <f t="shared" si="14"/>
        <v>0</v>
      </c>
      <c r="S660" s="303">
        <v>0</v>
      </c>
    </row>
    <row r="661" spans="1:19" x14ac:dyDescent="0.25">
      <c r="A661" s="303" t="s">
        <v>2678</v>
      </c>
      <c r="B661" s="303" t="s">
        <v>2677</v>
      </c>
      <c r="C661" s="328">
        <v>43411</v>
      </c>
      <c r="D661" s="303" t="s">
        <v>1961</v>
      </c>
      <c r="E661" s="303" t="s">
        <v>1960</v>
      </c>
      <c r="F661" s="303" t="s">
        <v>1958</v>
      </c>
      <c r="G661" s="303" t="s">
        <v>1957</v>
      </c>
      <c r="H661" s="303" t="s">
        <v>1956</v>
      </c>
      <c r="I661" s="304">
        <v>-598</v>
      </c>
      <c r="J661" s="303" t="s">
        <v>1729</v>
      </c>
      <c r="K661" s="303" t="s">
        <v>1499</v>
      </c>
      <c r="L661" s="303" t="s">
        <v>1956</v>
      </c>
      <c r="M661" s="303" t="s">
        <v>2270</v>
      </c>
      <c r="N661" s="303" t="s">
        <v>1987</v>
      </c>
      <c r="O661" s="303" t="s">
        <v>1986</v>
      </c>
      <c r="P661" s="328">
        <v>43411</v>
      </c>
      <c r="Q661" s="303" t="s">
        <v>1952</v>
      </c>
      <c r="R661" s="303">
        <f t="shared" si="14"/>
        <v>0</v>
      </c>
      <c r="S661" s="303">
        <v>0</v>
      </c>
    </row>
    <row r="662" spans="1:19" x14ac:dyDescent="0.25">
      <c r="A662" s="303" t="s">
        <v>2676</v>
      </c>
      <c r="B662" s="303" t="s">
        <v>2675</v>
      </c>
      <c r="C662" s="328">
        <v>43411</v>
      </c>
      <c r="D662" s="303" t="s">
        <v>1965</v>
      </c>
      <c r="E662" s="303" t="s">
        <v>1964</v>
      </c>
      <c r="F662" s="303" t="s">
        <v>1967</v>
      </c>
      <c r="G662" s="303" t="s">
        <v>1499</v>
      </c>
      <c r="H662" s="303" t="s">
        <v>1956</v>
      </c>
      <c r="I662" s="304">
        <v>2546</v>
      </c>
      <c r="J662" s="303" t="s">
        <v>1729</v>
      </c>
      <c r="K662" s="303" t="s">
        <v>1499</v>
      </c>
      <c r="L662" s="303" t="s">
        <v>1956</v>
      </c>
      <c r="M662" s="303" t="s">
        <v>2267</v>
      </c>
      <c r="N662" s="303" t="s">
        <v>1987</v>
      </c>
      <c r="O662" s="303" t="s">
        <v>1986</v>
      </c>
      <c r="P662" s="328">
        <v>43411</v>
      </c>
      <c r="Q662" s="303" t="s">
        <v>1952</v>
      </c>
      <c r="R662" s="303">
        <f t="shared" si="14"/>
        <v>0</v>
      </c>
      <c r="S662" s="303">
        <v>0</v>
      </c>
    </row>
    <row r="663" spans="1:19" x14ac:dyDescent="0.25">
      <c r="A663" s="303" t="s">
        <v>2676</v>
      </c>
      <c r="B663" s="303" t="s">
        <v>2675</v>
      </c>
      <c r="C663" s="328">
        <v>43411</v>
      </c>
      <c r="D663" s="303" t="s">
        <v>1961</v>
      </c>
      <c r="E663" s="303" t="s">
        <v>1960</v>
      </c>
      <c r="F663" s="303" t="s">
        <v>1967</v>
      </c>
      <c r="G663" s="303" t="s">
        <v>1499</v>
      </c>
      <c r="H663" s="303" t="s">
        <v>1956</v>
      </c>
      <c r="I663" s="304">
        <v>-2546</v>
      </c>
      <c r="J663" s="303" t="s">
        <v>1729</v>
      </c>
      <c r="K663" s="303" t="s">
        <v>1499</v>
      </c>
      <c r="L663" s="303" t="s">
        <v>1956</v>
      </c>
      <c r="M663" s="303" t="s">
        <v>2267</v>
      </c>
      <c r="N663" s="303" t="s">
        <v>1987</v>
      </c>
      <c r="O663" s="303" t="s">
        <v>1986</v>
      </c>
      <c r="P663" s="328">
        <v>43411</v>
      </c>
      <c r="Q663" s="303" t="s">
        <v>1952</v>
      </c>
      <c r="R663" s="303">
        <f t="shared" si="14"/>
        <v>0</v>
      </c>
      <c r="S663" s="303">
        <v>0</v>
      </c>
    </row>
    <row r="664" spans="1:19" x14ac:dyDescent="0.25">
      <c r="A664" s="303" t="s">
        <v>2674</v>
      </c>
      <c r="B664" s="303" t="s">
        <v>2673</v>
      </c>
      <c r="C664" s="328">
        <v>43411</v>
      </c>
      <c r="D664" s="303" t="s">
        <v>1965</v>
      </c>
      <c r="E664" s="303" t="s">
        <v>1964</v>
      </c>
      <c r="F664" s="303" t="s">
        <v>1926</v>
      </c>
      <c r="G664" s="303" t="s">
        <v>1373</v>
      </c>
      <c r="H664" s="303" t="s">
        <v>1956</v>
      </c>
      <c r="I664" s="304">
        <v>39812</v>
      </c>
      <c r="J664" s="303" t="s">
        <v>1958</v>
      </c>
      <c r="K664" s="303" t="s">
        <v>1957</v>
      </c>
      <c r="L664" s="303" t="s">
        <v>1956</v>
      </c>
      <c r="M664" s="303" t="s">
        <v>2022</v>
      </c>
      <c r="N664" s="303" t="s">
        <v>1987</v>
      </c>
      <c r="O664" s="303" t="s">
        <v>1986</v>
      </c>
      <c r="P664" s="328">
        <v>43411</v>
      </c>
      <c r="Q664" s="303" t="s">
        <v>1952</v>
      </c>
      <c r="R664" s="303">
        <f t="shared" si="14"/>
        <v>0</v>
      </c>
      <c r="S664" s="303">
        <v>0</v>
      </c>
    </row>
    <row r="665" spans="1:19" x14ac:dyDescent="0.25">
      <c r="A665" s="303" t="s">
        <v>2674</v>
      </c>
      <c r="B665" s="303" t="s">
        <v>2673</v>
      </c>
      <c r="C665" s="328">
        <v>43411</v>
      </c>
      <c r="D665" s="303" t="s">
        <v>1961</v>
      </c>
      <c r="E665" s="303" t="s">
        <v>1960</v>
      </c>
      <c r="F665" s="303" t="s">
        <v>1926</v>
      </c>
      <c r="G665" s="303" t="s">
        <v>1373</v>
      </c>
      <c r="H665" s="303" t="s">
        <v>1956</v>
      </c>
      <c r="I665" s="304">
        <v>-39812</v>
      </c>
      <c r="J665" s="303" t="s">
        <v>1958</v>
      </c>
      <c r="K665" s="303" t="s">
        <v>1957</v>
      </c>
      <c r="L665" s="303" t="s">
        <v>1956</v>
      </c>
      <c r="M665" s="303" t="s">
        <v>2022</v>
      </c>
      <c r="N665" s="303" t="s">
        <v>1987</v>
      </c>
      <c r="O665" s="303" t="s">
        <v>1986</v>
      </c>
      <c r="P665" s="328">
        <v>43411</v>
      </c>
      <c r="Q665" s="303" t="s">
        <v>1952</v>
      </c>
      <c r="R665" s="303">
        <f t="shared" si="14"/>
        <v>0</v>
      </c>
      <c r="S665" s="303">
        <v>0</v>
      </c>
    </row>
    <row r="666" spans="1:19" x14ac:dyDescent="0.25">
      <c r="A666" s="303" t="s">
        <v>2672</v>
      </c>
      <c r="B666" s="303" t="s">
        <v>2671</v>
      </c>
      <c r="C666" s="328">
        <v>43411</v>
      </c>
      <c r="D666" s="303" t="s">
        <v>1965</v>
      </c>
      <c r="E666" s="303" t="s">
        <v>1964</v>
      </c>
      <c r="F666" s="303" t="s">
        <v>1926</v>
      </c>
      <c r="G666" s="303" t="s">
        <v>1373</v>
      </c>
      <c r="H666" s="303" t="s">
        <v>1956</v>
      </c>
      <c r="I666" s="304">
        <v>169412</v>
      </c>
      <c r="J666" s="303" t="s">
        <v>1967</v>
      </c>
      <c r="K666" s="303" t="s">
        <v>1373</v>
      </c>
      <c r="L666" s="303" t="s">
        <v>1956</v>
      </c>
      <c r="M666" s="303" t="s">
        <v>2019</v>
      </c>
      <c r="N666" s="303" t="s">
        <v>1987</v>
      </c>
      <c r="O666" s="303" t="s">
        <v>1986</v>
      </c>
      <c r="P666" s="328">
        <v>43411</v>
      </c>
      <c r="Q666" s="303" t="s">
        <v>1952</v>
      </c>
      <c r="R666" s="303">
        <f t="shared" si="14"/>
        <v>0</v>
      </c>
      <c r="S666" s="303">
        <v>0</v>
      </c>
    </row>
    <row r="667" spans="1:19" x14ac:dyDescent="0.25">
      <c r="A667" s="303" t="s">
        <v>2672</v>
      </c>
      <c r="B667" s="303" t="s">
        <v>2671</v>
      </c>
      <c r="C667" s="328">
        <v>43411</v>
      </c>
      <c r="D667" s="303" t="s">
        <v>1961</v>
      </c>
      <c r="E667" s="303" t="s">
        <v>1960</v>
      </c>
      <c r="F667" s="303" t="s">
        <v>1926</v>
      </c>
      <c r="G667" s="303" t="s">
        <v>1373</v>
      </c>
      <c r="H667" s="303" t="s">
        <v>1956</v>
      </c>
      <c r="I667" s="304">
        <v>-169412</v>
      </c>
      <c r="J667" s="303" t="s">
        <v>1967</v>
      </c>
      <c r="K667" s="303" t="s">
        <v>1373</v>
      </c>
      <c r="L667" s="303" t="s">
        <v>1956</v>
      </c>
      <c r="M667" s="303" t="s">
        <v>2019</v>
      </c>
      <c r="N667" s="303" t="s">
        <v>1987</v>
      </c>
      <c r="O667" s="303" t="s">
        <v>1986</v>
      </c>
      <c r="P667" s="328">
        <v>43411</v>
      </c>
      <c r="Q667" s="303" t="s">
        <v>1952</v>
      </c>
      <c r="R667" s="303">
        <f t="shared" si="14"/>
        <v>0</v>
      </c>
      <c r="S667" s="303">
        <v>0</v>
      </c>
    </row>
    <row r="668" spans="1:19" x14ac:dyDescent="0.25">
      <c r="A668" s="303" t="s">
        <v>2670</v>
      </c>
      <c r="B668" s="303" t="s">
        <v>2669</v>
      </c>
      <c r="C668" s="328">
        <v>43411</v>
      </c>
      <c r="D668" s="303" t="s">
        <v>1961</v>
      </c>
      <c r="E668" s="303" t="s">
        <v>1960</v>
      </c>
      <c r="F668" s="303" t="s">
        <v>1609</v>
      </c>
      <c r="G668" s="303" t="s">
        <v>1609</v>
      </c>
      <c r="H668" s="303" t="s">
        <v>1609</v>
      </c>
      <c r="I668" s="304">
        <v>-91796</v>
      </c>
      <c r="J668" s="303" t="s">
        <v>1846</v>
      </c>
      <c r="K668" s="303" t="s">
        <v>1959</v>
      </c>
      <c r="L668" s="303" t="s">
        <v>1956</v>
      </c>
      <c r="M668" s="303" t="s">
        <v>2668</v>
      </c>
      <c r="N668" s="303" t="s">
        <v>1987</v>
      </c>
      <c r="O668" s="303" t="s">
        <v>1986</v>
      </c>
      <c r="P668" s="328">
        <v>43411</v>
      </c>
      <c r="Q668" s="303" t="s">
        <v>1952</v>
      </c>
      <c r="R668" s="303">
        <f t="shared" si="14"/>
        <v>1</v>
      </c>
      <c r="S668" s="303">
        <v>0</v>
      </c>
    </row>
    <row r="669" spans="1:19" x14ac:dyDescent="0.25">
      <c r="A669" s="303" t="s">
        <v>2667</v>
      </c>
      <c r="B669" s="303" t="s">
        <v>2666</v>
      </c>
      <c r="C669" s="328">
        <v>43411</v>
      </c>
      <c r="D669" s="303" t="s">
        <v>1965</v>
      </c>
      <c r="E669" s="303" t="s">
        <v>1964</v>
      </c>
      <c r="F669" s="303" t="s">
        <v>1884</v>
      </c>
      <c r="G669" s="303" t="s">
        <v>2665</v>
      </c>
      <c r="H669" s="303" t="s">
        <v>1956</v>
      </c>
      <c r="I669" s="304">
        <v>5500</v>
      </c>
      <c r="J669" s="303" t="s">
        <v>1918</v>
      </c>
      <c r="K669" s="303" t="s">
        <v>2183</v>
      </c>
      <c r="L669" s="303" t="s">
        <v>1956</v>
      </c>
      <c r="M669" s="303" t="s">
        <v>2664</v>
      </c>
      <c r="N669" s="303" t="s">
        <v>1987</v>
      </c>
      <c r="O669" s="303" t="s">
        <v>1986</v>
      </c>
      <c r="P669" s="328">
        <v>43411</v>
      </c>
      <c r="Q669" s="303" t="s">
        <v>1952</v>
      </c>
      <c r="R669" s="303">
        <f t="shared" si="14"/>
        <v>1</v>
      </c>
      <c r="S669" s="303">
        <v>1</v>
      </c>
    </row>
    <row r="670" spans="1:19" x14ac:dyDescent="0.25">
      <c r="A670" s="303" t="s">
        <v>2667</v>
      </c>
      <c r="B670" s="303" t="s">
        <v>2666</v>
      </c>
      <c r="C670" s="328">
        <v>43411</v>
      </c>
      <c r="D670" s="303" t="s">
        <v>1961</v>
      </c>
      <c r="E670" s="303" t="s">
        <v>1960</v>
      </c>
      <c r="F670" s="303" t="s">
        <v>1884</v>
      </c>
      <c r="G670" s="303" t="s">
        <v>2665</v>
      </c>
      <c r="H670" s="303" t="s">
        <v>1956</v>
      </c>
      <c r="I670" s="304">
        <v>-5500</v>
      </c>
      <c r="J670" s="303" t="s">
        <v>1918</v>
      </c>
      <c r="K670" s="303" t="s">
        <v>2183</v>
      </c>
      <c r="L670" s="303" t="s">
        <v>1956</v>
      </c>
      <c r="M670" s="303" t="s">
        <v>2664</v>
      </c>
      <c r="N670" s="303" t="s">
        <v>1987</v>
      </c>
      <c r="O670" s="303" t="s">
        <v>1986</v>
      </c>
      <c r="P670" s="328">
        <v>43411</v>
      </c>
      <c r="Q670" s="303" t="s">
        <v>1952</v>
      </c>
      <c r="R670" s="303">
        <f t="shared" si="14"/>
        <v>1</v>
      </c>
      <c r="S670" s="303">
        <v>1</v>
      </c>
    </row>
    <row r="671" spans="1:19" x14ac:dyDescent="0.25">
      <c r="A671" s="303" t="s">
        <v>2663</v>
      </c>
      <c r="B671" s="303" t="s">
        <v>2662</v>
      </c>
      <c r="C671" s="328">
        <v>43411</v>
      </c>
      <c r="D671" s="303" t="s">
        <v>1965</v>
      </c>
      <c r="E671" s="303" t="s">
        <v>1964</v>
      </c>
      <c r="F671" s="303" t="s">
        <v>1906</v>
      </c>
      <c r="G671" s="303" t="s">
        <v>1391</v>
      </c>
      <c r="H671" s="303" t="s">
        <v>1956</v>
      </c>
      <c r="I671" s="304">
        <v>8000</v>
      </c>
      <c r="J671" s="303" t="s">
        <v>1918</v>
      </c>
      <c r="K671" s="303" t="s">
        <v>2183</v>
      </c>
      <c r="L671" s="303" t="s">
        <v>1956</v>
      </c>
      <c r="M671" s="303" t="s">
        <v>2661</v>
      </c>
      <c r="N671" s="303" t="s">
        <v>1987</v>
      </c>
      <c r="O671" s="303" t="s">
        <v>1986</v>
      </c>
      <c r="P671" s="328">
        <v>43411</v>
      </c>
      <c r="Q671" s="303" t="s">
        <v>1952</v>
      </c>
      <c r="R671" s="303">
        <f t="shared" si="14"/>
        <v>1</v>
      </c>
      <c r="S671" s="303">
        <v>1</v>
      </c>
    </row>
    <row r="672" spans="1:19" x14ac:dyDescent="0.25">
      <c r="A672" s="303" t="s">
        <v>2663</v>
      </c>
      <c r="B672" s="303" t="s">
        <v>2662</v>
      </c>
      <c r="C672" s="328">
        <v>43411</v>
      </c>
      <c r="D672" s="303" t="s">
        <v>1961</v>
      </c>
      <c r="E672" s="303" t="s">
        <v>1960</v>
      </c>
      <c r="F672" s="303" t="s">
        <v>1906</v>
      </c>
      <c r="G672" s="303" t="s">
        <v>1391</v>
      </c>
      <c r="H672" s="303" t="s">
        <v>1956</v>
      </c>
      <c r="I672" s="304">
        <v>-8000</v>
      </c>
      <c r="J672" s="303" t="s">
        <v>1918</v>
      </c>
      <c r="K672" s="303" t="s">
        <v>2183</v>
      </c>
      <c r="L672" s="303" t="s">
        <v>1956</v>
      </c>
      <c r="M672" s="303" t="s">
        <v>2661</v>
      </c>
      <c r="N672" s="303" t="s">
        <v>1987</v>
      </c>
      <c r="O672" s="303" t="s">
        <v>1986</v>
      </c>
      <c r="P672" s="328">
        <v>43411</v>
      </c>
      <c r="Q672" s="303" t="s">
        <v>1952</v>
      </c>
      <c r="R672" s="303">
        <f t="shared" si="14"/>
        <v>1</v>
      </c>
      <c r="S672" s="303">
        <v>1</v>
      </c>
    </row>
    <row r="673" spans="1:19" x14ac:dyDescent="0.25">
      <c r="A673" s="303" t="s">
        <v>2660</v>
      </c>
      <c r="B673" s="303" t="s">
        <v>2659</v>
      </c>
      <c r="C673" s="328">
        <v>43411</v>
      </c>
      <c r="D673" s="303" t="s">
        <v>1965</v>
      </c>
      <c r="E673" s="303" t="s">
        <v>1964</v>
      </c>
      <c r="F673" s="303" t="s">
        <v>1967</v>
      </c>
      <c r="G673" s="303" t="s">
        <v>1582</v>
      </c>
      <c r="H673" s="303" t="s">
        <v>1956</v>
      </c>
      <c r="I673" s="304">
        <v>4061</v>
      </c>
      <c r="J673" s="303" t="s">
        <v>1967</v>
      </c>
      <c r="K673" s="303" t="s">
        <v>1585</v>
      </c>
      <c r="L673" s="303" t="s">
        <v>1956</v>
      </c>
      <c r="M673" s="303" t="s">
        <v>2658</v>
      </c>
      <c r="N673" s="303" t="s">
        <v>1987</v>
      </c>
      <c r="O673" s="303" t="s">
        <v>1986</v>
      </c>
      <c r="P673" s="328">
        <v>43411</v>
      </c>
      <c r="Q673" s="303" t="s">
        <v>1952</v>
      </c>
      <c r="R673" s="303">
        <f t="shared" si="14"/>
        <v>1</v>
      </c>
      <c r="S673" s="303">
        <v>0</v>
      </c>
    </row>
    <row r="674" spans="1:19" x14ac:dyDescent="0.25">
      <c r="A674" s="303" t="s">
        <v>2660</v>
      </c>
      <c r="B674" s="303" t="s">
        <v>2659</v>
      </c>
      <c r="C674" s="328">
        <v>43411</v>
      </c>
      <c r="D674" s="303" t="s">
        <v>1961</v>
      </c>
      <c r="E674" s="303" t="s">
        <v>1960</v>
      </c>
      <c r="F674" s="303" t="s">
        <v>1967</v>
      </c>
      <c r="G674" s="303" t="s">
        <v>1582</v>
      </c>
      <c r="H674" s="303" t="s">
        <v>1956</v>
      </c>
      <c r="I674" s="304">
        <v>-4061</v>
      </c>
      <c r="J674" s="303" t="s">
        <v>1967</v>
      </c>
      <c r="K674" s="303" t="s">
        <v>1585</v>
      </c>
      <c r="L674" s="303" t="s">
        <v>1956</v>
      </c>
      <c r="M674" s="303" t="s">
        <v>2658</v>
      </c>
      <c r="N674" s="303" t="s">
        <v>1987</v>
      </c>
      <c r="O674" s="303" t="s">
        <v>1986</v>
      </c>
      <c r="P674" s="328">
        <v>43411</v>
      </c>
      <c r="Q674" s="303" t="s">
        <v>1952</v>
      </c>
      <c r="R674" s="303">
        <f t="shared" si="14"/>
        <v>1</v>
      </c>
      <c r="S674" s="303">
        <v>0</v>
      </c>
    </row>
    <row r="675" spans="1:19" x14ac:dyDescent="0.25">
      <c r="A675" s="303" t="s">
        <v>2657</v>
      </c>
      <c r="B675" s="303" t="s">
        <v>2656</v>
      </c>
      <c r="C675" s="328">
        <v>43412</v>
      </c>
      <c r="D675" s="303" t="s">
        <v>1961</v>
      </c>
      <c r="E675" s="303" t="s">
        <v>1960</v>
      </c>
      <c r="F675" s="303" t="s">
        <v>1609</v>
      </c>
      <c r="G675" s="303" t="s">
        <v>1609</v>
      </c>
      <c r="H675" s="303" t="s">
        <v>1609</v>
      </c>
      <c r="I675" s="304">
        <v>-1500</v>
      </c>
      <c r="J675" s="303" t="s">
        <v>1846</v>
      </c>
      <c r="K675" s="303" t="s">
        <v>1959</v>
      </c>
      <c r="L675" s="303" t="s">
        <v>1956</v>
      </c>
      <c r="M675" s="303" t="s">
        <v>2655</v>
      </c>
      <c r="N675" s="303" t="s">
        <v>1987</v>
      </c>
      <c r="O675" s="303" t="s">
        <v>1986</v>
      </c>
      <c r="P675" s="328">
        <v>43412</v>
      </c>
      <c r="Q675" s="303" t="s">
        <v>1952</v>
      </c>
      <c r="R675" s="303">
        <f t="shared" si="14"/>
        <v>1</v>
      </c>
      <c r="S675" s="303">
        <v>0</v>
      </c>
    </row>
    <row r="676" spans="1:19" x14ac:dyDescent="0.25">
      <c r="A676" s="303" t="s">
        <v>2654</v>
      </c>
      <c r="B676" s="303" t="s">
        <v>2653</v>
      </c>
      <c r="C676" s="328">
        <v>43416</v>
      </c>
      <c r="D676" s="303" t="s">
        <v>1965</v>
      </c>
      <c r="E676" s="303" t="s">
        <v>1964</v>
      </c>
      <c r="F676" s="303" t="s">
        <v>2014</v>
      </c>
      <c r="G676" s="303" t="s">
        <v>2172</v>
      </c>
      <c r="H676" s="303" t="s">
        <v>1956</v>
      </c>
      <c r="I676" s="304">
        <v>990</v>
      </c>
      <c r="J676" s="303" t="s">
        <v>1854</v>
      </c>
      <c r="K676" s="303" t="s">
        <v>2172</v>
      </c>
      <c r="L676" s="303" t="s">
        <v>1956</v>
      </c>
      <c r="M676" s="303" t="s">
        <v>2581</v>
      </c>
      <c r="N676" s="303" t="s">
        <v>1987</v>
      </c>
      <c r="O676" s="303" t="s">
        <v>1986</v>
      </c>
      <c r="P676" s="328">
        <v>43416</v>
      </c>
      <c r="Q676" s="303" t="s">
        <v>1952</v>
      </c>
      <c r="R676" s="303">
        <f t="shared" si="14"/>
        <v>1</v>
      </c>
      <c r="S676" s="303">
        <v>0</v>
      </c>
    </row>
    <row r="677" spans="1:19" x14ac:dyDescent="0.25">
      <c r="A677" s="303" t="s">
        <v>2654</v>
      </c>
      <c r="B677" s="303" t="s">
        <v>2653</v>
      </c>
      <c r="C677" s="328">
        <v>43416</v>
      </c>
      <c r="D677" s="303" t="s">
        <v>1961</v>
      </c>
      <c r="E677" s="303" t="s">
        <v>1960</v>
      </c>
      <c r="F677" s="303" t="s">
        <v>2014</v>
      </c>
      <c r="G677" s="303" t="s">
        <v>2172</v>
      </c>
      <c r="H677" s="303" t="s">
        <v>1956</v>
      </c>
      <c r="I677" s="304">
        <v>-990</v>
      </c>
      <c r="J677" s="303" t="s">
        <v>1854</v>
      </c>
      <c r="K677" s="303" t="s">
        <v>2172</v>
      </c>
      <c r="L677" s="303" t="s">
        <v>1956</v>
      </c>
      <c r="M677" s="303" t="s">
        <v>2581</v>
      </c>
      <c r="N677" s="303" t="s">
        <v>1987</v>
      </c>
      <c r="O677" s="303" t="s">
        <v>1986</v>
      </c>
      <c r="P677" s="328">
        <v>43416</v>
      </c>
      <c r="Q677" s="303" t="s">
        <v>1952</v>
      </c>
      <c r="R677" s="303">
        <f t="shared" si="14"/>
        <v>1</v>
      </c>
      <c r="S677" s="303">
        <v>0</v>
      </c>
    </row>
    <row r="678" spans="1:19" x14ac:dyDescent="0.25">
      <c r="A678" s="303" t="s">
        <v>2652</v>
      </c>
      <c r="B678" s="303" t="s">
        <v>2651</v>
      </c>
      <c r="C678" s="328">
        <v>43416</v>
      </c>
      <c r="D678" s="303" t="s">
        <v>1965</v>
      </c>
      <c r="E678" s="303" t="s">
        <v>1964</v>
      </c>
      <c r="F678" s="303" t="s">
        <v>1753</v>
      </c>
      <c r="G678" s="303" t="s">
        <v>2112</v>
      </c>
      <c r="H678" s="303" t="s">
        <v>1956</v>
      </c>
      <c r="I678" s="304">
        <v>93</v>
      </c>
      <c r="J678" s="303" t="s">
        <v>1920</v>
      </c>
      <c r="K678" s="303" t="s">
        <v>1376</v>
      </c>
      <c r="L678" s="303" t="s">
        <v>1956</v>
      </c>
      <c r="M678" s="303" t="s">
        <v>2650</v>
      </c>
      <c r="N678" s="303" t="s">
        <v>1987</v>
      </c>
      <c r="O678" s="303" t="s">
        <v>1986</v>
      </c>
      <c r="P678" s="328">
        <v>43416</v>
      </c>
      <c r="Q678" s="303" t="s">
        <v>1952</v>
      </c>
      <c r="R678" s="303">
        <f t="shared" si="14"/>
        <v>1</v>
      </c>
      <c r="S678" s="303">
        <v>0</v>
      </c>
    </row>
    <row r="679" spans="1:19" x14ac:dyDescent="0.25">
      <c r="A679" s="303" t="s">
        <v>2652</v>
      </c>
      <c r="B679" s="303" t="s">
        <v>2651</v>
      </c>
      <c r="C679" s="328">
        <v>43416</v>
      </c>
      <c r="D679" s="303" t="s">
        <v>1961</v>
      </c>
      <c r="E679" s="303" t="s">
        <v>1960</v>
      </c>
      <c r="F679" s="303" t="s">
        <v>1753</v>
      </c>
      <c r="G679" s="303" t="s">
        <v>2112</v>
      </c>
      <c r="H679" s="303" t="s">
        <v>1956</v>
      </c>
      <c r="I679" s="304">
        <v>-93</v>
      </c>
      <c r="J679" s="303" t="s">
        <v>1920</v>
      </c>
      <c r="K679" s="303" t="s">
        <v>1376</v>
      </c>
      <c r="L679" s="303" t="s">
        <v>1956</v>
      </c>
      <c r="M679" s="303" t="s">
        <v>2650</v>
      </c>
      <c r="N679" s="303" t="s">
        <v>1987</v>
      </c>
      <c r="O679" s="303" t="s">
        <v>1986</v>
      </c>
      <c r="P679" s="328">
        <v>43416</v>
      </c>
      <c r="Q679" s="303" t="s">
        <v>1952</v>
      </c>
      <c r="R679" s="303">
        <f t="shared" si="14"/>
        <v>1</v>
      </c>
      <c r="S679" s="303">
        <v>0</v>
      </c>
    </row>
    <row r="680" spans="1:19" x14ac:dyDescent="0.25">
      <c r="A680" s="303" t="s">
        <v>2649</v>
      </c>
      <c r="B680" s="303" t="s">
        <v>2648</v>
      </c>
      <c r="C680" s="328">
        <v>43416</v>
      </c>
      <c r="D680" s="303" t="s">
        <v>1965</v>
      </c>
      <c r="E680" s="303" t="s">
        <v>1964</v>
      </c>
      <c r="F680" s="303" t="s">
        <v>1701</v>
      </c>
      <c r="G680" s="303" t="s">
        <v>1526</v>
      </c>
      <c r="H680" s="303" t="s">
        <v>1956</v>
      </c>
      <c r="I680" s="304">
        <v>24077</v>
      </c>
      <c r="J680" s="303" t="s">
        <v>1958</v>
      </c>
      <c r="K680" s="303" t="s">
        <v>1957</v>
      </c>
      <c r="L680" s="303" t="s">
        <v>1956</v>
      </c>
      <c r="M680" s="303" t="s">
        <v>2022</v>
      </c>
      <c r="N680" s="303" t="s">
        <v>1987</v>
      </c>
      <c r="O680" s="303" t="s">
        <v>1986</v>
      </c>
      <c r="P680" s="328">
        <v>43416</v>
      </c>
      <c r="Q680" s="303" t="s">
        <v>1952</v>
      </c>
      <c r="R680" s="303">
        <f t="shared" si="14"/>
        <v>0</v>
      </c>
      <c r="S680" s="303">
        <v>0</v>
      </c>
    </row>
    <row r="681" spans="1:19" x14ac:dyDescent="0.25">
      <c r="A681" s="303" t="s">
        <v>2649</v>
      </c>
      <c r="B681" s="303" t="s">
        <v>2648</v>
      </c>
      <c r="C681" s="328">
        <v>43416</v>
      </c>
      <c r="D681" s="303" t="s">
        <v>1961</v>
      </c>
      <c r="E681" s="303" t="s">
        <v>1960</v>
      </c>
      <c r="F681" s="303" t="s">
        <v>1701</v>
      </c>
      <c r="G681" s="303" t="s">
        <v>1526</v>
      </c>
      <c r="H681" s="303" t="s">
        <v>1956</v>
      </c>
      <c r="I681" s="304">
        <v>-24077</v>
      </c>
      <c r="J681" s="303" t="s">
        <v>1958</v>
      </c>
      <c r="K681" s="303" t="s">
        <v>1957</v>
      </c>
      <c r="L681" s="303" t="s">
        <v>1956</v>
      </c>
      <c r="M681" s="303" t="s">
        <v>2022</v>
      </c>
      <c r="N681" s="303" t="s">
        <v>1987</v>
      </c>
      <c r="O681" s="303" t="s">
        <v>1986</v>
      </c>
      <c r="P681" s="328">
        <v>43416</v>
      </c>
      <c r="Q681" s="303" t="s">
        <v>1952</v>
      </c>
      <c r="R681" s="303">
        <f t="shared" si="14"/>
        <v>0</v>
      </c>
      <c r="S681" s="303">
        <v>0</v>
      </c>
    </row>
    <row r="682" spans="1:19" x14ac:dyDescent="0.25">
      <c r="A682" s="303" t="s">
        <v>2647</v>
      </c>
      <c r="B682" s="303" t="s">
        <v>2646</v>
      </c>
      <c r="C682" s="328">
        <v>43416</v>
      </c>
      <c r="D682" s="303" t="s">
        <v>1965</v>
      </c>
      <c r="E682" s="303" t="s">
        <v>1964</v>
      </c>
      <c r="F682" s="303" t="s">
        <v>1701</v>
      </c>
      <c r="G682" s="303" t="s">
        <v>1526</v>
      </c>
      <c r="H682" s="303" t="s">
        <v>1956</v>
      </c>
      <c r="I682" s="304">
        <v>102455</v>
      </c>
      <c r="J682" s="303" t="s">
        <v>1967</v>
      </c>
      <c r="K682" s="303" t="s">
        <v>1526</v>
      </c>
      <c r="L682" s="303" t="s">
        <v>1956</v>
      </c>
      <c r="M682" s="303" t="s">
        <v>2019</v>
      </c>
      <c r="N682" s="303" t="s">
        <v>1987</v>
      </c>
      <c r="O682" s="303" t="s">
        <v>1986</v>
      </c>
      <c r="P682" s="328">
        <v>43416</v>
      </c>
      <c r="Q682" s="303" t="s">
        <v>1952</v>
      </c>
      <c r="R682" s="303">
        <f t="shared" si="14"/>
        <v>0</v>
      </c>
      <c r="S682" s="303">
        <v>0</v>
      </c>
    </row>
    <row r="683" spans="1:19" x14ac:dyDescent="0.25">
      <c r="A683" s="303" t="s">
        <v>2647</v>
      </c>
      <c r="B683" s="303" t="s">
        <v>2646</v>
      </c>
      <c r="C683" s="328">
        <v>43416</v>
      </c>
      <c r="D683" s="303" t="s">
        <v>1961</v>
      </c>
      <c r="E683" s="303" t="s">
        <v>1960</v>
      </c>
      <c r="F683" s="303" t="s">
        <v>1701</v>
      </c>
      <c r="G683" s="303" t="s">
        <v>1526</v>
      </c>
      <c r="H683" s="303" t="s">
        <v>1956</v>
      </c>
      <c r="I683" s="304">
        <v>-102455</v>
      </c>
      <c r="J683" s="303" t="s">
        <v>1967</v>
      </c>
      <c r="K683" s="303" t="s">
        <v>1526</v>
      </c>
      <c r="L683" s="303" t="s">
        <v>1956</v>
      </c>
      <c r="M683" s="303" t="s">
        <v>2019</v>
      </c>
      <c r="N683" s="303" t="s">
        <v>1987</v>
      </c>
      <c r="O683" s="303" t="s">
        <v>1986</v>
      </c>
      <c r="P683" s="328">
        <v>43416</v>
      </c>
      <c r="Q683" s="303" t="s">
        <v>1952</v>
      </c>
      <c r="R683" s="303">
        <f t="shared" si="14"/>
        <v>0</v>
      </c>
      <c r="S683" s="303">
        <v>0</v>
      </c>
    </row>
    <row r="684" spans="1:19" x14ac:dyDescent="0.25">
      <c r="A684" s="303" t="s">
        <v>2645</v>
      </c>
      <c r="B684" s="303" t="s">
        <v>2644</v>
      </c>
      <c r="C684" s="328">
        <v>43416</v>
      </c>
      <c r="D684" s="303" t="s">
        <v>1965</v>
      </c>
      <c r="E684" s="303" t="s">
        <v>1964</v>
      </c>
      <c r="F684" s="303" t="s">
        <v>1874</v>
      </c>
      <c r="G684" s="303" t="s">
        <v>2353</v>
      </c>
      <c r="H684" s="303" t="s">
        <v>1956</v>
      </c>
      <c r="I684" s="304">
        <v>3730</v>
      </c>
      <c r="J684" s="303" t="s">
        <v>1671</v>
      </c>
      <c r="K684" s="303" t="s">
        <v>2036</v>
      </c>
      <c r="L684" s="303" t="s">
        <v>1956</v>
      </c>
      <c r="M684" s="303" t="s">
        <v>2643</v>
      </c>
      <c r="N684" s="303" t="s">
        <v>1987</v>
      </c>
      <c r="O684" s="303" t="s">
        <v>1986</v>
      </c>
      <c r="P684" s="328">
        <v>43416</v>
      </c>
      <c r="Q684" s="303" t="s">
        <v>1952</v>
      </c>
      <c r="R684" s="303">
        <f t="shared" si="14"/>
        <v>1</v>
      </c>
      <c r="S684" s="303">
        <v>0</v>
      </c>
    </row>
    <row r="685" spans="1:19" x14ac:dyDescent="0.25">
      <c r="A685" s="303" t="s">
        <v>2645</v>
      </c>
      <c r="B685" s="303" t="s">
        <v>2644</v>
      </c>
      <c r="C685" s="328">
        <v>43416</v>
      </c>
      <c r="D685" s="303" t="s">
        <v>1961</v>
      </c>
      <c r="E685" s="303" t="s">
        <v>1960</v>
      </c>
      <c r="F685" s="303" t="s">
        <v>1874</v>
      </c>
      <c r="G685" s="303" t="s">
        <v>2353</v>
      </c>
      <c r="H685" s="303" t="s">
        <v>1956</v>
      </c>
      <c r="I685" s="304">
        <v>-3730</v>
      </c>
      <c r="J685" s="303" t="s">
        <v>1671</v>
      </c>
      <c r="K685" s="303" t="s">
        <v>2036</v>
      </c>
      <c r="L685" s="303" t="s">
        <v>1956</v>
      </c>
      <c r="M685" s="303" t="s">
        <v>2643</v>
      </c>
      <c r="N685" s="303" t="s">
        <v>1987</v>
      </c>
      <c r="O685" s="303" t="s">
        <v>1986</v>
      </c>
      <c r="P685" s="328">
        <v>43416</v>
      </c>
      <c r="Q685" s="303" t="s">
        <v>1952</v>
      </c>
      <c r="R685" s="303">
        <f t="shared" si="14"/>
        <v>1</v>
      </c>
      <c r="S685" s="303">
        <v>0</v>
      </c>
    </row>
    <row r="686" spans="1:19" x14ac:dyDescent="0.25">
      <c r="A686" s="303" t="s">
        <v>2642</v>
      </c>
      <c r="B686" s="303" t="s">
        <v>2641</v>
      </c>
      <c r="C686" s="328">
        <v>43416</v>
      </c>
      <c r="D686" s="303" t="s">
        <v>1965</v>
      </c>
      <c r="E686" s="303" t="s">
        <v>1964</v>
      </c>
      <c r="F686" s="303" t="s">
        <v>1874</v>
      </c>
      <c r="G686" s="303" t="s">
        <v>2353</v>
      </c>
      <c r="H686" s="303" t="s">
        <v>1956</v>
      </c>
      <c r="I686" s="304">
        <v>3730</v>
      </c>
      <c r="J686" s="303" t="s">
        <v>1846</v>
      </c>
      <c r="K686" s="303" t="s">
        <v>1959</v>
      </c>
      <c r="L686" s="303" t="s">
        <v>1956</v>
      </c>
      <c r="M686" s="303" t="s">
        <v>2640</v>
      </c>
      <c r="N686" s="303" t="s">
        <v>1987</v>
      </c>
      <c r="O686" s="303" t="s">
        <v>1986</v>
      </c>
      <c r="P686" s="328">
        <v>43416</v>
      </c>
      <c r="Q686" s="303" t="s">
        <v>1952</v>
      </c>
      <c r="R686" s="303">
        <f t="shared" si="14"/>
        <v>1</v>
      </c>
      <c r="S686" s="303">
        <v>0</v>
      </c>
    </row>
    <row r="687" spans="1:19" x14ac:dyDescent="0.25">
      <c r="A687" s="303" t="s">
        <v>2642</v>
      </c>
      <c r="B687" s="303" t="s">
        <v>2641</v>
      </c>
      <c r="C687" s="328">
        <v>43416</v>
      </c>
      <c r="D687" s="303" t="s">
        <v>1961</v>
      </c>
      <c r="E687" s="303" t="s">
        <v>1960</v>
      </c>
      <c r="F687" s="303" t="s">
        <v>1874</v>
      </c>
      <c r="G687" s="303" t="s">
        <v>2353</v>
      </c>
      <c r="H687" s="303" t="s">
        <v>1956</v>
      </c>
      <c r="I687" s="304">
        <v>-3730</v>
      </c>
      <c r="J687" s="303" t="s">
        <v>1846</v>
      </c>
      <c r="K687" s="303" t="s">
        <v>1959</v>
      </c>
      <c r="L687" s="303" t="s">
        <v>1956</v>
      </c>
      <c r="M687" s="303" t="s">
        <v>2640</v>
      </c>
      <c r="N687" s="303" t="s">
        <v>1987</v>
      </c>
      <c r="O687" s="303" t="s">
        <v>1986</v>
      </c>
      <c r="P687" s="328">
        <v>43416</v>
      </c>
      <c r="Q687" s="303" t="s">
        <v>1952</v>
      </c>
      <c r="R687" s="303">
        <f t="shared" si="14"/>
        <v>1</v>
      </c>
      <c r="S687" s="303">
        <v>0</v>
      </c>
    </row>
    <row r="688" spans="1:19" x14ac:dyDescent="0.25">
      <c r="A688" s="303" t="s">
        <v>2639</v>
      </c>
      <c r="B688" s="303" t="s">
        <v>2638</v>
      </c>
      <c r="C688" s="328">
        <v>43416</v>
      </c>
      <c r="D688" s="303" t="s">
        <v>1965</v>
      </c>
      <c r="E688" s="303" t="s">
        <v>1964</v>
      </c>
      <c r="F688" s="303" t="s">
        <v>1681</v>
      </c>
      <c r="G688" s="303" t="s">
        <v>1549</v>
      </c>
      <c r="H688" s="303" t="s">
        <v>1956</v>
      </c>
      <c r="I688" s="304">
        <v>799</v>
      </c>
      <c r="J688" s="303" t="s">
        <v>1958</v>
      </c>
      <c r="K688" s="303" t="s">
        <v>1957</v>
      </c>
      <c r="L688" s="303" t="s">
        <v>1956</v>
      </c>
      <c r="M688" s="303" t="s">
        <v>2022</v>
      </c>
      <c r="N688" s="303" t="s">
        <v>1987</v>
      </c>
      <c r="O688" s="303" t="s">
        <v>1986</v>
      </c>
      <c r="P688" s="328">
        <v>43416</v>
      </c>
      <c r="Q688" s="303" t="s">
        <v>1952</v>
      </c>
      <c r="R688" s="303">
        <f t="shared" si="14"/>
        <v>0</v>
      </c>
      <c r="S688" s="303">
        <v>0</v>
      </c>
    </row>
    <row r="689" spans="1:19" x14ac:dyDescent="0.25">
      <c r="A689" s="303" t="s">
        <v>2639</v>
      </c>
      <c r="B689" s="303" t="s">
        <v>2638</v>
      </c>
      <c r="C689" s="328">
        <v>43416</v>
      </c>
      <c r="D689" s="303" t="s">
        <v>1961</v>
      </c>
      <c r="E689" s="303" t="s">
        <v>1960</v>
      </c>
      <c r="F689" s="303" t="s">
        <v>1681</v>
      </c>
      <c r="G689" s="303" t="s">
        <v>1549</v>
      </c>
      <c r="H689" s="303" t="s">
        <v>1956</v>
      </c>
      <c r="I689" s="304">
        <v>-799</v>
      </c>
      <c r="J689" s="303" t="s">
        <v>1958</v>
      </c>
      <c r="K689" s="303" t="s">
        <v>1957</v>
      </c>
      <c r="L689" s="303" t="s">
        <v>1956</v>
      </c>
      <c r="M689" s="303" t="s">
        <v>2022</v>
      </c>
      <c r="N689" s="303" t="s">
        <v>1987</v>
      </c>
      <c r="O689" s="303" t="s">
        <v>1986</v>
      </c>
      <c r="P689" s="328">
        <v>43416</v>
      </c>
      <c r="Q689" s="303" t="s">
        <v>1952</v>
      </c>
      <c r="R689" s="303">
        <f t="shared" si="14"/>
        <v>0</v>
      </c>
      <c r="S689" s="303">
        <v>0</v>
      </c>
    </row>
    <row r="690" spans="1:19" x14ac:dyDescent="0.25">
      <c r="A690" s="303" t="s">
        <v>2637</v>
      </c>
      <c r="B690" s="303" t="s">
        <v>2636</v>
      </c>
      <c r="C690" s="328">
        <v>43416</v>
      </c>
      <c r="D690" s="303" t="s">
        <v>1965</v>
      </c>
      <c r="E690" s="303" t="s">
        <v>1964</v>
      </c>
      <c r="F690" s="303" t="s">
        <v>1681</v>
      </c>
      <c r="G690" s="303" t="s">
        <v>1549</v>
      </c>
      <c r="H690" s="303" t="s">
        <v>1956</v>
      </c>
      <c r="I690" s="304">
        <v>3400</v>
      </c>
      <c r="J690" s="303" t="s">
        <v>1967</v>
      </c>
      <c r="K690" s="303" t="s">
        <v>1549</v>
      </c>
      <c r="L690" s="303" t="s">
        <v>1956</v>
      </c>
      <c r="M690" s="303" t="s">
        <v>2019</v>
      </c>
      <c r="N690" s="303" t="s">
        <v>1987</v>
      </c>
      <c r="O690" s="303" t="s">
        <v>1986</v>
      </c>
      <c r="P690" s="328">
        <v>43416</v>
      </c>
      <c r="Q690" s="303" t="s">
        <v>1952</v>
      </c>
      <c r="R690" s="303">
        <f t="shared" si="14"/>
        <v>0</v>
      </c>
      <c r="S690" s="303">
        <v>0</v>
      </c>
    </row>
    <row r="691" spans="1:19" x14ac:dyDescent="0.25">
      <c r="A691" s="303" t="s">
        <v>2637</v>
      </c>
      <c r="B691" s="303" t="s">
        <v>2636</v>
      </c>
      <c r="C691" s="328">
        <v>43416</v>
      </c>
      <c r="D691" s="303" t="s">
        <v>1961</v>
      </c>
      <c r="E691" s="303" t="s">
        <v>1960</v>
      </c>
      <c r="F691" s="303" t="s">
        <v>1681</v>
      </c>
      <c r="G691" s="303" t="s">
        <v>1549</v>
      </c>
      <c r="H691" s="303" t="s">
        <v>1956</v>
      </c>
      <c r="I691" s="304">
        <v>-3400</v>
      </c>
      <c r="J691" s="303" t="s">
        <v>1967</v>
      </c>
      <c r="K691" s="303" t="s">
        <v>1549</v>
      </c>
      <c r="L691" s="303" t="s">
        <v>1956</v>
      </c>
      <c r="M691" s="303" t="s">
        <v>2019</v>
      </c>
      <c r="N691" s="303" t="s">
        <v>1987</v>
      </c>
      <c r="O691" s="303" t="s">
        <v>1986</v>
      </c>
      <c r="P691" s="328">
        <v>43416</v>
      </c>
      <c r="Q691" s="303" t="s">
        <v>1952</v>
      </c>
      <c r="R691" s="303">
        <f t="shared" si="14"/>
        <v>0</v>
      </c>
      <c r="S691" s="303">
        <v>0</v>
      </c>
    </row>
    <row r="692" spans="1:19" x14ac:dyDescent="0.25">
      <c r="A692" s="303" t="s">
        <v>2635</v>
      </c>
      <c r="B692" s="303" t="s">
        <v>2634</v>
      </c>
      <c r="C692" s="328">
        <v>43417</v>
      </c>
      <c r="D692" s="303" t="s">
        <v>1965</v>
      </c>
      <c r="E692" s="303" t="s">
        <v>1964</v>
      </c>
      <c r="F692" s="303" t="s">
        <v>1685</v>
      </c>
      <c r="G692" s="303" t="s">
        <v>1543</v>
      </c>
      <c r="H692" s="303" t="s">
        <v>1956</v>
      </c>
      <c r="I692" s="304">
        <v>4700</v>
      </c>
      <c r="J692" s="303" t="s">
        <v>1958</v>
      </c>
      <c r="K692" s="303" t="s">
        <v>1957</v>
      </c>
      <c r="L692" s="303" t="s">
        <v>1956</v>
      </c>
      <c r="M692" s="303" t="s">
        <v>2022</v>
      </c>
      <c r="N692" s="303" t="s">
        <v>1987</v>
      </c>
      <c r="O692" s="303" t="s">
        <v>1986</v>
      </c>
      <c r="P692" s="328">
        <v>43417</v>
      </c>
      <c r="Q692" s="303" t="s">
        <v>1952</v>
      </c>
      <c r="R692" s="303">
        <f t="shared" si="14"/>
        <v>0</v>
      </c>
      <c r="S692" s="303">
        <v>0</v>
      </c>
    </row>
    <row r="693" spans="1:19" x14ac:dyDescent="0.25">
      <c r="A693" s="303" t="s">
        <v>2635</v>
      </c>
      <c r="B693" s="303" t="s">
        <v>2634</v>
      </c>
      <c r="C693" s="328">
        <v>43417</v>
      </c>
      <c r="D693" s="303" t="s">
        <v>1961</v>
      </c>
      <c r="E693" s="303" t="s">
        <v>1960</v>
      </c>
      <c r="F693" s="303" t="s">
        <v>1685</v>
      </c>
      <c r="G693" s="303" t="s">
        <v>1543</v>
      </c>
      <c r="H693" s="303" t="s">
        <v>1956</v>
      </c>
      <c r="I693" s="304">
        <v>-4700</v>
      </c>
      <c r="J693" s="303" t="s">
        <v>1958</v>
      </c>
      <c r="K693" s="303" t="s">
        <v>1957</v>
      </c>
      <c r="L693" s="303" t="s">
        <v>1956</v>
      </c>
      <c r="M693" s="303" t="s">
        <v>2022</v>
      </c>
      <c r="N693" s="303" t="s">
        <v>1987</v>
      </c>
      <c r="O693" s="303" t="s">
        <v>1986</v>
      </c>
      <c r="P693" s="328">
        <v>43417</v>
      </c>
      <c r="Q693" s="303" t="s">
        <v>1952</v>
      </c>
      <c r="R693" s="303">
        <f t="shared" si="14"/>
        <v>0</v>
      </c>
      <c r="S693" s="303">
        <v>0</v>
      </c>
    </row>
    <row r="694" spans="1:19" x14ac:dyDescent="0.25">
      <c r="A694" s="303" t="s">
        <v>2633</v>
      </c>
      <c r="B694" s="303" t="s">
        <v>2632</v>
      </c>
      <c r="C694" s="328">
        <v>43417</v>
      </c>
      <c r="D694" s="303" t="s">
        <v>1965</v>
      </c>
      <c r="E694" s="303" t="s">
        <v>1964</v>
      </c>
      <c r="F694" s="303" t="s">
        <v>1685</v>
      </c>
      <c r="G694" s="303" t="s">
        <v>1543</v>
      </c>
      <c r="H694" s="303" t="s">
        <v>1956</v>
      </c>
      <c r="I694" s="304">
        <v>20000</v>
      </c>
      <c r="J694" s="303" t="s">
        <v>1967</v>
      </c>
      <c r="K694" s="303" t="s">
        <v>1543</v>
      </c>
      <c r="L694" s="303" t="s">
        <v>1956</v>
      </c>
      <c r="M694" s="303" t="s">
        <v>2019</v>
      </c>
      <c r="N694" s="303" t="s">
        <v>1987</v>
      </c>
      <c r="O694" s="303" t="s">
        <v>1986</v>
      </c>
      <c r="P694" s="328">
        <v>43417</v>
      </c>
      <c r="Q694" s="303" t="s">
        <v>1952</v>
      </c>
      <c r="R694" s="303">
        <f t="shared" si="14"/>
        <v>0</v>
      </c>
      <c r="S694" s="303">
        <v>0</v>
      </c>
    </row>
    <row r="695" spans="1:19" x14ac:dyDescent="0.25">
      <c r="A695" s="303" t="s">
        <v>2633</v>
      </c>
      <c r="B695" s="303" t="s">
        <v>2632</v>
      </c>
      <c r="C695" s="328">
        <v>43417</v>
      </c>
      <c r="D695" s="303" t="s">
        <v>1961</v>
      </c>
      <c r="E695" s="303" t="s">
        <v>1960</v>
      </c>
      <c r="F695" s="303" t="s">
        <v>1685</v>
      </c>
      <c r="G695" s="303" t="s">
        <v>1543</v>
      </c>
      <c r="H695" s="303" t="s">
        <v>1956</v>
      </c>
      <c r="I695" s="304">
        <v>-20000</v>
      </c>
      <c r="J695" s="303" t="s">
        <v>1967</v>
      </c>
      <c r="K695" s="303" t="s">
        <v>1543</v>
      </c>
      <c r="L695" s="303" t="s">
        <v>1956</v>
      </c>
      <c r="M695" s="303" t="s">
        <v>2019</v>
      </c>
      <c r="N695" s="303" t="s">
        <v>1987</v>
      </c>
      <c r="O695" s="303" t="s">
        <v>1986</v>
      </c>
      <c r="P695" s="328">
        <v>43417</v>
      </c>
      <c r="Q695" s="303" t="s">
        <v>1952</v>
      </c>
      <c r="R695" s="303">
        <f t="shared" si="14"/>
        <v>0</v>
      </c>
      <c r="S695" s="303">
        <v>0</v>
      </c>
    </row>
    <row r="696" spans="1:19" x14ac:dyDescent="0.25">
      <c r="A696" s="303" t="s">
        <v>2631</v>
      </c>
      <c r="B696" s="303" t="s">
        <v>2630</v>
      </c>
      <c r="C696" s="328">
        <v>43417</v>
      </c>
      <c r="D696" s="303" t="s">
        <v>1965</v>
      </c>
      <c r="E696" s="303" t="s">
        <v>1964</v>
      </c>
      <c r="F696" s="303" t="s">
        <v>1989</v>
      </c>
      <c r="G696" s="303" t="s">
        <v>1543</v>
      </c>
      <c r="H696" s="303" t="s">
        <v>1956</v>
      </c>
      <c r="I696" s="304">
        <v>1199</v>
      </c>
      <c r="J696" s="303" t="s">
        <v>1958</v>
      </c>
      <c r="K696" s="303" t="s">
        <v>1957</v>
      </c>
      <c r="L696" s="303" t="s">
        <v>1956</v>
      </c>
      <c r="M696" s="303" t="s">
        <v>2629</v>
      </c>
      <c r="N696" s="303" t="s">
        <v>1987</v>
      </c>
      <c r="O696" s="303" t="s">
        <v>1986</v>
      </c>
      <c r="P696" s="328">
        <v>43417</v>
      </c>
      <c r="Q696" s="303" t="s">
        <v>1952</v>
      </c>
      <c r="R696" s="303">
        <f t="shared" si="14"/>
        <v>1</v>
      </c>
      <c r="S696" s="303">
        <v>0</v>
      </c>
    </row>
    <row r="697" spans="1:19" x14ac:dyDescent="0.25">
      <c r="A697" s="303" t="s">
        <v>2631</v>
      </c>
      <c r="B697" s="303" t="s">
        <v>2630</v>
      </c>
      <c r="C697" s="328">
        <v>43417</v>
      </c>
      <c r="D697" s="303" t="s">
        <v>1961</v>
      </c>
      <c r="E697" s="303" t="s">
        <v>1960</v>
      </c>
      <c r="F697" s="303" t="s">
        <v>1989</v>
      </c>
      <c r="G697" s="303" t="s">
        <v>1543</v>
      </c>
      <c r="H697" s="303" t="s">
        <v>1956</v>
      </c>
      <c r="I697" s="304">
        <v>-1199</v>
      </c>
      <c r="J697" s="303" t="s">
        <v>1958</v>
      </c>
      <c r="K697" s="303" t="s">
        <v>1957</v>
      </c>
      <c r="L697" s="303" t="s">
        <v>1956</v>
      </c>
      <c r="M697" s="303" t="s">
        <v>2629</v>
      </c>
      <c r="N697" s="303" t="s">
        <v>1987</v>
      </c>
      <c r="O697" s="303" t="s">
        <v>1986</v>
      </c>
      <c r="P697" s="328">
        <v>43417</v>
      </c>
      <c r="Q697" s="303" t="s">
        <v>1952</v>
      </c>
      <c r="R697" s="303">
        <f t="shared" si="14"/>
        <v>1</v>
      </c>
      <c r="S697" s="303">
        <v>0</v>
      </c>
    </row>
    <row r="698" spans="1:19" x14ac:dyDescent="0.25">
      <c r="A698" s="303" t="s">
        <v>2628</v>
      </c>
      <c r="B698" s="303" t="s">
        <v>2627</v>
      </c>
      <c r="C698" s="328">
        <v>43417</v>
      </c>
      <c r="D698" s="303" t="s">
        <v>1965</v>
      </c>
      <c r="E698" s="303" t="s">
        <v>1964</v>
      </c>
      <c r="F698" s="303" t="s">
        <v>1989</v>
      </c>
      <c r="G698" s="303" t="s">
        <v>1543</v>
      </c>
      <c r="H698" s="303" t="s">
        <v>1956</v>
      </c>
      <c r="I698" s="304">
        <v>5101</v>
      </c>
      <c r="J698" s="303" t="s">
        <v>1967</v>
      </c>
      <c r="K698" s="303" t="s">
        <v>1543</v>
      </c>
      <c r="L698" s="303" t="s">
        <v>1956</v>
      </c>
      <c r="M698" s="303" t="s">
        <v>2626</v>
      </c>
      <c r="N698" s="303" t="s">
        <v>1987</v>
      </c>
      <c r="O698" s="303" t="s">
        <v>1986</v>
      </c>
      <c r="P698" s="328">
        <v>43417</v>
      </c>
      <c r="Q698" s="303" t="s">
        <v>1952</v>
      </c>
      <c r="R698" s="303">
        <f t="shared" si="14"/>
        <v>1</v>
      </c>
      <c r="S698" s="303">
        <v>0</v>
      </c>
    </row>
    <row r="699" spans="1:19" x14ac:dyDescent="0.25">
      <c r="A699" s="303" t="s">
        <v>2628</v>
      </c>
      <c r="B699" s="303" t="s">
        <v>2627</v>
      </c>
      <c r="C699" s="328">
        <v>43417</v>
      </c>
      <c r="D699" s="303" t="s">
        <v>1961</v>
      </c>
      <c r="E699" s="303" t="s">
        <v>1960</v>
      </c>
      <c r="F699" s="303" t="s">
        <v>1989</v>
      </c>
      <c r="G699" s="303" t="s">
        <v>1543</v>
      </c>
      <c r="H699" s="303" t="s">
        <v>1956</v>
      </c>
      <c r="I699" s="304">
        <v>-5101</v>
      </c>
      <c r="J699" s="303" t="s">
        <v>1967</v>
      </c>
      <c r="K699" s="303" t="s">
        <v>1543</v>
      </c>
      <c r="L699" s="303" t="s">
        <v>1956</v>
      </c>
      <c r="M699" s="303" t="s">
        <v>2626</v>
      </c>
      <c r="N699" s="303" t="s">
        <v>1987</v>
      </c>
      <c r="O699" s="303" t="s">
        <v>1986</v>
      </c>
      <c r="P699" s="328">
        <v>43417</v>
      </c>
      <c r="Q699" s="303" t="s">
        <v>1952</v>
      </c>
      <c r="R699" s="303">
        <f t="shared" si="14"/>
        <v>1</v>
      </c>
      <c r="S699" s="303">
        <v>0</v>
      </c>
    </row>
    <row r="700" spans="1:19" x14ac:dyDescent="0.25">
      <c r="A700" s="303" t="s">
        <v>2625</v>
      </c>
      <c r="B700" s="303" t="s">
        <v>2624</v>
      </c>
      <c r="C700" s="328">
        <v>43417</v>
      </c>
      <c r="D700" s="303" t="s">
        <v>1965</v>
      </c>
      <c r="E700" s="303" t="s">
        <v>1964</v>
      </c>
      <c r="F700" s="303" t="s">
        <v>1967</v>
      </c>
      <c r="G700" s="303" t="s">
        <v>1546</v>
      </c>
      <c r="H700" s="303" t="s">
        <v>1956</v>
      </c>
      <c r="I700" s="304">
        <v>1024</v>
      </c>
      <c r="J700" s="303" t="s">
        <v>1609</v>
      </c>
      <c r="K700" s="303" t="s">
        <v>1609</v>
      </c>
      <c r="L700" s="303" t="s">
        <v>1609</v>
      </c>
      <c r="M700" s="303" t="s">
        <v>2623</v>
      </c>
      <c r="N700" s="303" t="s">
        <v>2622</v>
      </c>
      <c r="O700" s="303" t="s">
        <v>2621</v>
      </c>
      <c r="P700" s="328">
        <v>43417</v>
      </c>
      <c r="Q700" s="303" t="s">
        <v>1952</v>
      </c>
      <c r="R700" s="303">
        <f t="shared" si="14"/>
        <v>1</v>
      </c>
      <c r="S700" s="303">
        <v>0</v>
      </c>
    </row>
    <row r="701" spans="1:19" x14ac:dyDescent="0.25">
      <c r="A701" s="303" t="s">
        <v>2620</v>
      </c>
      <c r="B701" s="303" t="s">
        <v>2619</v>
      </c>
      <c r="C701" s="328">
        <v>43418</v>
      </c>
      <c r="D701" s="303" t="s">
        <v>1965</v>
      </c>
      <c r="E701" s="303" t="s">
        <v>1964</v>
      </c>
      <c r="F701" s="303" t="s">
        <v>1918</v>
      </c>
      <c r="G701" s="303" t="s">
        <v>2183</v>
      </c>
      <c r="H701" s="303" t="s">
        <v>1956</v>
      </c>
      <c r="I701" s="304">
        <v>20000</v>
      </c>
      <c r="J701" s="303" t="s">
        <v>1894</v>
      </c>
      <c r="K701" s="303" t="s">
        <v>1403</v>
      </c>
      <c r="L701" s="303" t="s">
        <v>1956</v>
      </c>
      <c r="M701" s="303" t="s">
        <v>2618</v>
      </c>
      <c r="N701" s="303" t="s">
        <v>1987</v>
      </c>
      <c r="O701" s="303" t="s">
        <v>1986</v>
      </c>
      <c r="P701" s="328">
        <v>43418</v>
      </c>
      <c r="Q701" s="303" t="s">
        <v>1952</v>
      </c>
      <c r="R701" s="303">
        <f t="shared" si="14"/>
        <v>1</v>
      </c>
      <c r="S701" s="303">
        <v>0</v>
      </c>
    </row>
    <row r="702" spans="1:19" x14ac:dyDescent="0.25">
      <c r="A702" s="303" t="s">
        <v>2620</v>
      </c>
      <c r="B702" s="303" t="s">
        <v>2619</v>
      </c>
      <c r="C702" s="328">
        <v>43418</v>
      </c>
      <c r="D702" s="303" t="s">
        <v>1961</v>
      </c>
      <c r="E702" s="303" t="s">
        <v>1960</v>
      </c>
      <c r="F702" s="303" t="s">
        <v>1918</v>
      </c>
      <c r="G702" s="303" t="s">
        <v>2183</v>
      </c>
      <c r="H702" s="303" t="s">
        <v>1956</v>
      </c>
      <c r="I702" s="304">
        <v>-20000</v>
      </c>
      <c r="J702" s="303" t="s">
        <v>1894</v>
      </c>
      <c r="K702" s="303" t="s">
        <v>1403</v>
      </c>
      <c r="L702" s="303" t="s">
        <v>1956</v>
      </c>
      <c r="M702" s="303" t="s">
        <v>2618</v>
      </c>
      <c r="N702" s="303" t="s">
        <v>1987</v>
      </c>
      <c r="O702" s="303" t="s">
        <v>1986</v>
      </c>
      <c r="P702" s="328">
        <v>43418</v>
      </c>
      <c r="Q702" s="303" t="s">
        <v>1952</v>
      </c>
      <c r="R702" s="303">
        <f t="shared" si="14"/>
        <v>1</v>
      </c>
      <c r="S702" s="303">
        <v>0</v>
      </c>
    </row>
    <row r="703" spans="1:19" x14ac:dyDescent="0.25">
      <c r="A703" s="303" t="s">
        <v>2617</v>
      </c>
      <c r="B703" s="303" t="s">
        <v>2616</v>
      </c>
      <c r="C703" s="328">
        <v>43419</v>
      </c>
      <c r="D703" s="303" t="s">
        <v>1965</v>
      </c>
      <c r="E703" s="303" t="s">
        <v>1964</v>
      </c>
      <c r="F703" s="303" t="s">
        <v>1723</v>
      </c>
      <c r="G703" s="303" t="s">
        <v>1508</v>
      </c>
      <c r="H703" s="303" t="s">
        <v>1956</v>
      </c>
      <c r="I703" s="304">
        <v>31300</v>
      </c>
      <c r="J703" s="303" t="s">
        <v>1753</v>
      </c>
      <c r="K703" s="303" t="s">
        <v>2112</v>
      </c>
      <c r="L703" s="303" t="s">
        <v>1956</v>
      </c>
      <c r="M703" s="303" t="s">
        <v>2615</v>
      </c>
      <c r="N703" s="303" t="s">
        <v>1987</v>
      </c>
      <c r="O703" s="303" t="s">
        <v>1986</v>
      </c>
      <c r="P703" s="328">
        <v>43419</v>
      </c>
      <c r="Q703" s="303" t="s">
        <v>1952</v>
      </c>
      <c r="R703" s="303">
        <f t="shared" si="14"/>
        <v>1</v>
      </c>
      <c r="S703" s="303">
        <v>1</v>
      </c>
    </row>
    <row r="704" spans="1:19" x14ac:dyDescent="0.25">
      <c r="A704" s="303" t="s">
        <v>2617</v>
      </c>
      <c r="B704" s="303" t="s">
        <v>2616</v>
      </c>
      <c r="C704" s="328">
        <v>43419</v>
      </c>
      <c r="D704" s="303" t="s">
        <v>1961</v>
      </c>
      <c r="E704" s="303" t="s">
        <v>1960</v>
      </c>
      <c r="F704" s="303" t="s">
        <v>1723</v>
      </c>
      <c r="G704" s="303" t="s">
        <v>1508</v>
      </c>
      <c r="H704" s="303" t="s">
        <v>1956</v>
      </c>
      <c r="I704" s="304">
        <v>-31300</v>
      </c>
      <c r="J704" s="303" t="s">
        <v>1753</v>
      </c>
      <c r="K704" s="303" t="s">
        <v>2112</v>
      </c>
      <c r="L704" s="303" t="s">
        <v>1956</v>
      </c>
      <c r="M704" s="303" t="s">
        <v>2615</v>
      </c>
      <c r="N704" s="303" t="s">
        <v>1987</v>
      </c>
      <c r="O704" s="303" t="s">
        <v>1986</v>
      </c>
      <c r="P704" s="328">
        <v>43419</v>
      </c>
      <c r="Q704" s="303" t="s">
        <v>1952</v>
      </c>
      <c r="R704" s="303">
        <f t="shared" si="14"/>
        <v>1</v>
      </c>
      <c r="S704" s="303">
        <v>1</v>
      </c>
    </row>
    <row r="705" spans="1:19" x14ac:dyDescent="0.25">
      <c r="A705" s="303" t="s">
        <v>2614</v>
      </c>
      <c r="B705" s="303" t="s">
        <v>2613</v>
      </c>
      <c r="C705" s="328">
        <v>43419</v>
      </c>
      <c r="D705" s="303" t="s">
        <v>1965</v>
      </c>
      <c r="E705" s="303" t="s">
        <v>1964</v>
      </c>
      <c r="F705" s="303" t="s">
        <v>1967</v>
      </c>
      <c r="G705" s="303" t="s">
        <v>1585</v>
      </c>
      <c r="H705" s="303" t="s">
        <v>1956</v>
      </c>
      <c r="I705" s="304">
        <v>6856</v>
      </c>
      <c r="J705" s="303" t="s">
        <v>1967</v>
      </c>
      <c r="K705" s="303" t="s">
        <v>1433</v>
      </c>
      <c r="L705" s="303" t="s">
        <v>1956</v>
      </c>
      <c r="M705" s="303" t="s">
        <v>2612</v>
      </c>
      <c r="N705" s="303" t="s">
        <v>1987</v>
      </c>
      <c r="O705" s="303" t="s">
        <v>1986</v>
      </c>
      <c r="P705" s="328">
        <v>43419</v>
      </c>
      <c r="Q705" s="303" t="s">
        <v>1952</v>
      </c>
      <c r="R705" s="303">
        <f t="shared" si="14"/>
        <v>1</v>
      </c>
      <c r="S705" s="303">
        <v>0</v>
      </c>
    </row>
    <row r="706" spans="1:19" x14ac:dyDescent="0.25">
      <c r="A706" s="303" t="s">
        <v>2614</v>
      </c>
      <c r="B706" s="303" t="s">
        <v>2613</v>
      </c>
      <c r="C706" s="328">
        <v>43419</v>
      </c>
      <c r="D706" s="303" t="s">
        <v>1961</v>
      </c>
      <c r="E706" s="303" t="s">
        <v>1960</v>
      </c>
      <c r="F706" s="303" t="s">
        <v>1967</v>
      </c>
      <c r="G706" s="303" t="s">
        <v>1585</v>
      </c>
      <c r="H706" s="303" t="s">
        <v>1956</v>
      </c>
      <c r="I706" s="304">
        <v>-6856</v>
      </c>
      <c r="J706" s="303" t="s">
        <v>1967</v>
      </c>
      <c r="K706" s="303" t="s">
        <v>1433</v>
      </c>
      <c r="L706" s="303" t="s">
        <v>1956</v>
      </c>
      <c r="M706" s="303" t="s">
        <v>2612</v>
      </c>
      <c r="N706" s="303" t="s">
        <v>1987</v>
      </c>
      <c r="O706" s="303" t="s">
        <v>1986</v>
      </c>
      <c r="P706" s="328">
        <v>43419</v>
      </c>
      <c r="Q706" s="303" t="s">
        <v>1952</v>
      </c>
      <c r="R706" s="303">
        <f t="shared" si="14"/>
        <v>1</v>
      </c>
      <c r="S706" s="303">
        <v>0</v>
      </c>
    </row>
    <row r="707" spans="1:19" x14ac:dyDescent="0.25">
      <c r="A707" s="303" t="s">
        <v>2611</v>
      </c>
      <c r="B707" s="303" t="s">
        <v>2610</v>
      </c>
      <c r="C707" s="328">
        <v>43419</v>
      </c>
      <c r="D707" s="303" t="s">
        <v>1965</v>
      </c>
      <c r="E707" s="303" t="s">
        <v>1964</v>
      </c>
      <c r="F707" s="303" t="s">
        <v>1958</v>
      </c>
      <c r="G707" s="303" t="s">
        <v>1957</v>
      </c>
      <c r="H707" s="303" t="s">
        <v>1956</v>
      </c>
      <c r="I707" s="304">
        <v>4583</v>
      </c>
      <c r="J707" s="303" t="s">
        <v>1906</v>
      </c>
      <c r="K707" s="303" t="s">
        <v>1391</v>
      </c>
      <c r="L707" s="303" t="s">
        <v>1956</v>
      </c>
      <c r="M707" s="303" t="s">
        <v>2270</v>
      </c>
      <c r="N707" s="303" t="s">
        <v>1987</v>
      </c>
      <c r="O707" s="303" t="s">
        <v>1986</v>
      </c>
      <c r="P707" s="328">
        <v>43419</v>
      </c>
      <c r="Q707" s="303" t="s">
        <v>1952</v>
      </c>
      <c r="R707" s="303">
        <f t="shared" ref="R707:R770" si="15">IF(OR(M707="transfert de B vers A",M707="transfert de B vers D",M707="transfert de A vers B",M707="transfert de D vers B",M707="carryover 2017 -&gt; 2018",IF(ISERR(SEARCH("fidélité",M707)),FALSE,TRUE),M707="Fermeture STI-FORM",M707="répartition AE/AC"),0,1)</f>
        <v>0</v>
      </c>
      <c r="S707" s="303">
        <v>0</v>
      </c>
    </row>
    <row r="708" spans="1:19" x14ac:dyDescent="0.25">
      <c r="A708" s="303" t="s">
        <v>2611</v>
      </c>
      <c r="B708" s="303" t="s">
        <v>2610</v>
      </c>
      <c r="C708" s="328">
        <v>43419</v>
      </c>
      <c r="D708" s="303" t="s">
        <v>1961</v>
      </c>
      <c r="E708" s="303" t="s">
        <v>1960</v>
      </c>
      <c r="F708" s="303" t="s">
        <v>1958</v>
      </c>
      <c r="G708" s="303" t="s">
        <v>1957</v>
      </c>
      <c r="H708" s="303" t="s">
        <v>1956</v>
      </c>
      <c r="I708" s="304">
        <v>-4583</v>
      </c>
      <c r="J708" s="303" t="s">
        <v>1906</v>
      </c>
      <c r="K708" s="303" t="s">
        <v>1391</v>
      </c>
      <c r="L708" s="303" t="s">
        <v>1956</v>
      </c>
      <c r="M708" s="303" t="s">
        <v>2270</v>
      </c>
      <c r="N708" s="303" t="s">
        <v>1987</v>
      </c>
      <c r="O708" s="303" t="s">
        <v>1986</v>
      </c>
      <c r="P708" s="328">
        <v>43419</v>
      </c>
      <c r="Q708" s="303" t="s">
        <v>1952</v>
      </c>
      <c r="R708" s="303">
        <f t="shared" si="15"/>
        <v>0</v>
      </c>
      <c r="S708" s="303">
        <v>0</v>
      </c>
    </row>
    <row r="709" spans="1:19" x14ac:dyDescent="0.25">
      <c r="A709" s="303" t="s">
        <v>2609</v>
      </c>
      <c r="B709" s="303" t="s">
        <v>2608</v>
      </c>
      <c r="C709" s="328">
        <v>43419</v>
      </c>
      <c r="D709" s="303" t="s">
        <v>1965</v>
      </c>
      <c r="E709" s="303" t="s">
        <v>1964</v>
      </c>
      <c r="F709" s="303" t="s">
        <v>1967</v>
      </c>
      <c r="G709" s="303" t="s">
        <v>1391</v>
      </c>
      <c r="H709" s="303" t="s">
        <v>1956</v>
      </c>
      <c r="I709" s="304">
        <v>19500</v>
      </c>
      <c r="J709" s="303" t="s">
        <v>1906</v>
      </c>
      <c r="K709" s="303" t="s">
        <v>1391</v>
      </c>
      <c r="L709" s="303" t="s">
        <v>1956</v>
      </c>
      <c r="M709" s="303" t="s">
        <v>2267</v>
      </c>
      <c r="N709" s="303" t="s">
        <v>1987</v>
      </c>
      <c r="O709" s="303" t="s">
        <v>1986</v>
      </c>
      <c r="P709" s="328">
        <v>43419</v>
      </c>
      <c r="Q709" s="303" t="s">
        <v>1952</v>
      </c>
      <c r="R709" s="303">
        <f t="shared" si="15"/>
        <v>0</v>
      </c>
      <c r="S709" s="303">
        <v>0</v>
      </c>
    </row>
    <row r="710" spans="1:19" x14ac:dyDescent="0.25">
      <c r="A710" s="303" t="s">
        <v>2609</v>
      </c>
      <c r="B710" s="303" t="s">
        <v>2608</v>
      </c>
      <c r="C710" s="328">
        <v>43419</v>
      </c>
      <c r="D710" s="303" t="s">
        <v>1961</v>
      </c>
      <c r="E710" s="303" t="s">
        <v>1960</v>
      </c>
      <c r="F710" s="303" t="s">
        <v>1967</v>
      </c>
      <c r="G710" s="303" t="s">
        <v>1391</v>
      </c>
      <c r="H710" s="303" t="s">
        <v>1956</v>
      </c>
      <c r="I710" s="304">
        <v>-19500</v>
      </c>
      <c r="J710" s="303" t="s">
        <v>1906</v>
      </c>
      <c r="K710" s="303" t="s">
        <v>1391</v>
      </c>
      <c r="L710" s="303" t="s">
        <v>1956</v>
      </c>
      <c r="M710" s="303" t="s">
        <v>2267</v>
      </c>
      <c r="N710" s="303" t="s">
        <v>1987</v>
      </c>
      <c r="O710" s="303" t="s">
        <v>1986</v>
      </c>
      <c r="P710" s="328">
        <v>43419</v>
      </c>
      <c r="Q710" s="303" t="s">
        <v>1952</v>
      </c>
      <c r="R710" s="303">
        <f t="shared" si="15"/>
        <v>0</v>
      </c>
      <c r="S710" s="303">
        <v>0</v>
      </c>
    </row>
    <row r="711" spans="1:19" x14ac:dyDescent="0.25">
      <c r="A711" s="303" t="s">
        <v>2607</v>
      </c>
      <c r="B711" s="303" t="s">
        <v>2606</v>
      </c>
      <c r="C711" s="328">
        <v>43420</v>
      </c>
      <c r="D711" s="303" t="s">
        <v>1965</v>
      </c>
      <c r="E711" s="303" t="s">
        <v>1964</v>
      </c>
      <c r="F711" s="303" t="s">
        <v>1958</v>
      </c>
      <c r="G711" s="303" t="s">
        <v>1957</v>
      </c>
      <c r="H711" s="303" t="s">
        <v>1956</v>
      </c>
      <c r="I711" s="304">
        <v>2283</v>
      </c>
      <c r="J711" s="303" t="s">
        <v>1795</v>
      </c>
      <c r="K711" s="303" t="s">
        <v>1460</v>
      </c>
      <c r="L711" s="303" t="s">
        <v>1956</v>
      </c>
      <c r="M711" s="303" t="s">
        <v>2270</v>
      </c>
      <c r="N711" s="303" t="s">
        <v>1987</v>
      </c>
      <c r="O711" s="303" t="s">
        <v>1986</v>
      </c>
      <c r="P711" s="328">
        <v>43420</v>
      </c>
      <c r="Q711" s="303" t="s">
        <v>1952</v>
      </c>
      <c r="R711" s="303">
        <f t="shared" si="15"/>
        <v>0</v>
      </c>
      <c r="S711" s="303">
        <v>0</v>
      </c>
    </row>
    <row r="712" spans="1:19" x14ac:dyDescent="0.25">
      <c r="A712" s="303" t="s">
        <v>2607</v>
      </c>
      <c r="B712" s="303" t="s">
        <v>2606</v>
      </c>
      <c r="C712" s="328">
        <v>43420</v>
      </c>
      <c r="D712" s="303" t="s">
        <v>1961</v>
      </c>
      <c r="E712" s="303" t="s">
        <v>1960</v>
      </c>
      <c r="F712" s="303" t="s">
        <v>1958</v>
      </c>
      <c r="G712" s="303" t="s">
        <v>1957</v>
      </c>
      <c r="H712" s="303" t="s">
        <v>1956</v>
      </c>
      <c r="I712" s="304">
        <v>-2283</v>
      </c>
      <c r="J712" s="303" t="s">
        <v>1795</v>
      </c>
      <c r="K712" s="303" t="s">
        <v>1460</v>
      </c>
      <c r="L712" s="303" t="s">
        <v>1956</v>
      </c>
      <c r="M712" s="303" t="s">
        <v>2270</v>
      </c>
      <c r="N712" s="303" t="s">
        <v>1987</v>
      </c>
      <c r="O712" s="303" t="s">
        <v>1986</v>
      </c>
      <c r="P712" s="328">
        <v>43420</v>
      </c>
      <c r="Q712" s="303" t="s">
        <v>1952</v>
      </c>
      <c r="R712" s="303">
        <f t="shared" si="15"/>
        <v>0</v>
      </c>
      <c r="S712" s="303">
        <v>0</v>
      </c>
    </row>
    <row r="713" spans="1:19" x14ac:dyDescent="0.25">
      <c r="A713" s="303" t="s">
        <v>2605</v>
      </c>
      <c r="B713" s="303" t="s">
        <v>2604</v>
      </c>
      <c r="C713" s="328">
        <v>43420</v>
      </c>
      <c r="D713" s="303" t="s">
        <v>1965</v>
      </c>
      <c r="E713" s="303" t="s">
        <v>1964</v>
      </c>
      <c r="F713" s="303" t="s">
        <v>1967</v>
      </c>
      <c r="G713" s="303" t="s">
        <v>1460</v>
      </c>
      <c r="H713" s="303" t="s">
        <v>1956</v>
      </c>
      <c r="I713" s="304">
        <v>9717</v>
      </c>
      <c r="J713" s="303" t="s">
        <v>1795</v>
      </c>
      <c r="K713" s="303" t="s">
        <v>1460</v>
      </c>
      <c r="L713" s="303" t="s">
        <v>1956</v>
      </c>
      <c r="M713" s="303" t="s">
        <v>2267</v>
      </c>
      <c r="N713" s="303" t="s">
        <v>1987</v>
      </c>
      <c r="O713" s="303" t="s">
        <v>1986</v>
      </c>
      <c r="P713" s="328">
        <v>43420</v>
      </c>
      <c r="Q713" s="303" t="s">
        <v>1952</v>
      </c>
      <c r="R713" s="303">
        <f t="shared" si="15"/>
        <v>0</v>
      </c>
      <c r="S713" s="303">
        <v>0</v>
      </c>
    </row>
    <row r="714" spans="1:19" x14ac:dyDescent="0.25">
      <c r="A714" s="303" t="s">
        <v>2605</v>
      </c>
      <c r="B714" s="303" t="s">
        <v>2604</v>
      </c>
      <c r="C714" s="328">
        <v>43420</v>
      </c>
      <c r="D714" s="303" t="s">
        <v>1961</v>
      </c>
      <c r="E714" s="303" t="s">
        <v>1960</v>
      </c>
      <c r="F714" s="303" t="s">
        <v>1967</v>
      </c>
      <c r="G714" s="303" t="s">
        <v>1460</v>
      </c>
      <c r="H714" s="303" t="s">
        <v>1956</v>
      </c>
      <c r="I714" s="304">
        <v>-9717</v>
      </c>
      <c r="J714" s="303" t="s">
        <v>1795</v>
      </c>
      <c r="K714" s="303" t="s">
        <v>1460</v>
      </c>
      <c r="L714" s="303" t="s">
        <v>1956</v>
      </c>
      <c r="M714" s="303" t="s">
        <v>2267</v>
      </c>
      <c r="N714" s="303" t="s">
        <v>1987</v>
      </c>
      <c r="O714" s="303" t="s">
        <v>1986</v>
      </c>
      <c r="P714" s="328">
        <v>43420</v>
      </c>
      <c r="Q714" s="303" t="s">
        <v>1952</v>
      </c>
      <c r="R714" s="303">
        <f t="shared" si="15"/>
        <v>0</v>
      </c>
      <c r="S714" s="303">
        <v>0</v>
      </c>
    </row>
    <row r="715" spans="1:19" x14ac:dyDescent="0.25">
      <c r="A715" s="303" t="s">
        <v>2603</v>
      </c>
      <c r="B715" s="303" t="s">
        <v>2602</v>
      </c>
      <c r="C715" s="328">
        <v>43423</v>
      </c>
      <c r="D715" s="303" t="s">
        <v>1961</v>
      </c>
      <c r="E715" s="303" t="s">
        <v>1960</v>
      </c>
      <c r="F715" s="303" t="s">
        <v>1609</v>
      </c>
      <c r="G715" s="303" t="s">
        <v>1609</v>
      </c>
      <c r="H715" s="303" t="s">
        <v>1609</v>
      </c>
      <c r="I715" s="304">
        <v>-176</v>
      </c>
      <c r="J715" s="303" t="s">
        <v>1958</v>
      </c>
      <c r="K715" s="303" t="s">
        <v>1957</v>
      </c>
      <c r="L715" s="303" t="s">
        <v>1956</v>
      </c>
      <c r="M715" s="303" t="s">
        <v>2599</v>
      </c>
      <c r="N715" s="303" t="s">
        <v>1987</v>
      </c>
      <c r="O715" s="303" t="s">
        <v>1986</v>
      </c>
      <c r="P715" s="328">
        <v>43423</v>
      </c>
      <c r="Q715" s="303" t="s">
        <v>1952</v>
      </c>
      <c r="R715" s="303">
        <f t="shared" si="15"/>
        <v>1</v>
      </c>
      <c r="S715" s="303">
        <v>0</v>
      </c>
    </row>
    <row r="716" spans="1:19" x14ac:dyDescent="0.25">
      <c r="A716" s="303" t="s">
        <v>2601</v>
      </c>
      <c r="B716" s="303" t="s">
        <v>2600</v>
      </c>
      <c r="C716" s="328">
        <v>43423</v>
      </c>
      <c r="D716" s="303" t="s">
        <v>1965</v>
      </c>
      <c r="E716" s="303" t="s">
        <v>1964</v>
      </c>
      <c r="F716" s="303" t="s">
        <v>1967</v>
      </c>
      <c r="G716" s="303" t="s">
        <v>1391</v>
      </c>
      <c r="H716" s="303" t="s">
        <v>1956</v>
      </c>
      <c r="I716" s="304">
        <v>750</v>
      </c>
      <c r="J716" s="303" t="s">
        <v>1967</v>
      </c>
      <c r="K716" s="303" t="s">
        <v>1959</v>
      </c>
      <c r="L716" s="303" t="s">
        <v>1956</v>
      </c>
      <c r="M716" s="303" t="s">
        <v>2599</v>
      </c>
      <c r="N716" s="303" t="s">
        <v>1987</v>
      </c>
      <c r="O716" s="303" t="s">
        <v>1986</v>
      </c>
      <c r="P716" s="328">
        <v>43423</v>
      </c>
      <c r="Q716" s="303" t="s">
        <v>1952</v>
      </c>
      <c r="R716" s="303">
        <f t="shared" si="15"/>
        <v>1</v>
      </c>
      <c r="S716" s="303">
        <v>0</v>
      </c>
    </row>
    <row r="717" spans="1:19" x14ac:dyDescent="0.25">
      <c r="A717" s="303" t="s">
        <v>2601</v>
      </c>
      <c r="B717" s="303" t="s">
        <v>2600</v>
      </c>
      <c r="C717" s="328">
        <v>43423</v>
      </c>
      <c r="D717" s="303" t="s">
        <v>1961</v>
      </c>
      <c r="E717" s="303" t="s">
        <v>1960</v>
      </c>
      <c r="F717" s="303" t="s">
        <v>1967</v>
      </c>
      <c r="G717" s="303" t="s">
        <v>1391</v>
      </c>
      <c r="H717" s="303" t="s">
        <v>1956</v>
      </c>
      <c r="I717" s="304">
        <v>-750</v>
      </c>
      <c r="J717" s="303" t="s">
        <v>1967</v>
      </c>
      <c r="K717" s="303" t="s">
        <v>1959</v>
      </c>
      <c r="L717" s="303" t="s">
        <v>1956</v>
      </c>
      <c r="M717" s="303" t="s">
        <v>2599</v>
      </c>
      <c r="N717" s="303" t="s">
        <v>1987</v>
      </c>
      <c r="O717" s="303" t="s">
        <v>1986</v>
      </c>
      <c r="P717" s="328">
        <v>43423</v>
      </c>
      <c r="Q717" s="303" t="s">
        <v>1952</v>
      </c>
      <c r="R717" s="303">
        <f t="shared" si="15"/>
        <v>1</v>
      </c>
      <c r="S717" s="303">
        <v>0</v>
      </c>
    </row>
    <row r="718" spans="1:19" x14ac:dyDescent="0.25">
      <c r="A718" s="303" t="s">
        <v>2598</v>
      </c>
      <c r="B718" s="303" t="s">
        <v>2597</v>
      </c>
      <c r="C718" s="328">
        <v>43423</v>
      </c>
      <c r="D718" s="303" t="s">
        <v>1961</v>
      </c>
      <c r="E718" s="303" t="s">
        <v>1960</v>
      </c>
      <c r="F718" s="303" t="s">
        <v>1609</v>
      </c>
      <c r="G718" s="303" t="s">
        <v>1609</v>
      </c>
      <c r="H718" s="303" t="s">
        <v>1609</v>
      </c>
      <c r="I718" s="304">
        <v>-750</v>
      </c>
      <c r="J718" s="303" t="s">
        <v>1967</v>
      </c>
      <c r="K718" s="303" t="s">
        <v>1391</v>
      </c>
      <c r="L718" s="303" t="s">
        <v>1956</v>
      </c>
      <c r="M718" s="303" t="s">
        <v>2596</v>
      </c>
      <c r="N718" s="303" t="s">
        <v>1987</v>
      </c>
      <c r="O718" s="303" t="s">
        <v>1986</v>
      </c>
      <c r="P718" s="328">
        <v>43423</v>
      </c>
      <c r="Q718" s="303" t="s">
        <v>1952</v>
      </c>
      <c r="R718" s="303">
        <f t="shared" si="15"/>
        <v>1</v>
      </c>
      <c r="S718" s="303">
        <v>0</v>
      </c>
    </row>
    <row r="719" spans="1:19" x14ac:dyDescent="0.25">
      <c r="A719" s="303" t="s">
        <v>2595</v>
      </c>
      <c r="B719" s="303" t="s">
        <v>2594</v>
      </c>
      <c r="C719" s="328">
        <v>43424</v>
      </c>
      <c r="D719" s="303" t="s">
        <v>1965</v>
      </c>
      <c r="E719" s="303" t="s">
        <v>1964</v>
      </c>
      <c r="F719" s="303" t="s">
        <v>1681</v>
      </c>
      <c r="G719" s="303" t="s">
        <v>1549</v>
      </c>
      <c r="H719" s="303" t="s">
        <v>1956</v>
      </c>
      <c r="I719" s="304">
        <v>25640</v>
      </c>
      <c r="J719" s="303" t="s">
        <v>1609</v>
      </c>
      <c r="K719" s="303" t="s">
        <v>1609</v>
      </c>
      <c r="L719" s="303" t="s">
        <v>1609</v>
      </c>
      <c r="M719" s="303" t="s">
        <v>2593</v>
      </c>
      <c r="N719" s="303" t="s">
        <v>2031</v>
      </c>
      <c r="O719" s="303" t="s">
        <v>2030</v>
      </c>
      <c r="P719" s="328">
        <v>43424</v>
      </c>
      <c r="Q719" s="303" t="s">
        <v>1952</v>
      </c>
      <c r="R719" s="303">
        <f t="shared" si="15"/>
        <v>1</v>
      </c>
      <c r="S719" s="303">
        <v>1</v>
      </c>
    </row>
    <row r="720" spans="1:19" x14ac:dyDescent="0.25">
      <c r="A720" s="303" t="s">
        <v>2592</v>
      </c>
      <c r="B720" s="303" t="s">
        <v>2591</v>
      </c>
      <c r="C720" s="328">
        <v>43424</v>
      </c>
      <c r="D720" s="303" t="s">
        <v>1965</v>
      </c>
      <c r="E720" s="303" t="s">
        <v>1964</v>
      </c>
      <c r="F720" s="303" t="s">
        <v>1621</v>
      </c>
      <c r="G720" s="303" t="s">
        <v>1597</v>
      </c>
      <c r="H720" s="303" t="s">
        <v>1956</v>
      </c>
      <c r="I720" s="304">
        <v>12836</v>
      </c>
      <c r="J720" s="303" t="s">
        <v>1609</v>
      </c>
      <c r="K720" s="303" t="s">
        <v>1609</v>
      </c>
      <c r="L720" s="303" t="s">
        <v>1609</v>
      </c>
      <c r="M720" s="303" t="s">
        <v>2590</v>
      </c>
      <c r="N720" s="303" t="s">
        <v>2031</v>
      </c>
      <c r="O720" s="303" t="s">
        <v>2030</v>
      </c>
      <c r="P720" s="328">
        <v>43424</v>
      </c>
      <c r="Q720" s="303" t="s">
        <v>1952</v>
      </c>
      <c r="R720" s="303">
        <f t="shared" si="15"/>
        <v>1</v>
      </c>
      <c r="S720" s="303">
        <v>1</v>
      </c>
    </row>
    <row r="721" spans="1:19" x14ac:dyDescent="0.25">
      <c r="A721" s="303" t="s">
        <v>2589</v>
      </c>
      <c r="B721" s="303" t="s">
        <v>2588</v>
      </c>
      <c r="C721" s="328">
        <v>43425</v>
      </c>
      <c r="D721" s="303" t="s">
        <v>1961</v>
      </c>
      <c r="E721" s="303" t="s">
        <v>1960</v>
      </c>
      <c r="F721" s="303" t="s">
        <v>1609</v>
      </c>
      <c r="G721" s="303" t="s">
        <v>1609</v>
      </c>
      <c r="H721" s="303" t="s">
        <v>1609</v>
      </c>
      <c r="I721" s="304">
        <v>-5236</v>
      </c>
      <c r="J721" s="303" t="s">
        <v>1813</v>
      </c>
      <c r="K721" s="303" t="s">
        <v>1439</v>
      </c>
      <c r="L721" s="303" t="s">
        <v>1956</v>
      </c>
      <c r="M721" s="303" t="s">
        <v>2587</v>
      </c>
      <c r="N721" s="303" t="s">
        <v>1987</v>
      </c>
      <c r="O721" s="303" t="s">
        <v>1986</v>
      </c>
      <c r="P721" s="328">
        <v>43425</v>
      </c>
      <c r="Q721" s="303" t="s">
        <v>1952</v>
      </c>
      <c r="R721" s="303">
        <f t="shared" si="15"/>
        <v>1</v>
      </c>
      <c r="S721" s="303">
        <v>1</v>
      </c>
    </row>
    <row r="722" spans="1:19" x14ac:dyDescent="0.25">
      <c r="A722" s="303" t="s">
        <v>2586</v>
      </c>
      <c r="B722" s="303" t="s">
        <v>2585</v>
      </c>
      <c r="C722" s="328">
        <v>43425</v>
      </c>
      <c r="D722" s="303" t="s">
        <v>1965</v>
      </c>
      <c r="E722" s="303" t="s">
        <v>1964</v>
      </c>
      <c r="F722" s="303" t="s">
        <v>1926</v>
      </c>
      <c r="G722" s="303" t="s">
        <v>1373</v>
      </c>
      <c r="H722" s="303" t="s">
        <v>1956</v>
      </c>
      <c r="I722" s="304">
        <v>1338</v>
      </c>
      <c r="J722" s="303" t="s">
        <v>1846</v>
      </c>
      <c r="K722" s="303" t="s">
        <v>1959</v>
      </c>
      <c r="L722" s="303" t="s">
        <v>1956</v>
      </c>
      <c r="M722" s="303" t="s">
        <v>2584</v>
      </c>
      <c r="N722" s="303" t="s">
        <v>1987</v>
      </c>
      <c r="O722" s="303" t="s">
        <v>1986</v>
      </c>
      <c r="P722" s="328">
        <v>43425</v>
      </c>
      <c r="Q722" s="303" t="s">
        <v>1952</v>
      </c>
      <c r="R722" s="303">
        <f t="shared" si="15"/>
        <v>1</v>
      </c>
      <c r="S722" s="303">
        <v>1</v>
      </c>
    </row>
    <row r="723" spans="1:19" x14ac:dyDescent="0.25">
      <c r="A723" s="303" t="s">
        <v>2586</v>
      </c>
      <c r="B723" s="303" t="s">
        <v>2585</v>
      </c>
      <c r="C723" s="328">
        <v>43425</v>
      </c>
      <c r="D723" s="303" t="s">
        <v>1961</v>
      </c>
      <c r="E723" s="303" t="s">
        <v>1960</v>
      </c>
      <c r="F723" s="303" t="s">
        <v>1926</v>
      </c>
      <c r="G723" s="303" t="s">
        <v>1373</v>
      </c>
      <c r="H723" s="303" t="s">
        <v>1956</v>
      </c>
      <c r="I723" s="304">
        <v>-1338</v>
      </c>
      <c r="J723" s="303" t="s">
        <v>1846</v>
      </c>
      <c r="K723" s="303" t="s">
        <v>1959</v>
      </c>
      <c r="L723" s="303" t="s">
        <v>1956</v>
      </c>
      <c r="M723" s="303" t="s">
        <v>2584</v>
      </c>
      <c r="N723" s="303" t="s">
        <v>1987</v>
      </c>
      <c r="O723" s="303" t="s">
        <v>1986</v>
      </c>
      <c r="P723" s="328">
        <v>43425</v>
      </c>
      <c r="Q723" s="303" t="s">
        <v>1952</v>
      </c>
      <c r="R723" s="303">
        <f t="shared" si="15"/>
        <v>1</v>
      </c>
      <c r="S723" s="303">
        <v>1</v>
      </c>
    </row>
    <row r="724" spans="1:19" x14ac:dyDescent="0.25">
      <c r="A724" s="303" t="s">
        <v>2583</v>
      </c>
      <c r="B724" s="303" t="s">
        <v>2582</v>
      </c>
      <c r="C724" s="328">
        <v>43425</v>
      </c>
      <c r="D724" s="303" t="s">
        <v>1965</v>
      </c>
      <c r="E724" s="303" t="s">
        <v>1964</v>
      </c>
      <c r="F724" s="303" t="s">
        <v>2014</v>
      </c>
      <c r="G724" s="303" t="s">
        <v>2172</v>
      </c>
      <c r="H724" s="303" t="s">
        <v>1956</v>
      </c>
      <c r="I724" s="304">
        <v>729</v>
      </c>
      <c r="J724" s="303" t="s">
        <v>1854</v>
      </c>
      <c r="K724" s="303" t="s">
        <v>2172</v>
      </c>
      <c r="L724" s="303" t="s">
        <v>1956</v>
      </c>
      <c r="M724" s="303" t="s">
        <v>2581</v>
      </c>
      <c r="N724" s="303" t="s">
        <v>1987</v>
      </c>
      <c r="O724" s="303" t="s">
        <v>1986</v>
      </c>
      <c r="P724" s="328">
        <v>43425</v>
      </c>
      <c r="Q724" s="303" t="s">
        <v>1952</v>
      </c>
      <c r="R724" s="303">
        <f t="shared" si="15"/>
        <v>1</v>
      </c>
      <c r="S724" s="303">
        <v>0</v>
      </c>
    </row>
    <row r="725" spans="1:19" x14ac:dyDescent="0.25">
      <c r="A725" s="303" t="s">
        <v>2583</v>
      </c>
      <c r="B725" s="303" t="s">
        <v>2582</v>
      </c>
      <c r="C725" s="328">
        <v>43425</v>
      </c>
      <c r="D725" s="303" t="s">
        <v>1961</v>
      </c>
      <c r="E725" s="303" t="s">
        <v>1960</v>
      </c>
      <c r="F725" s="303" t="s">
        <v>2014</v>
      </c>
      <c r="G725" s="303" t="s">
        <v>2172</v>
      </c>
      <c r="H725" s="303" t="s">
        <v>1956</v>
      </c>
      <c r="I725" s="304">
        <v>-729</v>
      </c>
      <c r="J725" s="303" t="s">
        <v>1854</v>
      </c>
      <c r="K725" s="303" t="s">
        <v>2172</v>
      </c>
      <c r="L725" s="303" t="s">
        <v>1956</v>
      </c>
      <c r="M725" s="303" t="s">
        <v>2581</v>
      </c>
      <c r="N725" s="303" t="s">
        <v>1987</v>
      </c>
      <c r="O725" s="303" t="s">
        <v>1986</v>
      </c>
      <c r="P725" s="328">
        <v>43425</v>
      </c>
      <c r="Q725" s="303" t="s">
        <v>1952</v>
      </c>
      <c r="R725" s="303">
        <f t="shared" si="15"/>
        <v>1</v>
      </c>
      <c r="S725" s="303">
        <v>0</v>
      </c>
    </row>
    <row r="726" spans="1:19" x14ac:dyDescent="0.25">
      <c r="A726" s="303" t="s">
        <v>2580</v>
      </c>
      <c r="B726" s="303" t="s">
        <v>2579</v>
      </c>
      <c r="C726" s="328">
        <v>43425</v>
      </c>
      <c r="D726" s="303" t="s">
        <v>1965</v>
      </c>
      <c r="E726" s="303" t="s">
        <v>1964</v>
      </c>
      <c r="F726" s="303" t="s">
        <v>1876</v>
      </c>
      <c r="G726" s="303" t="s">
        <v>2578</v>
      </c>
      <c r="H726" s="303" t="s">
        <v>1956</v>
      </c>
      <c r="I726" s="304">
        <v>565</v>
      </c>
      <c r="J726" s="303" t="s">
        <v>1759</v>
      </c>
      <c r="K726" s="303" t="s">
        <v>2072</v>
      </c>
      <c r="L726" s="303" t="s">
        <v>1956</v>
      </c>
      <c r="M726" s="303" t="s">
        <v>2533</v>
      </c>
      <c r="N726" s="303" t="s">
        <v>1987</v>
      </c>
      <c r="O726" s="303" t="s">
        <v>1986</v>
      </c>
      <c r="P726" s="328">
        <v>43425</v>
      </c>
      <c r="Q726" s="303" t="s">
        <v>1952</v>
      </c>
      <c r="R726" s="303">
        <f t="shared" si="15"/>
        <v>1</v>
      </c>
      <c r="S726" s="303">
        <v>1</v>
      </c>
    </row>
    <row r="727" spans="1:19" x14ac:dyDescent="0.25">
      <c r="A727" s="303" t="s">
        <v>2580</v>
      </c>
      <c r="B727" s="303" t="s">
        <v>2579</v>
      </c>
      <c r="C727" s="328">
        <v>43425</v>
      </c>
      <c r="D727" s="303" t="s">
        <v>1961</v>
      </c>
      <c r="E727" s="303" t="s">
        <v>1960</v>
      </c>
      <c r="F727" s="303" t="s">
        <v>1876</v>
      </c>
      <c r="G727" s="303" t="s">
        <v>2578</v>
      </c>
      <c r="H727" s="303" t="s">
        <v>1956</v>
      </c>
      <c r="I727" s="304">
        <v>-565</v>
      </c>
      <c r="J727" s="303" t="s">
        <v>1759</v>
      </c>
      <c r="K727" s="303" t="s">
        <v>2072</v>
      </c>
      <c r="L727" s="303" t="s">
        <v>1956</v>
      </c>
      <c r="M727" s="303" t="s">
        <v>2533</v>
      </c>
      <c r="N727" s="303" t="s">
        <v>1987</v>
      </c>
      <c r="O727" s="303" t="s">
        <v>1986</v>
      </c>
      <c r="P727" s="328">
        <v>43425</v>
      </c>
      <c r="Q727" s="303" t="s">
        <v>1952</v>
      </c>
      <c r="R727" s="303">
        <f t="shared" si="15"/>
        <v>1</v>
      </c>
      <c r="S727" s="303">
        <v>1</v>
      </c>
    </row>
    <row r="728" spans="1:19" x14ac:dyDescent="0.25">
      <c r="A728" s="303" t="s">
        <v>2577</v>
      </c>
      <c r="B728" s="303" t="s">
        <v>2576</v>
      </c>
      <c r="C728" s="328">
        <v>43425</v>
      </c>
      <c r="D728" s="303" t="s">
        <v>1965</v>
      </c>
      <c r="E728" s="303" t="s">
        <v>1964</v>
      </c>
      <c r="F728" s="303" t="s">
        <v>1729</v>
      </c>
      <c r="G728" s="303" t="s">
        <v>1499</v>
      </c>
      <c r="H728" s="303" t="s">
        <v>1956</v>
      </c>
      <c r="I728" s="304">
        <v>625</v>
      </c>
      <c r="J728" s="303" t="s">
        <v>1759</v>
      </c>
      <c r="K728" s="303" t="s">
        <v>2072</v>
      </c>
      <c r="L728" s="303" t="s">
        <v>1956</v>
      </c>
      <c r="M728" s="303" t="s">
        <v>2533</v>
      </c>
      <c r="N728" s="303" t="s">
        <v>1987</v>
      </c>
      <c r="O728" s="303" t="s">
        <v>1986</v>
      </c>
      <c r="P728" s="328">
        <v>43425</v>
      </c>
      <c r="Q728" s="303" t="s">
        <v>1952</v>
      </c>
      <c r="R728" s="303">
        <f t="shared" si="15"/>
        <v>1</v>
      </c>
      <c r="S728" s="303">
        <v>1</v>
      </c>
    </row>
    <row r="729" spans="1:19" x14ac:dyDescent="0.25">
      <c r="A729" s="303" t="s">
        <v>2577</v>
      </c>
      <c r="B729" s="303" t="s">
        <v>2576</v>
      </c>
      <c r="C729" s="328">
        <v>43425</v>
      </c>
      <c r="D729" s="303" t="s">
        <v>1961</v>
      </c>
      <c r="E729" s="303" t="s">
        <v>1960</v>
      </c>
      <c r="F729" s="303" t="s">
        <v>1729</v>
      </c>
      <c r="G729" s="303" t="s">
        <v>1499</v>
      </c>
      <c r="H729" s="303" t="s">
        <v>1956</v>
      </c>
      <c r="I729" s="304">
        <v>-625</v>
      </c>
      <c r="J729" s="303" t="s">
        <v>1759</v>
      </c>
      <c r="K729" s="303" t="s">
        <v>2072</v>
      </c>
      <c r="L729" s="303" t="s">
        <v>1956</v>
      </c>
      <c r="M729" s="303" t="s">
        <v>2533</v>
      </c>
      <c r="N729" s="303" t="s">
        <v>1987</v>
      </c>
      <c r="O729" s="303" t="s">
        <v>1986</v>
      </c>
      <c r="P729" s="328">
        <v>43425</v>
      </c>
      <c r="Q729" s="303" t="s">
        <v>1952</v>
      </c>
      <c r="R729" s="303">
        <f t="shared" si="15"/>
        <v>1</v>
      </c>
      <c r="S729" s="303">
        <v>1</v>
      </c>
    </row>
    <row r="730" spans="1:19" x14ac:dyDescent="0.25">
      <c r="A730" s="303" t="s">
        <v>2575</v>
      </c>
      <c r="B730" s="303" t="s">
        <v>2574</v>
      </c>
      <c r="C730" s="328">
        <v>43425</v>
      </c>
      <c r="D730" s="303" t="s">
        <v>1961</v>
      </c>
      <c r="E730" s="303" t="s">
        <v>1960</v>
      </c>
      <c r="F730" s="303" t="s">
        <v>1609</v>
      </c>
      <c r="G730" s="303" t="s">
        <v>1609</v>
      </c>
      <c r="H730" s="303" t="s">
        <v>1609</v>
      </c>
      <c r="I730" s="304">
        <v>-420</v>
      </c>
      <c r="J730" s="303" t="s">
        <v>1759</v>
      </c>
      <c r="K730" s="303" t="s">
        <v>2072</v>
      </c>
      <c r="L730" s="303" t="s">
        <v>1956</v>
      </c>
      <c r="M730" s="303" t="s">
        <v>2533</v>
      </c>
      <c r="N730" s="303" t="s">
        <v>1987</v>
      </c>
      <c r="O730" s="303" t="s">
        <v>1986</v>
      </c>
      <c r="P730" s="328">
        <v>43425</v>
      </c>
      <c r="Q730" s="303" t="s">
        <v>1952</v>
      </c>
      <c r="R730" s="303">
        <f t="shared" si="15"/>
        <v>1</v>
      </c>
      <c r="S730" s="303">
        <v>1</v>
      </c>
    </row>
    <row r="731" spans="1:19" x14ac:dyDescent="0.25">
      <c r="A731" s="303" t="s">
        <v>2573</v>
      </c>
      <c r="B731" s="303" t="s">
        <v>2572</v>
      </c>
      <c r="C731" s="328">
        <v>43425</v>
      </c>
      <c r="D731" s="303" t="s">
        <v>1961</v>
      </c>
      <c r="E731" s="303" t="s">
        <v>1960</v>
      </c>
      <c r="F731" s="303" t="s">
        <v>1609</v>
      </c>
      <c r="G731" s="303" t="s">
        <v>1609</v>
      </c>
      <c r="H731" s="303" t="s">
        <v>1609</v>
      </c>
      <c r="I731" s="304">
        <v>-250</v>
      </c>
      <c r="J731" s="303" t="s">
        <v>1759</v>
      </c>
      <c r="K731" s="303" t="s">
        <v>2072</v>
      </c>
      <c r="L731" s="303" t="s">
        <v>1956</v>
      </c>
      <c r="M731" s="303" t="s">
        <v>2533</v>
      </c>
      <c r="N731" s="303" t="s">
        <v>1987</v>
      </c>
      <c r="O731" s="303" t="s">
        <v>1986</v>
      </c>
      <c r="P731" s="328">
        <v>43425</v>
      </c>
      <c r="Q731" s="303" t="s">
        <v>1952</v>
      </c>
      <c r="R731" s="303">
        <f t="shared" si="15"/>
        <v>1</v>
      </c>
      <c r="S731" s="303">
        <v>1</v>
      </c>
    </row>
    <row r="732" spans="1:19" x14ac:dyDescent="0.25">
      <c r="A732" s="303" t="s">
        <v>2571</v>
      </c>
      <c r="B732" s="303" t="s">
        <v>2570</v>
      </c>
      <c r="C732" s="328">
        <v>43425</v>
      </c>
      <c r="D732" s="303" t="s">
        <v>1965</v>
      </c>
      <c r="E732" s="303" t="s">
        <v>1964</v>
      </c>
      <c r="F732" s="303" t="s">
        <v>1713</v>
      </c>
      <c r="G732" s="303" t="s">
        <v>1517</v>
      </c>
      <c r="H732" s="303" t="s">
        <v>1956</v>
      </c>
      <c r="I732" s="304">
        <v>2260</v>
      </c>
      <c r="J732" s="303" t="s">
        <v>1759</v>
      </c>
      <c r="K732" s="303" t="s">
        <v>2072</v>
      </c>
      <c r="L732" s="303" t="s">
        <v>1956</v>
      </c>
      <c r="M732" s="303" t="s">
        <v>2533</v>
      </c>
      <c r="N732" s="303" t="s">
        <v>1987</v>
      </c>
      <c r="O732" s="303" t="s">
        <v>1986</v>
      </c>
      <c r="P732" s="328">
        <v>43425</v>
      </c>
      <c r="Q732" s="303" t="s">
        <v>1952</v>
      </c>
      <c r="R732" s="303">
        <f t="shared" si="15"/>
        <v>1</v>
      </c>
      <c r="S732" s="303">
        <v>1</v>
      </c>
    </row>
    <row r="733" spans="1:19" x14ac:dyDescent="0.25">
      <c r="A733" s="303" t="s">
        <v>2571</v>
      </c>
      <c r="B733" s="303" t="s">
        <v>2570</v>
      </c>
      <c r="C733" s="328">
        <v>43425</v>
      </c>
      <c r="D733" s="303" t="s">
        <v>1961</v>
      </c>
      <c r="E733" s="303" t="s">
        <v>1960</v>
      </c>
      <c r="F733" s="303" t="s">
        <v>1713</v>
      </c>
      <c r="G733" s="303" t="s">
        <v>1517</v>
      </c>
      <c r="H733" s="303" t="s">
        <v>1956</v>
      </c>
      <c r="I733" s="304">
        <v>-2260</v>
      </c>
      <c r="J733" s="303" t="s">
        <v>1759</v>
      </c>
      <c r="K733" s="303" t="s">
        <v>2072</v>
      </c>
      <c r="L733" s="303" t="s">
        <v>1956</v>
      </c>
      <c r="M733" s="303" t="s">
        <v>2533</v>
      </c>
      <c r="N733" s="303" t="s">
        <v>1987</v>
      </c>
      <c r="O733" s="303" t="s">
        <v>1986</v>
      </c>
      <c r="P733" s="328">
        <v>43425</v>
      </c>
      <c r="Q733" s="303" t="s">
        <v>1952</v>
      </c>
      <c r="R733" s="303">
        <f t="shared" si="15"/>
        <v>1</v>
      </c>
      <c r="S733" s="303">
        <v>1</v>
      </c>
    </row>
    <row r="734" spans="1:19" x14ac:dyDescent="0.25">
      <c r="A734" s="303" t="s">
        <v>2569</v>
      </c>
      <c r="B734" s="303" t="s">
        <v>2568</v>
      </c>
      <c r="C734" s="328">
        <v>43425</v>
      </c>
      <c r="D734" s="303" t="s">
        <v>1965</v>
      </c>
      <c r="E734" s="303" t="s">
        <v>1964</v>
      </c>
      <c r="F734" s="303" t="s">
        <v>1719</v>
      </c>
      <c r="G734" s="303" t="s">
        <v>1511</v>
      </c>
      <c r="H734" s="303" t="s">
        <v>1956</v>
      </c>
      <c r="I734" s="304">
        <v>250</v>
      </c>
      <c r="J734" s="303" t="s">
        <v>1759</v>
      </c>
      <c r="K734" s="303" t="s">
        <v>2072</v>
      </c>
      <c r="L734" s="303" t="s">
        <v>1956</v>
      </c>
      <c r="M734" s="303" t="s">
        <v>2533</v>
      </c>
      <c r="N734" s="303" t="s">
        <v>1987</v>
      </c>
      <c r="O734" s="303" t="s">
        <v>1986</v>
      </c>
      <c r="P734" s="328">
        <v>43425</v>
      </c>
      <c r="Q734" s="303" t="s">
        <v>1952</v>
      </c>
      <c r="R734" s="303">
        <f t="shared" si="15"/>
        <v>1</v>
      </c>
      <c r="S734" s="303">
        <v>1</v>
      </c>
    </row>
    <row r="735" spans="1:19" x14ac:dyDescent="0.25">
      <c r="A735" s="303" t="s">
        <v>2569</v>
      </c>
      <c r="B735" s="303" t="s">
        <v>2568</v>
      </c>
      <c r="C735" s="328">
        <v>43425</v>
      </c>
      <c r="D735" s="303" t="s">
        <v>1961</v>
      </c>
      <c r="E735" s="303" t="s">
        <v>1960</v>
      </c>
      <c r="F735" s="303" t="s">
        <v>1719</v>
      </c>
      <c r="G735" s="303" t="s">
        <v>1511</v>
      </c>
      <c r="H735" s="303" t="s">
        <v>1956</v>
      </c>
      <c r="I735" s="304">
        <v>-250</v>
      </c>
      <c r="J735" s="303" t="s">
        <v>1759</v>
      </c>
      <c r="K735" s="303" t="s">
        <v>2072</v>
      </c>
      <c r="L735" s="303" t="s">
        <v>1956</v>
      </c>
      <c r="M735" s="303" t="s">
        <v>2533</v>
      </c>
      <c r="N735" s="303" t="s">
        <v>1987</v>
      </c>
      <c r="O735" s="303" t="s">
        <v>1986</v>
      </c>
      <c r="P735" s="328">
        <v>43425</v>
      </c>
      <c r="Q735" s="303" t="s">
        <v>1952</v>
      </c>
      <c r="R735" s="303">
        <f t="shared" si="15"/>
        <v>1</v>
      </c>
      <c r="S735" s="303">
        <v>1</v>
      </c>
    </row>
    <row r="736" spans="1:19" x14ac:dyDescent="0.25">
      <c r="A736" s="303" t="s">
        <v>2567</v>
      </c>
      <c r="B736" s="303" t="s">
        <v>2566</v>
      </c>
      <c r="C736" s="328">
        <v>43425</v>
      </c>
      <c r="D736" s="303" t="s">
        <v>1965</v>
      </c>
      <c r="E736" s="303" t="s">
        <v>1964</v>
      </c>
      <c r="F736" s="303" t="s">
        <v>1725</v>
      </c>
      <c r="G736" s="303" t="s">
        <v>1505</v>
      </c>
      <c r="H736" s="303" t="s">
        <v>1956</v>
      </c>
      <c r="I736" s="304">
        <v>1500</v>
      </c>
      <c r="J736" s="303" t="s">
        <v>1759</v>
      </c>
      <c r="K736" s="303" t="s">
        <v>2072</v>
      </c>
      <c r="L736" s="303" t="s">
        <v>1956</v>
      </c>
      <c r="M736" s="303" t="s">
        <v>2533</v>
      </c>
      <c r="N736" s="303" t="s">
        <v>1987</v>
      </c>
      <c r="O736" s="303" t="s">
        <v>1986</v>
      </c>
      <c r="P736" s="328">
        <v>43425</v>
      </c>
      <c r="Q736" s="303" t="s">
        <v>1952</v>
      </c>
      <c r="R736" s="303">
        <f t="shared" si="15"/>
        <v>1</v>
      </c>
      <c r="S736" s="303">
        <v>1</v>
      </c>
    </row>
    <row r="737" spans="1:19" x14ac:dyDescent="0.25">
      <c r="A737" s="303" t="s">
        <v>2567</v>
      </c>
      <c r="B737" s="303" t="s">
        <v>2566</v>
      </c>
      <c r="C737" s="328">
        <v>43425</v>
      </c>
      <c r="D737" s="303" t="s">
        <v>1961</v>
      </c>
      <c r="E737" s="303" t="s">
        <v>1960</v>
      </c>
      <c r="F737" s="303" t="s">
        <v>1725</v>
      </c>
      <c r="G737" s="303" t="s">
        <v>1505</v>
      </c>
      <c r="H737" s="303" t="s">
        <v>1956</v>
      </c>
      <c r="I737" s="304">
        <v>-1500</v>
      </c>
      <c r="J737" s="303" t="s">
        <v>1759</v>
      </c>
      <c r="K737" s="303" t="s">
        <v>2072</v>
      </c>
      <c r="L737" s="303" t="s">
        <v>1956</v>
      </c>
      <c r="M737" s="303" t="s">
        <v>2533</v>
      </c>
      <c r="N737" s="303" t="s">
        <v>1987</v>
      </c>
      <c r="O737" s="303" t="s">
        <v>1986</v>
      </c>
      <c r="P737" s="328">
        <v>43425</v>
      </c>
      <c r="Q737" s="303" t="s">
        <v>1952</v>
      </c>
      <c r="R737" s="303">
        <f t="shared" si="15"/>
        <v>1</v>
      </c>
      <c r="S737" s="303">
        <v>1</v>
      </c>
    </row>
    <row r="738" spans="1:19" x14ac:dyDescent="0.25">
      <c r="A738" s="303" t="s">
        <v>2565</v>
      </c>
      <c r="B738" s="303" t="s">
        <v>2564</v>
      </c>
      <c r="C738" s="328">
        <v>43425</v>
      </c>
      <c r="D738" s="303" t="s">
        <v>1965</v>
      </c>
      <c r="E738" s="303" t="s">
        <v>1964</v>
      </c>
      <c r="F738" s="303" t="s">
        <v>1731</v>
      </c>
      <c r="G738" s="303" t="s">
        <v>1496</v>
      </c>
      <c r="H738" s="303" t="s">
        <v>1956</v>
      </c>
      <c r="I738" s="304">
        <v>1625</v>
      </c>
      <c r="J738" s="303" t="s">
        <v>1759</v>
      </c>
      <c r="K738" s="303" t="s">
        <v>2072</v>
      </c>
      <c r="L738" s="303" t="s">
        <v>1956</v>
      </c>
      <c r="M738" s="303" t="s">
        <v>2533</v>
      </c>
      <c r="N738" s="303" t="s">
        <v>1987</v>
      </c>
      <c r="O738" s="303" t="s">
        <v>1986</v>
      </c>
      <c r="P738" s="328">
        <v>43425</v>
      </c>
      <c r="Q738" s="303" t="s">
        <v>1952</v>
      </c>
      <c r="R738" s="303">
        <f t="shared" si="15"/>
        <v>1</v>
      </c>
      <c r="S738" s="303">
        <v>1</v>
      </c>
    </row>
    <row r="739" spans="1:19" x14ac:dyDescent="0.25">
      <c r="A739" s="303" t="s">
        <v>2565</v>
      </c>
      <c r="B739" s="303" t="s">
        <v>2564</v>
      </c>
      <c r="C739" s="328">
        <v>43425</v>
      </c>
      <c r="D739" s="303" t="s">
        <v>1961</v>
      </c>
      <c r="E739" s="303" t="s">
        <v>1960</v>
      </c>
      <c r="F739" s="303" t="s">
        <v>1731</v>
      </c>
      <c r="G739" s="303" t="s">
        <v>1496</v>
      </c>
      <c r="H739" s="303" t="s">
        <v>1956</v>
      </c>
      <c r="I739" s="304">
        <v>-1625</v>
      </c>
      <c r="J739" s="303" t="s">
        <v>1759</v>
      </c>
      <c r="K739" s="303" t="s">
        <v>2072</v>
      </c>
      <c r="L739" s="303" t="s">
        <v>1956</v>
      </c>
      <c r="M739" s="303" t="s">
        <v>2533</v>
      </c>
      <c r="N739" s="303" t="s">
        <v>1987</v>
      </c>
      <c r="O739" s="303" t="s">
        <v>1986</v>
      </c>
      <c r="P739" s="328">
        <v>43425</v>
      </c>
      <c r="Q739" s="303" t="s">
        <v>1952</v>
      </c>
      <c r="R739" s="303">
        <f t="shared" si="15"/>
        <v>1</v>
      </c>
      <c r="S739" s="303">
        <v>1</v>
      </c>
    </row>
    <row r="740" spans="1:19" x14ac:dyDescent="0.25">
      <c r="A740" s="303" t="s">
        <v>2563</v>
      </c>
      <c r="B740" s="303" t="s">
        <v>2562</v>
      </c>
      <c r="C740" s="328">
        <v>43425</v>
      </c>
      <c r="D740" s="303" t="s">
        <v>1965</v>
      </c>
      <c r="E740" s="303" t="s">
        <v>1964</v>
      </c>
      <c r="F740" s="303" t="s">
        <v>1745</v>
      </c>
      <c r="G740" s="303" t="s">
        <v>1478</v>
      </c>
      <c r="H740" s="303" t="s">
        <v>1956</v>
      </c>
      <c r="I740" s="304">
        <v>2000</v>
      </c>
      <c r="J740" s="303" t="s">
        <v>1759</v>
      </c>
      <c r="K740" s="303" t="s">
        <v>2072</v>
      </c>
      <c r="L740" s="303" t="s">
        <v>1956</v>
      </c>
      <c r="M740" s="303" t="s">
        <v>2533</v>
      </c>
      <c r="N740" s="303" t="s">
        <v>1987</v>
      </c>
      <c r="O740" s="303" t="s">
        <v>1986</v>
      </c>
      <c r="P740" s="328">
        <v>43425</v>
      </c>
      <c r="Q740" s="303" t="s">
        <v>1952</v>
      </c>
      <c r="R740" s="303">
        <f t="shared" si="15"/>
        <v>1</v>
      </c>
      <c r="S740" s="303">
        <v>1</v>
      </c>
    </row>
    <row r="741" spans="1:19" x14ac:dyDescent="0.25">
      <c r="A741" s="303" t="s">
        <v>2563</v>
      </c>
      <c r="B741" s="303" t="s">
        <v>2562</v>
      </c>
      <c r="C741" s="328">
        <v>43425</v>
      </c>
      <c r="D741" s="303" t="s">
        <v>1961</v>
      </c>
      <c r="E741" s="303" t="s">
        <v>1960</v>
      </c>
      <c r="F741" s="303" t="s">
        <v>1745</v>
      </c>
      <c r="G741" s="303" t="s">
        <v>1478</v>
      </c>
      <c r="H741" s="303" t="s">
        <v>1956</v>
      </c>
      <c r="I741" s="304">
        <v>-2000</v>
      </c>
      <c r="J741" s="303" t="s">
        <v>1759</v>
      </c>
      <c r="K741" s="303" t="s">
        <v>2072</v>
      </c>
      <c r="L741" s="303" t="s">
        <v>1956</v>
      </c>
      <c r="M741" s="303" t="s">
        <v>2533</v>
      </c>
      <c r="N741" s="303" t="s">
        <v>1987</v>
      </c>
      <c r="O741" s="303" t="s">
        <v>1986</v>
      </c>
      <c r="P741" s="328">
        <v>43425</v>
      </c>
      <c r="Q741" s="303" t="s">
        <v>1952</v>
      </c>
      <c r="R741" s="303">
        <f t="shared" si="15"/>
        <v>1</v>
      </c>
      <c r="S741" s="303">
        <v>1</v>
      </c>
    </row>
    <row r="742" spans="1:19" x14ac:dyDescent="0.25">
      <c r="A742" s="303" t="s">
        <v>2561</v>
      </c>
      <c r="B742" s="303" t="s">
        <v>2560</v>
      </c>
      <c r="C742" s="328">
        <v>43425</v>
      </c>
      <c r="D742" s="303" t="s">
        <v>1965</v>
      </c>
      <c r="E742" s="303" t="s">
        <v>1964</v>
      </c>
      <c r="F742" s="303" t="s">
        <v>1741</v>
      </c>
      <c r="G742" s="303" t="s">
        <v>1484</v>
      </c>
      <c r="H742" s="303" t="s">
        <v>1956</v>
      </c>
      <c r="I742" s="304">
        <v>1570</v>
      </c>
      <c r="J742" s="303" t="s">
        <v>1759</v>
      </c>
      <c r="K742" s="303" t="s">
        <v>2072</v>
      </c>
      <c r="L742" s="303" t="s">
        <v>1956</v>
      </c>
      <c r="M742" s="303" t="s">
        <v>2533</v>
      </c>
      <c r="N742" s="303" t="s">
        <v>1987</v>
      </c>
      <c r="O742" s="303" t="s">
        <v>1986</v>
      </c>
      <c r="P742" s="328">
        <v>43425</v>
      </c>
      <c r="Q742" s="303" t="s">
        <v>1952</v>
      </c>
      <c r="R742" s="303">
        <f t="shared" si="15"/>
        <v>1</v>
      </c>
      <c r="S742" s="303">
        <v>1</v>
      </c>
    </row>
    <row r="743" spans="1:19" x14ac:dyDescent="0.25">
      <c r="A743" s="303" t="s">
        <v>2561</v>
      </c>
      <c r="B743" s="303" t="s">
        <v>2560</v>
      </c>
      <c r="C743" s="328">
        <v>43425</v>
      </c>
      <c r="D743" s="303" t="s">
        <v>1961</v>
      </c>
      <c r="E743" s="303" t="s">
        <v>1960</v>
      </c>
      <c r="F743" s="303" t="s">
        <v>1741</v>
      </c>
      <c r="G743" s="303" t="s">
        <v>1484</v>
      </c>
      <c r="H743" s="303" t="s">
        <v>1956</v>
      </c>
      <c r="I743" s="304">
        <v>-1570</v>
      </c>
      <c r="J743" s="303" t="s">
        <v>1759</v>
      </c>
      <c r="K743" s="303" t="s">
        <v>2072</v>
      </c>
      <c r="L743" s="303" t="s">
        <v>1956</v>
      </c>
      <c r="M743" s="303" t="s">
        <v>2533</v>
      </c>
      <c r="N743" s="303" t="s">
        <v>1987</v>
      </c>
      <c r="O743" s="303" t="s">
        <v>1986</v>
      </c>
      <c r="P743" s="328">
        <v>43425</v>
      </c>
      <c r="Q743" s="303" t="s">
        <v>1952</v>
      </c>
      <c r="R743" s="303">
        <f t="shared" si="15"/>
        <v>1</v>
      </c>
      <c r="S743" s="303">
        <v>1</v>
      </c>
    </row>
    <row r="744" spans="1:19" x14ac:dyDescent="0.25">
      <c r="A744" s="303" t="s">
        <v>2559</v>
      </c>
      <c r="B744" s="303" t="s">
        <v>2558</v>
      </c>
      <c r="C744" s="328">
        <v>43425</v>
      </c>
      <c r="D744" s="303" t="s">
        <v>1965</v>
      </c>
      <c r="E744" s="303" t="s">
        <v>1964</v>
      </c>
      <c r="F744" s="303" t="s">
        <v>1743</v>
      </c>
      <c r="G744" s="303" t="s">
        <v>1481</v>
      </c>
      <c r="H744" s="303" t="s">
        <v>1956</v>
      </c>
      <c r="I744" s="304">
        <v>2590</v>
      </c>
      <c r="J744" s="303" t="s">
        <v>1759</v>
      </c>
      <c r="K744" s="303" t="s">
        <v>2072</v>
      </c>
      <c r="L744" s="303" t="s">
        <v>1956</v>
      </c>
      <c r="M744" s="303" t="s">
        <v>2533</v>
      </c>
      <c r="N744" s="303" t="s">
        <v>1987</v>
      </c>
      <c r="O744" s="303" t="s">
        <v>1986</v>
      </c>
      <c r="P744" s="328">
        <v>43425</v>
      </c>
      <c r="Q744" s="303" t="s">
        <v>1952</v>
      </c>
      <c r="R744" s="303">
        <f t="shared" si="15"/>
        <v>1</v>
      </c>
      <c r="S744" s="303">
        <v>1</v>
      </c>
    </row>
    <row r="745" spans="1:19" x14ac:dyDescent="0.25">
      <c r="A745" s="303" t="s">
        <v>2559</v>
      </c>
      <c r="B745" s="303" t="s">
        <v>2558</v>
      </c>
      <c r="C745" s="328">
        <v>43425</v>
      </c>
      <c r="D745" s="303" t="s">
        <v>1961</v>
      </c>
      <c r="E745" s="303" t="s">
        <v>1960</v>
      </c>
      <c r="F745" s="303" t="s">
        <v>1743</v>
      </c>
      <c r="G745" s="303" t="s">
        <v>1481</v>
      </c>
      <c r="H745" s="303" t="s">
        <v>1956</v>
      </c>
      <c r="I745" s="304">
        <v>-2590</v>
      </c>
      <c r="J745" s="303" t="s">
        <v>1759</v>
      </c>
      <c r="K745" s="303" t="s">
        <v>2072</v>
      </c>
      <c r="L745" s="303" t="s">
        <v>1956</v>
      </c>
      <c r="M745" s="303" t="s">
        <v>2533</v>
      </c>
      <c r="N745" s="303" t="s">
        <v>1987</v>
      </c>
      <c r="O745" s="303" t="s">
        <v>1986</v>
      </c>
      <c r="P745" s="328">
        <v>43425</v>
      </c>
      <c r="Q745" s="303" t="s">
        <v>1952</v>
      </c>
      <c r="R745" s="303">
        <f t="shared" si="15"/>
        <v>1</v>
      </c>
      <c r="S745" s="303">
        <v>1</v>
      </c>
    </row>
    <row r="746" spans="1:19" x14ac:dyDescent="0.25">
      <c r="A746" s="303" t="s">
        <v>2557</v>
      </c>
      <c r="B746" s="303" t="s">
        <v>2556</v>
      </c>
      <c r="C746" s="328">
        <v>43425</v>
      </c>
      <c r="D746" s="303" t="s">
        <v>1965</v>
      </c>
      <c r="E746" s="303" t="s">
        <v>1964</v>
      </c>
      <c r="F746" s="303" t="s">
        <v>1619</v>
      </c>
      <c r="G746" s="303" t="s">
        <v>1600</v>
      </c>
      <c r="H746" s="303" t="s">
        <v>1956</v>
      </c>
      <c r="I746" s="304">
        <v>500</v>
      </c>
      <c r="J746" s="303" t="s">
        <v>1759</v>
      </c>
      <c r="K746" s="303" t="s">
        <v>2072</v>
      </c>
      <c r="L746" s="303" t="s">
        <v>1956</v>
      </c>
      <c r="M746" s="303" t="s">
        <v>2533</v>
      </c>
      <c r="N746" s="303" t="s">
        <v>1987</v>
      </c>
      <c r="O746" s="303" t="s">
        <v>1986</v>
      </c>
      <c r="P746" s="328">
        <v>43425</v>
      </c>
      <c r="Q746" s="303" t="s">
        <v>1952</v>
      </c>
      <c r="R746" s="303">
        <f t="shared" si="15"/>
        <v>1</v>
      </c>
      <c r="S746" s="303">
        <v>1</v>
      </c>
    </row>
    <row r="747" spans="1:19" x14ac:dyDescent="0.25">
      <c r="A747" s="303" t="s">
        <v>2557</v>
      </c>
      <c r="B747" s="303" t="s">
        <v>2556</v>
      </c>
      <c r="C747" s="328">
        <v>43425</v>
      </c>
      <c r="D747" s="303" t="s">
        <v>1961</v>
      </c>
      <c r="E747" s="303" t="s">
        <v>1960</v>
      </c>
      <c r="F747" s="303" t="s">
        <v>1619</v>
      </c>
      <c r="G747" s="303" t="s">
        <v>1600</v>
      </c>
      <c r="H747" s="303" t="s">
        <v>1956</v>
      </c>
      <c r="I747" s="304">
        <v>-500</v>
      </c>
      <c r="J747" s="303" t="s">
        <v>1759</v>
      </c>
      <c r="K747" s="303" t="s">
        <v>2072</v>
      </c>
      <c r="L747" s="303" t="s">
        <v>1956</v>
      </c>
      <c r="M747" s="303" t="s">
        <v>2533</v>
      </c>
      <c r="N747" s="303" t="s">
        <v>1987</v>
      </c>
      <c r="O747" s="303" t="s">
        <v>1986</v>
      </c>
      <c r="P747" s="328">
        <v>43425</v>
      </c>
      <c r="Q747" s="303" t="s">
        <v>1952</v>
      </c>
      <c r="R747" s="303">
        <f t="shared" si="15"/>
        <v>1</v>
      </c>
      <c r="S747" s="303">
        <v>1</v>
      </c>
    </row>
    <row r="748" spans="1:19" x14ac:dyDescent="0.25">
      <c r="A748" s="303" t="s">
        <v>2555</v>
      </c>
      <c r="B748" s="303" t="s">
        <v>2554</v>
      </c>
      <c r="C748" s="328">
        <v>43425</v>
      </c>
      <c r="D748" s="303" t="s">
        <v>1965</v>
      </c>
      <c r="E748" s="303" t="s">
        <v>1964</v>
      </c>
      <c r="F748" s="303" t="s">
        <v>1717</v>
      </c>
      <c r="G748" s="303" t="s">
        <v>1514</v>
      </c>
      <c r="H748" s="303" t="s">
        <v>1956</v>
      </c>
      <c r="I748" s="304">
        <v>3385</v>
      </c>
      <c r="J748" s="303" t="s">
        <v>1759</v>
      </c>
      <c r="K748" s="303" t="s">
        <v>2072</v>
      </c>
      <c r="L748" s="303" t="s">
        <v>1956</v>
      </c>
      <c r="M748" s="303" t="s">
        <v>2533</v>
      </c>
      <c r="N748" s="303" t="s">
        <v>1987</v>
      </c>
      <c r="O748" s="303" t="s">
        <v>1986</v>
      </c>
      <c r="P748" s="328">
        <v>43425</v>
      </c>
      <c r="Q748" s="303" t="s">
        <v>1952</v>
      </c>
      <c r="R748" s="303">
        <f t="shared" si="15"/>
        <v>1</v>
      </c>
      <c r="S748" s="303">
        <v>1</v>
      </c>
    </row>
    <row r="749" spans="1:19" x14ac:dyDescent="0.25">
      <c r="A749" s="303" t="s">
        <v>2555</v>
      </c>
      <c r="B749" s="303" t="s">
        <v>2554</v>
      </c>
      <c r="C749" s="328">
        <v>43425</v>
      </c>
      <c r="D749" s="303" t="s">
        <v>1961</v>
      </c>
      <c r="E749" s="303" t="s">
        <v>1960</v>
      </c>
      <c r="F749" s="303" t="s">
        <v>1717</v>
      </c>
      <c r="G749" s="303" t="s">
        <v>1514</v>
      </c>
      <c r="H749" s="303" t="s">
        <v>1956</v>
      </c>
      <c r="I749" s="304">
        <v>-3385</v>
      </c>
      <c r="J749" s="303" t="s">
        <v>1759</v>
      </c>
      <c r="K749" s="303" t="s">
        <v>2072</v>
      </c>
      <c r="L749" s="303" t="s">
        <v>1956</v>
      </c>
      <c r="M749" s="303" t="s">
        <v>2533</v>
      </c>
      <c r="N749" s="303" t="s">
        <v>1987</v>
      </c>
      <c r="O749" s="303" t="s">
        <v>1986</v>
      </c>
      <c r="P749" s="328">
        <v>43425</v>
      </c>
      <c r="Q749" s="303" t="s">
        <v>1952</v>
      </c>
      <c r="R749" s="303">
        <f t="shared" si="15"/>
        <v>1</v>
      </c>
      <c r="S749" s="303">
        <v>1</v>
      </c>
    </row>
    <row r="750" spans="1:19" x14ac:dyDescent="0.25">
      <c r="A750" s="303" t="s">
        <v>2553</v>
      </c>
      <c r="B750" s="303" t="s">
        <v>2552</v>
      </c>
      <c r="C750" s="328">
        <v>43425</v>
      </c>
      <c r="D750" s="303" t="s">
        <v>1965</v>
      </c>
      <c r="E750" s="303" t="s">
        <v>1964</v>
      </c>
      <c r="F750" s="303" t="s">
        <v>1733</v>
      </c>
      <c r="G750" s="303" t="s">
        <v>1493</v>
      </c>
      <c r="H750" s="303" t="s">
        <v>1956</v>
      </c>
      <c r="I750" s="304">
        <v>375</v>
      </c>
      <c r="J750" s="303" t="s">
        <v>1759</v>
      </c>
      <c r="K750" s="303" t="s">
        <v>2072</v>
      </c>
      <c r="L750" s="303" t="s">
        <v>1956</v>
      </c>
      <c r="M750" s="303" t="s">
        <v>2533</v>
      </c>
      <c r="N750" s="303" t="s">
        <v>1987</v>
      </c>
      <c r="O750" s="303" t="s">
        <v>1986</v>
      </c>
      <c r="P750" s="328">
        <v>43425</v>
      </c>
      <c r="Q750" s="303" t="s">
        <v>1952</v>
      </c>
      <c r="R750" s="303">
        <f t="shared" si="15"/>
        <v>1</v>
      </c>
      <c r="S750" s="303">
        <v>1</v>
      </c>
    </row>
    <row r="751" spans="1:19" x14ac:dyDescent="0.25">
      <c r="A751" s="303" t="s">
        <v>2553</v>
      </c>
      <c r="B751" s="303" t="s">
        <v>2552</v>
      </c>
      <c r="C751" s="328">
        <v>43425</v>
      </c>
      <c r="D751" s="303" t="s">
        <v>1961</v>
      </c>
      <c r="E751" s="303" t="s">
        <v>1960</v>
      </c>
      <c r="F751" s="303" t="s">
        <v>1733</v>
      </c>
      <c r="G751" s="303" t="s">
        <v>1493</v>
      </c>
      <c r="H751" s="303" t="s">
        <v>1956</v>
      </c>
      <c r="I751" s="304">
        <v>-375</v>
      </c>
      <c r="J751" s="303" t="s">
        <v>1759</v>
      </c>
      <c r="K751" s="303" t="s">
        <v>2072</v>
      </c>
      <c r="L751" s="303" t="s">
        <v>1956</v>
      </c>
      <c r="M751" s="303" t="s">
        <v>2533</v>
      </c>
      <c r="N751" s="303" t="s">
        <v>1987</v>
      </c>
      <c r="O751" s="303" t="s">
        <v>1986</v>
      </c>
      <c r="P751" s="328">
        <v>43425</v>
      </c>
      <c r="Q751" s="303" t="s">
        <v>1952</v>
      </c>
      <c r="R751" s="303">
        <f t="shared" si="15"/>
        <v>1</v>
      </c>
      <c r="S751" s="303">
        <v>1</v>
      </c>
    </row>
    <row r="752" spans="1:19" x14ac:dyDescent="0.25">
      <c r="A752" s="303" t="s">
        <v>2551</v>
      </c>
      <c r="B752" s="303" t="s">
        <v>2550</v>
      </c>
      <c r="C752" s="328">
        <v>43425</v>
      </c>
      <c r="D752" s="303" t="s">
        <v>1965</v>
      </c>
      <c r="E752" s="303" t="s">
        <v>1964</v>
      </c>
      <c r="F752" s="303" t="s">
        <v>1747</v>
      </c>
      <c r="G752" s="303" t="s">
        <v>1475</v>
      </c>
      <c r="H752" s="303" t="s">
        <v>1956</v>
      </c>
      <c r="I752" s="304">
        <v>875</v>
      </c>
      <c r="J752" s="303" t="s">
        <v>1759</v>
      </c>
      <c r="K752" s="303" t="s">
        <v>2072</v>
      </c>
      <c r="L752" s="303" t="s">
        <v>1956</v>
      </c>
      <c r="M752" s="303" t="s">
        <v>2533</v>
      </c>
      <c r="N752" s="303" t="s">
        <v>1987</v>
      </c>
      <c r="O752" s="303" t="s">
        <v>1986</v>
      </c>
      <c r="P752" s="328">
        <v>43425</v>
      </c>
      <c r="Q752" s="303" t="s">
        <v>1952</v>
      </c>
      <c r="R752" s="303">
        <f t="shared" si="15"/>
        <v>1</v>
      </c>
      <c r="S752" s="303">
        <v>1</v>
      </c>
    </row>
    <row r="753" spans="1:19" x14ac:dyDescent="0.25">
      <c r="A753" s="303" t="s">
        <v>2551</v>
      </c>
      <c r="B753" s="303" t="s">
        <v>2550</v>
      </c>
      <c r="C753" s="328">
        <v>43425</v>
      </c>
      <c r="D753" s="303" t="s">
        <v>1961</v>
      </c>
      <c r="E753" s="303" t="s">
        <v>1960</v>
      </c>
      <c r="F753" s="303" t="s">
        <v>1747</v>
      </c>
      <c r="G753" s="303" t="s">
        <v>1475</v>
      </c>
      <c r="H753" s="303" t="s">
        <v>1956</v>
      </c>
      <c r="I753" s="304">
        <v>-875</v>
      </c>
      <c r="J753" s="303" t="s">
        <v>1759</v>
      </c>
      <c r="K753" s="303" t="s">
        <v>2072</v>
      </c>
      <c r="L753" s="303" t="s">
        <v>1956</v>
      </c>
      <c r="M753" s="303" t="s">
        <v>2533</v>
      </c>
      <c r="N753" s="303" t="s">
        <v>1987</v>
      </c>
      <c r="O753" s="303" t="s">
        <v>1986</v>
      </c>
      <c r="P753" s="328">
        <v>43425</v>
      </c>
      <c r="Q753" s="303" t="s">
        <v>1952</v>
      </c>
      <c r="R753" s="303">
        <f t="shared" si="15"/>
        <v>1</v>
      </c>
      <c r="S753" s="303">
        <v>1</v>
      </c>
    </row>
    <row r="754" spans="1:19" x14ac:dyDescent="0.25">
      <c r="A754" s="303" t="s">
        <v>2549</v>
      </c>
      <c r="B754" s="303" t="s">
        <v>2548</v>
      </c>
      <c r="C754" s="328">
        <v>43425</v>
      </c>
      <c r="D754" s="303" t="s">
        <v>1965</v>
      </c>
      <c r="E754" s="303" t="s">
        <v>1964</v>
      </c>
      <c r="F754" s="303" t="s">
        <v>1858</v>
      </c>
      <c r="G754" s="303" t="s">
        <v>2547</v>
      </c>
      <c r="H754" s="303" t="s">
        <v>1956</v>
      </c>
      <c r="I754" s="304">
        <v>830</v>
      </c>
      <c r="J754" s="303" t="s">
        <v>1759</v>
      </c>
      <c r="K754" s="303" t="s">
        <v>2072</v>
      </c>
      <c r="L754" s="303" t="s">
        <v>1956</v>
      </c>
      <c r="M754" s="303" t="s">
        <v>2533</v>
      </c>
      <c r="N754" s="303" t="s">
        <v>1987</v>
      </c>
      <c r="O754" s="303" t="s">
        <v>1986</v>
      </c>
      <c r="P754" s="328">
        <v>43425</v>
      </c>
      <c r="Q754" s="303" t="s">
        <v>1952</v>
      </c>
      <c r="R754" s="303">
        <f t="shared" si="15"/>
        <v>1</v>
      </c>
      <c r="S754" s="303">
        <v>1</v>
      </c>
    </row>
    <row r="755" spans="1:19" x14ac:dyDescent="0.25">
      <c r="A755" s="303" t="s">
        <v>2549</v>
      </c>
      <c r="B755" s="303" t="s">
        <v>2548</v>
      </c>
      <c r="C755" s="328">
        <v>43425</v>
      </c>
      <c r="D755" s="303" t="s">
        <v>1961</v>
      </c>
      <c r="E755" s="303" t="s">
        <v>1960</v>
      </c>
      <c r="F755" s="303" t="s">
        <v>1858</v>
      </c>
      <c r="G755" s="303" t="s">
        <v>2547</v>
      </c>
      <c r="H755" s="303" t="s">
        <v>1956</v>
      </c>
      <c r="I755" s="304">
        <v>-830</v>
      </c>
      <c r="J755" s="303" t="s">
        <v>1759</v>
      </c>
      <c r="K755" s="303" t="s">
        <v>2072</v>
      </c>
      <c r="L755" s="303" t="s">
        <v>1956</v>
      </c>
      <c r="M755" s="303" t="s">
        <v>2533</v>
      </c>
      <c r="N755" s="303" t="s">
        <v>1987</v>
      </c>
      <c r="O755" s="303" t="s">
        <v>1986</v>
      </c>
      <c r="P755" s="328">
        <v>43425</v>
      </c>
      <c r="Q755" s="303" t="s">
        <v>1952</v>
      </c>
      <c r="R755" s="303">
        <f t="shared" si="15"/>
        <v>1</v>
      </c>
      <c r="S755" s="303">
        <v>1</v>
      </c>
    </row>
    <row r="756" spans="1:19" x14ac:dyDescent="0.25">
      <c r="A756" s="303" t="s">
        <v>2546</v>
      </c>
      <c r="B756" s="303" t="s">
        <v>2545</v>
      </c>
      <c r="C756" s="328">
        <v>43425</v>
      </c>
      <c r="D756" s="303" t="s">
        <v>1965</v>
      </c>
      <c r="E756" s="303" t="s">
        <v>1964</v>
      </c>
      <c r="F756" s="303" t="s">
        <v>1878</v>
      </c>
      <c r="G756" s="303" t="s">
        <v>2544</v>
      </c>
      <c r="H756" s="303" t="s">
        <v>1956</v>
      </c>
      <c r="I756" s="304">
        <v>375</v>
      </c>
      <c r="J756" s="303" t="s">
        <v>1759</v>
      </c>
      <c r="K756" s="303" t="s">
        <v>2072</v>
      </c>
      <c r="L756" s="303" t="s">
        <v>1956</v>
      </c>
      <c r="M756" s="303" t="s">
        <v>2533</v>
      </c>
      <c r="N756" s="303" t="s">
        <v>1987</v>
      </c>
      <c r="O756" s="303" t="s">
        <v>1986</v>
      </c>
      <c r="P756" s="328">
        <v>43425</v>
      </c>
      <c r="Q756" s="303" t="s">
        <v>1952</v>
      </c>
      <c r="R756" s="303">
        <f t="shared" si="15"/>
        <v>1</v>
      </c>
      <c r="S756" s="303">
        <v>1</v>
      </c>
    </row>
    <row r="757" spans="1:19" x14ac:dyDescent="0.25">
      <c r="A757" s="303" t="s">
        <v>2546</v>
      </c>
      <c r="B757" s="303" t="s">
        <v>2545</v>
      </c>
      <c r="C757" s="328">
        <v>43425</v>
      </c>
      <c r="D757" s="303" t="s">
        <v>1961</v>
      </c>
      <c r="E757" s="303" t="s">
        <v>1960</v>
      </c>
      <c r="F757" s="303" t="s">
        <v>1878</v>
      </c>
      <c r="G757" s="303" t="s">
        <v>2544</v>
      </c>
      <c r="H757" s="303" t="s">
        <v>1956</v>
      </c>
      <c r="I757" s="304">
        <v>-375</v>
      </c>
      <c r="J757" s="303" t="s">
        <v>1759</v>
      </c>
      <c r="K757" s="303" t="s">
        <v>2072</v>
      </c>
      <c r="L757" s="303" t="s">
        <v>1956</v>
      </c>
      <c r="M757" s="303" t="s">
        <v>2533</v>
      </c>
      <c r="N757" s="303" t="s">
        <v>1987</v>
      </c>
      <c r="O757" s="303" t="s">
        <v>1986</v>
      </c>
      <c r="P757" s="328">
        <v>43425</v>
      </c>
      <c r="Q757" s="303" t="s">
        <v>1952</v>
      </c>
      <c r="R757" s="303">
        <f t="shared" si="15"/>
        <v>1</v>
      </c>
      <c r="S757" s="303">
        <v>1</v>
      </c>
    </row>
    <row r="758" spans="1:19" x14ac:dyDescent="0.25">
      <c r="A758" s="303" t="s">
        <v>2543</v>
      </c>
      <c r="B758" s="303" t="s">
        <v>2542</v>
      </c>
      <c r="C758" s="328">
        <v>43425</v>
      </c>
      <c r="D758" s="303" t="s">
        <v>1965</v>
      </c>
      <c r="E758" s="303" t="s">
        <v>1964</v>
      </c>
      <c r="F758" s="303" t="s">
        <v>1723</v>
      </c>
      <c r="G758" s="303" t="s">
        <v>1508</v>
      </c>
      <c r="H758" s="303" t="s">
        <v>1956</v>
      </c>
      <c r="I758" s="304">
        <v>1265</v>
      </c>
      <c r="J758" s="303" t="s">
        <v>1759</v>
      </c>
      <c r="K758" s="303" t="s">
        <v>2072</v>
      </c>
      <c r="L758" s="303" t="s">
        <v>1956</v>
      </c>
      <c r="M758" s="303" t="s">
        <v>2533</v>
      </c>
      <c r="N758" s="303" t="s">
        <v>1987</v>
      </c>
      <c r="O758" s="303" t="s">
        <v>1986</v>
      </c>
      <c r="P758" s="328">
        <v>43425</v>
      </c>
      <c r="Q758" s="303" t="s">
        <v>1952</v>
      </c>
      <c r="R758" s="303">
        <f t="shared" si="15"/>
        <v>1</v>
      </c>
      <c r="S758" s="303">
        <v>1</v>
      </c>
    </row>
    <row r="759" spans="1:19" x14ac:dyDescent="0.25">
      <c r="A759" s="303" t="s">
        <v>2543</v>
      </c>
      <c r="B759" s="303" t="s">
        <v>2542</v>
      </c>
      <c r="C759" s="328">
        <v>43425</v>
      </c>
      <c r="D759" s="303" t="s">
        <v>1961</v>
      </c>
      <c r="E759" s="303" t="s">
        <v>1960</v>
      </c>
      <c r="F759" s="303" t="s">
        <v>1723</v>
      </c>
      <c r="G759" s="303" t="s">
        <v>1508</v>
      </c>
      <c r="H759" s="303" t="s">
        <v>1956</v>
      </c>
      <c r="I759" s="304">
        <v>-1265</v>
      </c>
      <c r="J759" s="303" t="s">
        <v>1759</v>
      </c>
      <c r="K759" s="303" t="s">
        <v>2072</v>
      </c>
      <c r="L759" s="303" t="s">
        <v>1956</v>
      </c>
      <c r="M759" s="303" t="s">
        <v>2533</v>
      </c>
      <c r="N759" s="303" t="s">
        <v>1987</v>
      </c>
      <c r="O759" s="303" t="s">
        <v>1986</v>
      </c>
      <c r="P759" s="328">
        <v>43425</v>
      </c>
      <c r="Q759" s="303" t="s">
        <v>1952</v>
      </c>
      <c r="R759" s="303">
        <f t="shared" si="15"/>
        <v>1</v>
      </c>
      <c r="S759" s="303">
        <v>1</v>
      </c>
    </row>
    <row r="760" spans="1:19" x14ac:dyDescent="0.25">
      <c r="A760" s="303" t="s">
        <v>2541</v>
      </c>
      <c r="B760" s="303" t="s">
        <v>2540</v>
      </c>
      <c r="C760" s="328">
        <v>43425</v>
      </c>
      <c r="D760" s="303" t="s">
        <v>1965</v>
      </c>
      <c r="E760" s="303" t="s">
        <v>1964</v>
      </c>
      <c r="F760" s="303" t="s">
        <v>1735</v>
      </c>
      <c r="G760" s="303" t="s">
        <v>1490</v>
      </c>
      <c r="H760" s="303" t="s">
        <v>1956</v>
      </c>
      <c r="I760" s="304">
        <v>250</v>
      </c>
      <c r="J760" s="303" t="s">
        <v>1759</v>
      </c>
      <c r="K760" s="303" t="s">
        <v>2072</v>
      </c>
      <c r="L760" s="303" t="s">
        <v>1956</v>
      </c>
      <c r="M760" s="303" t="s">
        <v>2533</v>
      </c>
      <c r="N760" s="303" t="s">
        <v>1987</v>
      </c>
      <c r="O760" s="303" t="s">
        <v>1986</v>
      </c>
      <c r="P760" s="328">
        <v>43425</v>
      </c>
      <c r="Q760" s="303" t="s">
        <v>1952</v>
      </c>
      <c r="R760" s="303">
        <f t="shared" si="15"/>
        <v>1</v>
      </c>
      <c r="S760" s="303">
        <v>1</v>
      </c>
    </row>
    <row r="761" spans="1:19" x14ac:dyDescent="0.25">
      <c r="A761" s="303" t="s">
        <v>2541</v>
      </c>
      <c r="B761" s="303" t="s">
        <v>2540</v>
      </c>
      <c r="C761" s="328">
        <v>43425</v>
      </c>
      <c r="D761" s="303" t="s">
        <v>1961</v>
      </c>
      <c r="E761" s="303" t="s">
        <v>1960</v>
      </c>
      <c r="F761" s="303" t="s">
        <v>1735</v>
      </c>
      <c r="G761" s="303" t="s">
        <v>1490</v>
      </c>
      <c r="H761" s="303" t="s">
        <v>1956</v>
      </c>
      <c r="I761" s="304">
        <v>-250</v>
      </c>
      <c r="J761" s="303" t="s">
        <v>1759</v>
      </c>
      <c r="K761" s="303" t="s">
        <v>2072</v>
      </c>
      <c r="L761" s="303" t="s">
        <v>1956</v>
      </c>
      <c r="M761" s="303" t="s">
        <v>2533</v>
      </c>
      <c r="N761" s="303" t="s">
        <v>1987</v>
      </c>
      <c r="O761" s="303" t="s">
        <v>1986</v>
      </c>
      <c r="P761" s="328">
        <v>43425</v>
      </c>
      <c r="Q761" s="303" t="s">
        <v>1952</v>
      </c>
      <c r="R761" s="303">
        <f t="shared" si="15"/>
        <v>1</v>
      </c>
      <c r="S761" s="303">
        <v>1</v>
      </c>
    </row>
    <row r="762" spans="1:19" x14ac:dyDescent="0.25">
      <c r="A762" s="303" t="s">
        <v>2539</v>
      </c>
      <c r="B762" s="303" t="s">
        <v>2538</v>
      </c>
      <c r="C762" s="328">
        <v>43425</v>
      </c>
      <c r="D762" s="303" t="s">
        <v>1965</v>
      </c>
      <c r="E762" s="303" t="s">
        <v>1964</v>
      </c>
      <c r="F762" s="303" t="s">
        <v>1739</v>
      </c>
      <c r="G762" s="303" t="s">
        <v>1487</v>
      </c>
      <c r="H762" s="303" t="s">
        <v>1956</v>
      </c>
      <c r="I762" s="304">
        <v>250</v>
      </c>
      <c r="J762" s="303" t="s">
        <v>1759</v>
      </c>
      <c r="K762" s="303" t="s">
        <v>2072</v>
      </c>
      <c r="L762" s="303" t="s">
        <v>1956</v>
      </c>
      <c r="M762" s="303" t="s">
        <v>2533</v>
      </c>
      <c r="N762" s="303" t="s">
        <v>1987</v>
      </c>
      <c r="O762" s="303" t="s">
        <v>1986</v>
      </c>
      <c r="P762" s="328">
        <v>43425</v>
      </c>
      <c r="Q762" s="303" t="s">
        <v>1952</v>
      </c>
      <c r="R762" s="303">
        <f t="shared" si="15"/>
        <v>1</v>
      </c>
      <c r="S762" s="303">
        <v>1</v>
      </c>
    </row>
    <row r="763" spans="1:19" x14ac:dyDescent="0.25">
      <c r="A763" s="303" t="s">
        <v>2539</v>
      </c>
      <c r="B763" s="303" t="s">
        <v>2538</v>
      </c>
      <c r="C763" s="328">
        <v>43425</v>
      </c>
      <c r="D763" s="303" t="s">
        <v>1961</v>
      </c>
      <c r="E763" s="303" t="s">
        <v>1960</v>
      </c>
      <c r="F763" s="303" t="s">
        <v>1739</v>
      </c>
      <c r="G763" s="303" t="s">
        <v>1487</v>
      </c>
      <c r="H763" s="303" t="s">
        <v>1956</v>
      </c>
      <c r="I763" s="304">
        <v>-250</v>
      </c>
      <c r="J763" s="303" t="s">
        <v>1759</v>
      </c>
      <c r="K763" s="303" t="s">
        <v>2072</v>
      </c>
      <c r="L763" s="303" t="s">
        <v>1956</v>
      </c>
      <c r="M763" s="303" t="s">
        <v>2533</v>
      </c>
      <c r="N763" s="303" t="s">
        <v>1987</v>
      </c>
      <c r="O763" s="303" t="s">
        <v>1986</v>
      </c>
      <c r="P763" s="328">
        <v>43425</v>
      </c>
      <c r="Q763" s="303" t="s">
        <v>1952</v>
      </c>
      <c r="R763" s="303">
        <f t="shared" si="15"/>
        <v>1</v>
      </c>
      <c r="S763" s="303">
        <v>1</v>
      </c>
    </row>
    <row r="764" spans="1:19" x14ac:dyDescent="0.25">
      <c r="A764" s="303" t="s">
        <v>2537</v>
      </c>
      <c r="B764" s="303" t="s">
        <v>2536</v>
      </c>
      <c r="C764" s="328">
        <v>43425</v>
      </c>
      <c r="D764" s="303" t="s">
        <v>1965</v>
      </c>
      <c r="E764" s="303" t="s">
        <v>1964</v>
      </c>
      <c r="F764" s="303" t="s">
        <v>1755</v>
      </c>
      <c r="G764" s="303" t="s">
        <v>1472</v>
      </c>
      <c r="H764" s="303" t="s">
        <v>1956</v>
      </c>
      <c r="I764" s="304">
        <v>625</v>
      </c>
      <c r="J764" s="303" t="s">
        <v>1759</v>
      </c>
      <c r="K764" s="303" t="s">
        <v>2072</v>
      </c>
      <c r="L764" s="303" t="s">
        <v>1956</v>
      </c>
      <c r="M764" s="303" t="s">
        <v>2533</v>
      </c>
      <c r="N764" s="303" t="s">
        <v>1987</v>
      </c>
      <c r="O764" s="303" t="s">
        <v>1986</v>
      </c>
      <c r="P764" s="328">
        <v>43425</v>
      </c>
      <c r="Q764" s="303" t="s">
        <v>1952</v>
      </c>
      <c r="R764" s="303">
        <f t="shared" si="15"/>
        <v>1</v>
      </c>
      <c r="S764" s="303">
        <v>1</v>
      </c>
    </row>
    <row r="765" spans="1:19" x14ac:dyDescent="0.25">
      <c r="A765" s="303" t="s">
        <v>2537</v>
      </c>
      <c r="B765" s="303" t="s">
        <v>2536</v>
      </c>
      <c r="C765" s="328">
        <v>43425</v>
      </c>
      <c r="D765" s="303" t="s">
        <v>1961</v>
      </c>
      <c r="E765" s="303" t="s">
        <v>1960</v>
      </c>
      <c r="F765" s="303" t="s">
        <v>1755</v>
      </c>
      <c r="G765" s="303" t="s">
        <v>1472</v>
      </c>
      <c r="H765" s="303" t="s">
        <v>1956</v>
      </c>
      <c r="I765" s="304">
        <v>-625</v>
      </c>
      <c r="J765" s="303" t="s">
        <v>1759</v>
      </c>
      <c r="K765" s="303" t="s">
        <v>2072</v>
      </c>
      <c r="L765" s="303" t="s">
        <v>1956</v>
      </c>
      <c r="M765" s="303" t="s">
        <v>2533</v>
      </c>
      <c r="N765" s="303" t="s">
        <v>1987</v>
      </c>
      <c r="O765" s="303" t="s">
        <v>1986</v>
      </c>
      <c r="P765" s="328">
        <v>43425</v>
      </c>
      <c r="Q765" s="303" t="s">
        <v>1952</v>
      </c>
      <c r="R765" s="303">
        <f t="shared" si="15"/>
        <v>1</v>
      </c>
      <c r="S765" s="303">
        <v>1</v>
      </c>
    </row>
    <row r="766" spans="1:19" x14ac:dyDescent="0.25">
      <c r="A766" s="303" t="s">
        <v>2535</v>
      </c>
      <c r="B766" s="303" t="s">
        <v>2534</v>
      </c>
      <c r="C766" s="328">
        <v>43425</v>
      </c>
      <c r="D766" s="303" t="s">
        <v>1965</v>
      </c>
      <c r="E766" s="303" t="s">
        <v>1964</v>
      </c>
      <c r="F766" s="303" t="s">
        <v>1727</v>
      </c>
      <c r="G766" s="303" t="s">
        <v>1502</v>
      </c>
      <c r="H766" s="303" t="s">
        <v>1956</v>
      </c>
      <c r="I766" s="304">
        <v>1000</v>
      </c>
      <c r="J766" s="303" t="s">
        <v>1759</v>
      </c>
      <c r="K766" s="303" t="s">
        <v>2072</v>
      </c>
      <c r="L766" s="303" t="s">
        <v>1956</v>
      </c>
      <c r="M766" s="303" t="s">
        <v>2533</v>
      </c>
      <c r="N766" s="303" t="s">
        <v>1987</v>
      </c>
      <c r="O766" s="303" t="s">
        <v>1986</v>
      </c>
      <c r="P766" s="328">
        <v>43425</v>
      </c>
      <c r="Q766" s="303" t="s">
        <v>1952</v>
      </c>
      <c r="R766" s="303">
        <f t="shared" si="15"/>
        <v>1</v>
      </c>
      <c r="S766" s="303">
        <v>1</v>
      </c>
    </row>
    <row r="767" spans="1:19" x14ac:dyDescent="0.25">
      <c r="A767" s="303" t="s">
        <v>2535</v>
      </c>
      <c r="B767" s="303" t="s">
        <v>2534</v>
      </c>
      <c r="C767" s="328">
        <v>43425</v>
      </c>
      <c r="D767" s="303" t="s">
        <v>1961</v>
      </c>
      <c r="E767" s="303" t="s">
        <v>1960</v>
      </c>
      <c r="F767" s="303" t="s">
        <v>1727</v>
      </c>
      <c r="G767" s="303" t="s">
        <v>1502</v>
      </c>
      <c r="H767" s="303" t="s">
        <v>1956</v>
      </c>
      <c r="I767" s="304">
        <v>-1000</v>
      </c>
      <c r="J767" s="303" t="s">
        <v>1759</v>
      </c>
      <c r="K767" s="303" t="s">
        <v>2072</v>
      </c>
      <c r="L767" s="303" t="s">
        <v>1956</v>
      </c>
      <c r="M767" s="303" t="s">
        <v>2533</v>
      </c>
      <c r="N767" s="303" t="s">
        <v>1987</v>
      </c>
      <c r="O767" s="303" t="s">
        <v>1986</v>
      </c>
      <c r="P767" s="328">
        <v>43425</v>
      </c>
      <c r="Q767" s="303" t="s">
        <v>1952</v>
      </c>
      <c r="R767" s="303">
        <f t="shared" si="15"/>
        <v>1</v>
      </c>
      <c r="S767" s="303">
        <v>1</v>
      </c>
    </row>
    <row r="768" spans="1:19" x14ac:dyDescent="0.25">
      <c r="A768" s="303" t="s">
        <v>2532</v>
      </c>
      <c r="B768" s="303" t="s">
        <v>2531</v>
      </c>
      <c r="C768" s="328">
        <v>43425</v>
      </c>
      <c r="D768" s="303" t="s">
        <v>1965</v>
      </c>
      <c r="E768" s="303" t="s">
        <v>1964</v>
      </c>
      <c r="F768" s="303" t="s">
        <v>1880</v>
      </c>
      <c r="G768" s="303" t="s">
        <v>1415</v>
      </c>
      <c r="H768" s="303" t="s">
        <v>1956</v>
      </c>
      <c r="I768" s="304">
        <v>7249</v>
      </c>
      <c r="J768" s="303" t="s">
        <v>1958</v>
      </c>
      <c r="K768" s="303" t="s">
        <v>1957</v>
      </c>
      <c r="L768" s="303" t="s">
        <v>1956</v>
      </c>
      <c r="M768" s="303" t="s">
        <v>2019</v>
      </c>
      <c r="N768" s="303" t="s">
        <v>1987</v>
      </c>
      <c r="O768" s="303" t="s">
        <v>1986</v>
      </c>
      <c r="P768" s="328">
        <v>43425</v>
      </c>
      <c r="Q768" s="303" t="s">
        <v>1952</v>
      </c>
      <c r="R768" s="303">
        <f t="shared" si="15"/>
        <v>0</v>
      </c>
      <c r="S768" s="303">
        <v>0</v>
      </c>
    </row>
    <row r="769" spans="1:19" x14ac:dyDescent="0.25">
      <c r="A769" s="303" t="s">
        <v>2532</v>
      </c>
      <c r="B769" s="303" t="s">
        <v>2531</v>
      </c>
      <c r="C769" s="328">
        <v>43425</v>
      </c>
      <c r="D769" s="303" t="s">
        <v>1961</v>
      </c>
      <c r="E769" s="303" t="s">
        <v>1960</v>
      </c>
      <c r="F769" s="303" t="s">
        <v>1880</v>
      </c>
      <c r="G769" s="303" t="s">
        <v>1415</v>
      </c>
      <c r="H769" s="303" t="s">
        <v>1956</v>
      </c>
      <c r="I769" s="304">
        <v>-7249</v>
      </c>
      <c r="J769" s="303" t="s">
        <v>1958</v>
      </c>
      <c r="K769" s="303" t="s">
        <v>1957</v>
      </c>
      <c r="L769" s="303" t="s">
        <v>1956</v>
      </c>
      <c r="M769" s="303" t="s">
        <v>2019</v>
      </c>
      <c r="N769" s="303" t="s">
        <v>1987</v>
      </c>
      <c r="O769" s="303" t="s">
        <v>1986</v>
      </c>
      <c r="P769" s="328">
        <v>43425</v>
      </c>
      <c r="Q769" s="303" t="s">
        <v>1952</v>
      </c>
      <c r="R769" s="303">
        <f t="shared" si="15"/>
        <v>0</v>
      </c>
      <c r="S769" s="303">
        <v>0</v>
      </c>
    </row>
    <row r="770" spans="1:19" x14ac:dyDescent="0.25">
      <c r="A770" s="303" t="s">
        <v>2530</v>
      </c>
      <c r="B770" s="303" t="s">
        <v>2529</v>
      </c>
      <c r="C770" s="328">
        <v>43425</v>
      </c>
      <c r="D770" s="303" t="s">
        <v>1965</v>
      </c>
      <c r="E770" s="303" t="s">
        <v>1964</v>
      </c>
      <c r="F770" s="303" t="s">
        <v>1880</v>
      </c>
      <c r="G770" s="303" t="s">
        <v>1415</v>
      </c>
      <c r="H770" s="303" t="s">
        <v>1956</v>
      </c>
      <c r="I770" s="304">
        <v>30848</v>
      </c>
      <c r="J770" s="303" t="s">
        <v>1967</v>
      </c>
      <c r="K770" s="303" t="s">
        <v>1415</v>
      </c>
      <c r="L770" s="303" t="s">
        <v>1956</v>
      </c>
      <c r="M770" s="303" t="s">
        <v>2019</v>
      </c>
      <c r="N770" s="303" t="s">
        <v>1987</v>
      </c>
      <c r="O770" s="303" t="s">
        <v>1986</v>
      </c>
      <c r="P770" s="328">
        <v>43425</v>
      </c>
      <c r="Q770" s="303" t="s">
        <v>1952</v>
      </c>
      <c r="R770" s="303">
        <f t="shared" si="15"/>
        <v>0</v>
      </c>
      <c r="S770" s="303">
        <v>0</v>
      </c>
    </row>
    <row r="771" spans="1:19" x14ac:dyDescent="0.25">
      <c r="A771" s="303" t="s">
        <v>2530</v>
      </c>
      <c r="B771" s="303" t="s">
        <v>2529</v>
      </c>
      <c r="C771" s="328">
        <v>43425</v>
      </c>
      <c r="D771" s="303" t="s">
        <v>1961</v>
      </c>
      <c r="E771" s="303" t="s">
        <v>1960</v>
      </c>
      <c r="F771" s="303" t="s">
        <v>1880</v>
      </c>
      <c r="G771" s="303" t="s">
        <v>1415</v>
      </c>
      <c r="H771" s="303" t="s">
        <v>1956</v>
      </c>
      <c r="I771" s="304">
        <v>-30848</v>
      </c>
      <c r="J771" s="303" t="s">
        <v>1967</v>
      </c>
      <c r="K771" s="303" t="s">
        <v>1415</v>
      </c>
      <c r="L771" s="303" t="s">
        <v>1956</v>
      </c>
      <c r="M771" s="303" t="s">
        <v>2019</v>
      </c>
      <c r="N771" s="303" t="s">
        <v>1987</v>
      </c>
      <c r="O771" s="303" t="s">
        <v>1986</v>
      </c>
      <c r="P771" s="328">
        <v>43425</v>
      </c>
      <c r="Q771" s="303" t="s">
        <v>1952</v>
      </c>
      <c r="R771" s="303">
        <f t="shared" ref="R771:R834" si="16">IF(OR(M771="transfert de B vers A",M771="transfert de B vers D",M771="transfert de A vers B",M771="transfert de D vers B",M771="carryover 2017 -&gt; 2018",IF(ISERR(SEARCH("fidélité",M771)),FALSE,TRUE),M771="Fermeture STI-FORM",M771="répartition AE/AC"),0,1)</f>
        <v>0</v>
      </c>
      <c r="S771" s="303">
        <v>0</v>
      </c>
    </row>
    <row r="772" spans="1:19" x14ac:dyDescent="0.25">
      <c r="A772" s="303" t="s">
        <v>2528</v>
      </c>
      <c r="B772" s="303" t="s">
        <v>2527</v>
      </c>
      <c r="C772" s="328">
        <v>43426</v>
      </c>
      <c r="D772" s="303" t="s">
        <v>1961</v>
      </c>
      <c r="E772" s="303" t="s">
        <v>1960</v>
      </c>
      <c r="F772" s="303" t="s">
        <v>1609</v>
      </c>
      <c r="G772" s="303" t="s">
        <v>1609</v>
      </c>
      <c r="H772" s="303" t="s">
        <v>1609</v>
      </c>
      <c r="I772" s="304">
        <v>-8300</v>
      </c>
      <c r="J772" s="303" t="s">
        <v>1777</v>
      </c>
      <c r="K772" s="303" t="s">
        <v>2383</v>
      </c>
      <c r="L772" s="303" t="s">
        <v>1956</v>
      </c>
      <c r="M772" s="303" t="s">
        <v>2526</v>
      </c>
      <c r="N772" s="303" t="s">
        <v>1987</v>
      </c>
      <c r="O772" s="303" t="s">
        <v>1986</v>
      </c>
      <c r="P772" s="328">
        <v>43426</v>
      </c>
      <c r="Q772" s="303" t="s">
        <v>1952</v>
      </c>
      <c r="R772" s="303">
        <f t="shared" si="16"/>
        <v>1</v>
      </c>
      <c r="S772" s="303">
        <v>0</v>
      </c>
    </row>
    <row r="773" spans="1:19" x14ac:dyDescent="0.25">
      <c r="A773" s="303" t="s">
        <v>2525</v>
      </c>
      <c r="B773" s="303" t="s">
        <v>2524</v>
      </c>
      <c r="C773" s="328">
        <v>43426</v>
      </c>
      <c r="D773" s="303" t="s">
        <v>1965</v>
      </c>
      <c r="E773" s="303" t="s">
        <v>1964</v>
      </c>
      <c r="F773" s="303" t="s">
        <v>1908</v>
      </c>
      <c r="G773" s="303" t="s">
        <v>1388</v>
      </c>
      <c r="H773" s="303" t="s">
        <v>1956</v>
      </c>
      <c r="I773" s="304">
        <v>600</v>
      </c>
      <c r="J773" s="303" t="s">
        <v>1922</v>
      </c>
      <c r="K773" s="303" t="s">
        <v>2071</v>
      </c>
      <c r="L773" s="303" t="s">
        <v>1956</v>
      </c>
      <c r="M773" s="303" t="s">
        <v>2523</v>
      </c>
      <c r="N773" s="303" t="s">
        <v>1987</v>
      </c>
      <c r="O773" s="303" t="s">
        <v>1986</v>
      </c>
      <c r="P773" s="328">
        <v>43426</v>
      </c>
      <c r="Q773" s="303" t="s">
        <v>1952</v>
      </c>
      <c r="R773" s="303">
        <f t="shared" si="16"/>
        <v>1</v>
      </c>
      <c r="S773" s="303">
        <v>1</v>
      </c>
    </row>
    <row r="774" spans="1:19" x14ac:dyDescent="0.25">
      <c r="A774" s="303" t="s">
        <v>2525</v>
      </c>
      <c r="B774" s="303" t="s">
        <v>2524</v>
      </c>
      <c r="C774" s="328">
        <v>43426</v>
      </c>
      <c r="D774" s="303" t="s">
        <v>1961</v>
      </c>
      <c r="E774" s="303" t="s">
        <v>1960</v>
      </c>
      <c r="F774" s="303" t="s">
        <v>1908</v>
      </c>
      <c r="G774" s="303" t="s">
        <v>1388</v>
      </c>
      <c r="H774" s="303" t="s">
        <v>1956</v>
      </c>
      <c r="I774" s="304">
        <v>-600</v>
      </c>
      <c r="J774" s="303" t="s">
        <v>1922</v>
      </c>
      <c r="K774" s="303" t="s">
        <v>2071</v>
      </c>
      <c r="L774" s="303" t="s">
        <v>1956</v>
      </c>
      <c r="M774" s="303" t="s">
        <v>2523</v>
      </c>
      <c r="N774" s="303" t="s">
        <v>1987</v>
      </c>
      <c r="O774" s="303" t="s">
        <v>1986</v>
      </c>
      <c r="P774" s="328">
        <v>43426</v>
      </c>
      <c r="Q774" s="303" t="s">
        <v>1952</v>
      </c>
      <c r="R774" s="303">
        <f t="shared" si="16"/>
        <v>1</v>
      </c>
      <c r="S774" s="303">
        <v>1</v>
      </c>
    </row>
    <row r="775" spans="1:19" x14ac:dyDescent="0.25">
      <c r="A775" s="303" t="s">
        <v>2522</v>
      </c>
      <c r="B775" s="303" t="s">
        <v>2521</v>
      </c>
      <c r="C775" s="328">
        <v>43430</v>
      </c>
      <c r="D775" s="303" t="s">
        <v>1965</v>
      </c>
      <c r="E775" s="303" t="s">
        <v>1964</v>
      </c>
      <c r="F775" s="303" t="s">
        <v>1846</v>
      </c>
      <c r="G775" s="303" t="s">
        <v>1959</v>
      </c>
      <c r="H775" s="303" t="s">
        <v>1956</v>
      </c>
      <c r="I775" s="304">
        <v>94000</v>
      </c>
      <c r="J775" s="303" t="s">
        <v>1958</v>
      </c>
      <c r="K775" s="303" t="s">
        <v>1957</v>
      </c>
      <c r="L775" s="303" t="s">
        <v>1956</v>
      </c>
      <c r="M775" s="303" t="s">
        <v>2022</v>
      </c>
      <c r="N775" s="303" t="s">
        <v>1987</v>
      </c>
      <c r="O775" s="303" t="s">
        <v>1986</v>
      </c>
      <c r="P775" s="328">
        <v>43430</v>
      </c>
      <c r="Q775" s="303" t="s">
        <v>1952</v>
      </c>
      <c r="R775" s="303">
        <f t="shared" si="16"/>
        <v>0</v>
      </c>
      <c r="S775" s="303">
        <v>0</v>
      </c>
    </row>
    <row r="776" spans="1:19" x14ac:dyDescent="0.25">
      <c r="A776" s="303" t="s">
        <v>2522</v>
      </c>
      <c r="B776" s="303" t="s">
        <v>2521</v>
      </c>
      <c r="C776" s="328">
        <v>43430</v>
      </c>
      <c r="D776" s="303" t="s">
        <v>1961</v>
      </c>
      <c r="E776" s="303" t="s">
        <v>1960</v>
      </c>
      <c r="F776" s="303" t="s">
        <v>1846</v>
      </c>
      <c r="G776" s="303" t="s">
        <v>1959</v>
      </c>
      <c r="H776" s="303" t="s">
        <v>1956</v>
      </c>
      <c r="I776" s="304">
        <v>-94000</v>
      </c>
      <c r="J776" s="303" t="s">
        <v>1958</v>
      </c>
      <c r="K776" s="303" t="s">
        <v>1957</v>
      </c>
      <c r="L776" s="303" t="s">
        <v>1956</v>
      </c>
      <c r="M776" s="303" t="s">
        <v>2022</v>
      </c>
      <c r="N776" s="303" t="s">
        <v>1987</v>
      </c>
      <c r="O776" s="303" t="s">
        <v>1986</v>
      </c>
      <c r="P776" s="328">
        <v>43430</v>
      </c>
      <c r="Q776" s="303" t="s">
        <v>1952</v>
      </c>
      <c r="R776" s="303">
        <f t="shared" si="16"/>
        <v>0</v>
      </c>
      <c r="S776" s="303">
        <v>0</v>
      </c>
    </row>
    <row r="777" spans="1:19" x14ac:dyDescent="0.25">
      <c r="A777" s="303" t="s">
        <v>2520</v>
      </c>
      <c r="B777" s="303" t="s">
        <v>2519</v>
      </c>
      <c r="C777" s="328">
        <v>43430</v>
      </c>
      <c r="D777" s="303" t="s">
        <v>1965</v>
      </c>
      <c r="E777" s="303" t="s">
        <v>1964</v>
      </c>
      <c r="F777" s="303" t="s">
        <v>1846</v>
      </c>
      <c r="G777" s="303" t="s">
        <v>1959</v>
      </c>
      <c r="H777" s="303" t="s">
        <v>1956</v>
      </c>
      <c r="I777" s="304">
        <v>400000</v>
      </c>
      <c r="J777" s="303" t="s">
        <v>1967</v>
      </c>
      <c r="K777" s="303" t="s">
        <v>1959</v>
      </c>
      <c r="L777" s="303" t="s">
        <v>1956</v>
      </c>
      <c r="M777" s="303" t="s">
        <v>2019</v>
      </c>
      <c r="N777" s="303" t="s">
        <v>1987</v>
      </c>
      <c r="O777" s="303" t="s">
        <v>1986</v>
      </c>
      <c r="P777" s="328">
        <v>43430</v>
      </c>
      <c r="Q777" s="303" t="s">
        <v>1952</v>
      </c>
      <c r="R777" s="303">
        <f t="shared" si="16"/>
        <v>0</v>
      </c>
      <c r="S777" s="303">
        <v>0</v>
      </c>
    </row>
    <row r="778" spans="1:19" x14ac:dyDescent="0.25">
      <c r="A778" s="303" t="s">
        <v>2520</v>
      </c>
      <c r="B778" s="303" t="s">
        <v>2519</v>
      </c>
      <c r="C778" s="328">
        <v>43430</v>
      </c>
      <c r="D778" s="303" t="s">
        <v>1961</v>
      </c>
      <c r="E778" s="303" t="s">
        <v>1960</v>
      </c>
      <c r="F778" s="303" t="s">
        <v>1846</v>
      </c>
      <c r="G778" s="303" t="s">
        <v>1959</v>
      </c>
      <c r="H778" s="303" t="s">
        <v>1956</v>
      </c>
      <c r="I778" s="304">
        <v>-400000</v>
      </c>
      <c r="J778" s="303" t="s">
        <v>1967</v>
      </c>
      <c r="K778" s="303" t="s">
        <v>1959</v>
      </c>
      <c r="L778" s="303" t="s">
        <v>1956</v>
      </c>
      <c r="M778" s="303" t="s">
        <v>2019</v>
      </c>
      <c r="N778" s="303" t="s">
        <v>1987</v>
      </c>
      <c r="O778" s="303" t="s">
        <v>1986</v>
      </c>
      <c r="P778" s="328">
        <v>43430</v>
      </c>
      <c r="Q778" s="303" t="s">
        <v>1952</v>
      </c>
      <c r="R778" s="303">
        <f t="shared" si="16"/>
        <v>0</v>
      </c>
      <c r="S778" s="303">
        <v>0</v>
      </c>
    </row>
    <row r="779" spans="1:19" x14ac:dyDescent="0.25">
      <c r="A779" s="303" t="s">
        <v>2518</v>
      </c>
      <c r="B779" s="303" t="s">
        <v>2517</v>
      </c>
      <c r="C779" s="328">
        <v>43430</v>
      </c>
      <c r="D779" s="303" t="s">
        <v>1965</v>
      </c>
      <c r="E779" s="303" t="s">
        <v>1964</v>
      </c>
      <c r="F779" s="303" t="s">
        <v>1695</v>
      </c>
      <c r="G779" s="303" t="s">
        <v>1532</v>
      </c>
      <c r="H779" s="303" t="s">
        <v>1956</v>
      </c>
      <c r="I779" s="304">
        <v>18079</v>
      </c>
      <c r="J779" s="303" t="s">
        <v>1958</v>
      </c>
      <c r="K779" s="303" t="s">
        <v>1957</v>
      </c>
      <c r="L779" s="303" t="s">
        <v>1956</v>
      </c>
      <c r="M779" s="303" t="s">
        <v>2022</v>
      </c>
      <c r="N779" s="303" t="s">
        <v>1987</v>
      </c>
      <c r="O779" s="303" t="s">
        <v>1986</v>
      </c>
      <c r="P779" s="328">
        <v>43430</v>
      </c>
      <c r="Q779" s="303" t="s">
        <v>1952</v>
      </c>
      <c r="R779" s="303">
        <f t="shared" si="16"/>
        <v>0</v>
      </c>
      <c r="S779" s="303">
        <v>0</v>
      </c>
    </row>
    <row r="780" spans="1:19" x14ac:dyDescent="0.25">
      <c r="A780" s="303" t="s">
        <v>2518</v>
      </c>
      <c r="B780" s="303" t="s">
        <v>2517</v>
      </c>
      <c r="C780" s="328">
        <v>43430</v>
      </c>
      <c r="D780" s="303" t="s">
        <v>1961</v>
      </c>
      <c r="E780" s="303" t="s">
        <v>1960</v>
      </c>
      <c r="F780" s="303" t="s">
        <v>1695</v>
      </c>
      <c r="G780" s="303" t="s">
        <v>1532</v>
      </c>
      <c r="H780" s="303" t="s">
        <v>1956</v>
      </c>
      <c r="I780" s="304">
        <v>-18079</v>
      </c>
      <c r="J780" s="303" t="s">
        <v>1958</v>
      </c>
      <c r="K780" s="303" t="s">
        <v>1957</v>
      </c>
      <c r="L780" s="303" t="s">
        <v>1956</v>
      </c>
      <c r="M780" s="303" t="s">
        <v>2022</v>
      </c>
      <c r="N780" s="303" t="s">
        <v>1987</v>
      </c>
      <c r="O780" s="303" t="s">
        <v>1986</v>
      </c>
      <c r="P780" s="328">
        <v>43430</v>
      </c>
      <c r="Q780" s="303" t="s">
        <v>1952</v>
      </c>
      <c r="R780" s="303">
        <f t="shared" si="16"/>
        <v>0</v>
      </c>
      <c r="S780" s="303">
        <v>0</v>
      </c>
    </row>
    <row r="781" spans="1:19" x14ac:dyDescent="0.25">
      <c r="A781" s="303" t="s">
        <v>2516</v>
      </c>
      <c r="B781" s="303" t="s">
        <v>2515</v>
      </c>
      <c r="C781" s="328">
        <v>43430</v>
      </c>
      <c r="D781" s="303" t="s">
        <v>1965</v>
      </c>
      <c r="E781" s="303" t="s">
        <v>1964</v>
      </c>
      <c r="F781" s="303" t="s">
        <v>1695</v>
      </c>
      <c r="G781" s="303" t="s">
        <v>1532</v>
      </c>
      <c r="H781" s="303" t="s">
        <v>1956</v>
      </c>
      <c r="I781" s="304">
        <v>76931</v>
      </c>
      <c r="J781" s="303" t="s">
        <v>1967</v>
      </c>
      <c r="K781" s="303" t="s">
        <v>1532</v>
      </c>
      <c r="L781" s="303" t="s">
        <v>1956</v>
      </c>
      <c r="M781" s="303" t="s">
        <v>2019</v>
      </c>
      <c r="N781" s="303" t="s">
        <v>1987</v>
      </c>
      <c r="O781" s="303" t="s">
        <v>1986</v>
      </c>
      <c r="P781" s="328">
        <v>43430</v>
      </c>
      <c r="Q781" s="303" t="s">
        <v>1952</v>
      </c>
      <c r="R781" s="303">
        <f t="shared" si="16"/>
        <v>0</v>
      </c>
      <c r="S781" s="303">
        <v>0</v>
      </c>
    </row>
    <row r="782" spans="1:19" x14ac:dyDescent="0.25">
      <c r="A782" s="303" t="s">
        <v>2516</v>
      </c>
      <c r="B782" s="303" t="s">
        <v>2515</v>
      </c>
      <c r="C782" s="328">
        <v>43430</v>
      </c>
      <c r="D782" s="303" t="s">
        <v>1961</v>
      </c>
      <c r="E782" s="303" t="s">
        <v>1960</v>
      </c>
      <c r="F782" s="303" t="s">
        <v>1695</v>
      </c>
      <c r="G782" s="303" t="s">
        <v>1532</v>
      </c>
      <c r="H782" s="303" t="s">
        <v>1956</v>
      </c>
      <c r="I782" s="304">
        <v>-76931</v>
      </c>
      <c r="J782" s="303" t="s">
        <v>1967</v>
      </c>
      <c r="K782" s="303" t="s">
        <v>1532</v>
      </c>
      <c r="L782" s="303" t="s">
        <v>1956</v>
      </c>
      <c r="M782" s="303" t="s">
        <v>2019</v>
      </c>
      <c r="N782" s="303" t="s">
        <v>1987</v>
      </c>
      <c r="O782" s="303" t="s">
        <v>1986</v>
      </c>
      <c r="P782" s="328">
        <v>43430</v>
      </c>
      <c r="Q782" s="303" t="s">
        <v>1952</v>
      </c>
      <c r="R782" s="303">
        <f t="shared" si="16"/>
        <v>0</v>
      </c>
      <c r="S782" s="303">
        <v>0</v>
      </c>
    </row>
    <row r="783" spans="1:19" x14ac:dyDescent="0.25">
      <c r="A783" s="303" t="s">
        <v>2514</v>
      </c>
      <c r="B783" s="303" t="s">
        <v>2513</v>
      </c>
      <c r="C783" s="328">
        <v>43430</v>
      </c>
      <c r="D783" s="303" t="s">
        <v>1965</v>
      </c>
      <c r="E783" s="303" t="s">
        <v>1964</v>
      </c>
      <c r="F783" s="303" t="s">
        <v>2014</v>
      </c>
      <c r="G783" s="303" t="s">
        <v>1529</v>
      </c>
      <c r="H783" s="303" t="s">
        <v>1956</v>
      </c>
      <c r="I783" s="304">
        <v>4688</v>
      </c>
      <c r="J783" s="303" t="s">
        <v>1697</v>
      </c>
      <c r="K783" s="303" t="s">
        <v>1529</v>
      </c>
      <c r="L783" s="303" t="s">
        <v>1956</v>
      </c>
      <c r="M783" s="303" t="s">
        <v>2013</v>
      </c>
      <c r="N783" s="303" t="s">
        <v>1987</v>
      </c>
      <c r="O783" s="303" t="s">
        <v>1986</v>
      </c>
      <c r="P783" s="328">
        <v>43430</v>
      </c>
      <c r="Q783" s="303" t="s">
        <v>1952</v>
      </c>
      <c r="R783" s="303">
        <f t="shared" si="16"/>
        <v>1</v>
      </c>
      <c r="S783" s="303">
        <v>0</v>
      </c>
    </row>
    <row r="784" spans="1:19" x14ac:dyDescent="0.25">
      <c r="A784" s="303" t="s">
        <v>2514</v>
      </c>
      <c r="B784" s="303" t="s">
        <v>2513</v>
      </c>
      <c r="C784" s="328">
        <v>43430</v>
      </c>
      <c r="D784" s="303" t="s">
        <v>1961</v>
      </c>
      <c r="E784" s="303" t="s">
        <v>1960</v>
      </c>
      <c r="F784" s="303" t="s">
        <v>2014</v>
      </c>
      <c r="G784" s="303" t="s">
        <v>1529</v>
      </c>
      <c r="H784" s="303" t="s">
        <v>1956</v>
      </c>
      <c r="I784" s="304">
        <v>-4688</v>
      </c>
      <c r="J784" s="303" t="s">
        <v>1697</v>
      </c>
      <c r="K784" s="303" t="s">
        <v>1529</v>
      </c>
      <c r="L784" s="303" t="s">
        <v>1956</v>
      </c>
      <c r="M784" s="303" t="s">
        <v>2013</v>
      </c>
      <c r="N784" s="303" t="s">
        <v>1987</v>
      </c>
      <c r="O784" s="303" t="s">
        <v>1986</v>
      </c>
      <c r="P784" s="328">
        <v>43430</v>
      </c>
      <c r="Q784" s="303" t="s">
        <v>1952</v>
      </c>
      <c r="R784" s="303">
        <f t="shared" si="16"/>
        <v>1</v>
      </c>
      <c r="S784" s="303">
        <v>0</v>
      </c>
    </row>
    <row r="785" spans="1:19" x14ac:dyDescent="0.25">
      <c r="A785" s="303" t="s">
        <v>2512</v>
      </c>
      <c r="B785" s="303" t="s">
        <v>2511</v>
      </c>
      <c r="C785" s="328">
        <v>43430</v>
      </c>
      <c r="D785" s="303" t="s">
        <v>1965</v>
      </c>
      <c r="E785" s="303" t="s">
        <v>1964</v>
      </c>
      <c r="F785" s="303" t="s">
        <v>1989</v>
      </c>
      <c r="G785" s="303" t="s">
        <v>1529</v>
      </c>
      <c r="H785" s="303" t="s">
        <v>1956</v>
      </c>
      <c r="I785" s="304">
        <v>4351</v>
      </c>
      <c r="J785" s="303" t="s">
        <v>1697</v>
      </c>
      <c r="K785" s="303" t="s">
        <v>1529</v>
      </c>
      <c r="L785" s="303" t="s">
        <v>1956</v>
      </c>
      <c r="M785" s="303" t="s">
        <v>2510</v>
      </c>
      <c r="N785" s="303" t="s">
        <v>1987</v>
      </c>
      <c r="O785" s="303" t="s">
        <v>1986</v>
      </c>
      <c r="P785" s="328">
        <v>43430</v>
      </c>
      <c r="Q785" s="303" t="s">
        <v>1952</v>
      </c>
      <c r="R785" s="303">
        <f t="shared" si="16"/>
        <v>1</v>
      </c>
      <c r="S785" s="303">
        <v>0</v>
      </c>
    </row>
    <row r="786" spans="1:19" x14ac:dyDescent="0.25">
      <c r="A786" s="303" t="s">
        <v>2512</v>
      </c>
      <c r="B786" s="303" t="s">
        <v>2511</v>
      </c>
      <c r="C786" s="328">
        <v>43430</v>
      </c>
      <c r="D786" s="303" t="s">
        <v>1961</v>
      </c>
      <c r="E786" s="303" t="s">
        <v>1960</v>
      </c>
      <c r="F786" s="303" t="s">
        <v>1989</v>
      </c>
      <c r="G786" s="303" t="s">
        <v>1529</v>
      </c>
      <c r="H786" s="303" t="s">
        <v>1956</v>
      </c>
      <c r="I786" s="304">
        <v>-4351</v>
      </c>
      <c r="J786" s="303" t="s">
        <v>1697</v>
      </c>
      <c r="K786" s="303" t="s">
        <v>1529</v>
      </c>
      <c r="L786" s="303" t="s">
        <v>1956</v>
      </c>
      <c r="M786" s="303" t="s">
        <v>2510</v>
      </c>
      <c r="N786" s="303" t="s">
        <v>1987</v>
      </c>
      <c r="O786" s="303" t="s">
        <v>1986</v>
      </c>
      <c r="P786" s="328">
        <v>43430</v>
      </c>
      <c r="Q786" s="303" t="s">
        <v>1952</v>
      </c>
      <c r="R786" s="303">
        <f t="shared" si="16"/>
        <v>1</v>
      </c>
      <c r="S786" s="303">
        <v>0</v>
      </c>
    </row>
    <row r="787" spans="1:19" x14ac:dyDescent="0.25">
      <c r="A787" s="303" t="s">
        <v>2509</v>
      </c>
      <c r="B787" s="303" t="s">
        <v>2508</v>
      </c>
      <c r="C787" s="328">
        <v>43430</v>
      </c>
      <c r="D787" s="303" t="s">
        <v>1965</v>
      </c>
      <c r="E787" s="303" t="s">
        <v>1964</v>
      </c>
      <c r="F787" s="303" t="s">
        <v>1989</v>
      </c>
      <c r="G787" s="303" t="s">
        <v>1529</v>
      </c>
      <c r="H787" s="303" t="s">
        <v>1956</v>
      </c>
      <c r="I787" s="304">
        <v>13925</v>
      </c>
      <c r="J787" s="303" t="s">
        <v>1697</v>
      </c>
      <c r="K787" s="303" t="s">
        <v>1529</v>
      </c>
      <c r="L787" s="303" t="s">
        <v>1956</v>
      </c>
      <c r="M787" s="303" t="s">
        <v>2189</v>
      </c>
      <c r="N787" s="303" t="s">
        <v>1987</v>
      </c>
      <c r="O787" s="303" t="s">
        <v>1986</v>
      </c>
      <c r="P787" s="328">
        <v>43430</v>
      </c>
      <c r="Q787" s="303" t="s">
        <v>1952</v>
      </c>
      <c r="R787" s="303">
        <f t="shared" si="16"/>
        <v>1</v>
      </c>
      <c r="S787" s="303">
        <v>0</v>
      </c>
    </row>
    <row r="788" spans="1:19" x14ac:dyDescent="0.25">
      <c r="A788" s="303" t="s">
        <v>2509</v>
      </c>
      <c r="B788" s="303" t="s">
        <v>2508</v>
      </c>
      <c r="C788" s="328">
        <v>43430</v>
      </c>
      <c r="D788" s="303" t="s">
        <v>1961</v>
      </c>
      <c r="E788" s="303" t="s">
        <v>1960</v>
      </c>
      <c r="F788" s="303" t="s">
        <v>1989</v>
      </c>
      <c r="G788" s="303" t="s">
        <v>1529</v>
      </c>
      <c r="H788" s="303" t="s">
        <v>1956</v>
      </c>
      <c r="I788" s="304">
        <v>-13925</v>
      </c>
      <c r="J788" s="303" t="s">
        <v>1697</v>
      </c>
      <c r="K788" s="303" t="s">
        <v>1529</v>
      </c>
      <c r="L788" s="303" t="s">
        <v>1956</v>
      </c>
      <c r="M788" s="303" t="s">
        <v>2189</v>
      </c>
      <c r="N788" s="303" t="s">
        <v>1987</v>
      </c>
      <c r="O788" s="303" t="s">
        <v>1986</v>
      </c>
      <c r="P788" s="328">
        <v>43430</v>
      </c>
      <c r="Q788" s="303" t="s">
        <v>1952</v>
      </c>
      <c r="R788" s="303">
        <f t="shared" si="16"/>
        <v>1</v>
      </c>
      <c r="S788" s="303">
        <v>0</v>
      </c>
    </row>
    <row r="789" spans="1:19" x14ac:dyDescent="0.25">
      <c r="A789" s="303" t="s">
        <v>2507</v>
      </c>
      <c r="B789" s="303" t="s">
        <v>2506</v>
      </c>
      <c r="C789" s="328">
        <v>43430</v>
      </c>
      <c r="D789" s="303" t="s">
        <v>1965</v>
      </c>
      <c r="E789" s="303" t="s">
        <v>1964</v>
      </c>
      <c r="F789" s="303" t="s">
        <v>1989</v>
      </c>
      <c r="G789" s="303" t="s">
        <v>1529</v>
      </c>
      <c r="H789" s="303" t="s">
        <v>1956</v>
      </c>
      <c r="I789" s="304">
        <v>6771</v>
      </c>
      <c r="J789" s="303" t="s">
        <v>1697</v>
      </c>
      <c r="K789" s="303" t="s">
        <v>1529</v>
      </c>
      <c r="L789" s="303" t="s">
        <v>1956</v>
      </c>
      <c r="M789" s="303" t="s">
        <v>2505</v>
      </c>
      <c r="N789" s="303" t="s">
        <v>1987</v>
      </c>
      <c r="O789" s="303" t="s">
        <v>1986</v>
      </c>
      <c r="P789" s="328">
        <v>43430</v>
      </c>
      <c r="Q789" s="303" t="s">
        <v>1952</v>
      </c>
      <c r="R789" s="303">
        <f t="shared" si="16"/>
        <v>1</v>
      </c>
      <c r="S789" s="303">
        <v>0</v>
      </c>
    </row>
    <row r="790" spans="1:19" x14ac:dyDescent="0.25">
      <c r="A790" s="303" t="s">
        <v>2507</v>
      </c>
      <c r="B790" s="303" t="s">
        <v>2506</v>
      </c>
      <c r="C790" s="328">
        <v>43430</v>
      </c>
      <c r="D790" s="303" t="s">
        <v>1961</v>
      </c>
      <c r="E790" s="303" t="s">
        <v>1960</v>
      </c>
      <c r="F790" s="303" t="s">
        <v>1989</v>
      </c>
      <c r="G790" s="303" t="s">
        <v>1529</v>
      </c>
      <c r="H790" s="303" t="s">
        <v>1956</v>
      </c>
      <c r="I790" s="304">
        <v>-6771</v>
      </c>
      <c r="J790" s="303" t="s">
        <v>1697</v>
      </c>
      <c r="K790" s="303" t="s">
        <v>1529</v>
      </c>
      <c r="L790" s="303" t="s">
        <v>1956</v>
      </c>
      <c r="M790" s="303" t="s">
        <v>2505</v>
      </c>
      <c r="N790" s="303" t="s">
        <v>1987</v>
      </c>
      <c r="O790" s="303" t="s">
        <v>1986</v>
      </c>
      <c r="P790" s="328">
        <v>43430</v>
      </c>
      <c r="Q790" s="303" t="s">
        <v>1952</v>
      </c>
      <c r="R790" s="303">
        <f t="shared" si="16"/>
        <v>1</v>
      </c>
      <c r="S790" s="303">
        <v>0</v>
      </c>
    </row>
    <row r="791" spans="1:19" x14ac:dyDescent="0.25">
      <c r="A791" s="303" t="s">
        <v>2504</v>
      </c>
      <c r="B791" s="303" t="s">
        <v>2503</v>
      </c>
      <c r="C791" s="328">
        <v>43430</v>
      </c>
      <c r="D791" s="303" t="s">
        <v>1965</v>
      </c>
      <c r="E791" s="303" t="s">
        <v>1964</v>
      </c>
      <c r="F791" s="303" t="s">
        <v>1912</v>
      </c>
      <c r="G791" s="303" t="s">
        <v>1382</v>
      </c>
      <c r="H791" s="303" t="s">
        <v>1956</v>
      </c>
      <c r="I791" s="304">
        <v>25000</v>
      </c>
      <c r="J791" s="303" t="s">
        <v>1609</v>
      </c>
      <c r="K791" s="303" t="s">
        <v>1609</v>
      </c>
      <c r="L791" s="303" t="s">
        <v>1609</v>
      </c>
      <c r="M791" s="303" t="s">
        <v>2502</v>
      </c>
      <c r="N791" s="303" t="s">
        <v>2031</v>
      </c>
      <c r="O791" s="303" t="s">
        <v>2030</v>
      </c>
      <c r="P791" s="328">
        <v>43430</v>
      </c>
      <c r="Q791" s="303" t="s">
        <v>1952</v>
      </c>
      <c r="R791" s="303">
        <f t="shared" si="16"/>
        <v>1</v>
      </c>
      <c r="S791" s="303">
        <v>1</v>
      </c>
    </row>
    <row r="792" spans="1:19" x14ac:dyDescent="0.25">
      <c r="A792" s="303" t="s">
        <v>2501</v>
      </c>
      <c r="B792" s="303" t="s">
        <v>2500</v>
      </c>
      <c r="C792" s="328">
        <v>43431</v>
      </c>
      <c r="D792" s="303" t="s">
        <v>1965</v>
      </c>
      <c r="E792" s="303" t="s">
        <v>1964</v>
      </c>
      <c r="F792" s="303" t="s">
        <v>1753</v>
      </c>
      <c r="G792" s="303" t="s">
        <v>2112</v>
      </c>
      <c r="H792" s="303" t="s">
        <v>1956</v>
      </c>
      <c r="I792" s="304">
        <v>11000</v>
      </c>
      <c r="J792" s="303" t="s">
        <v>1846</v>
      </c>
      <c r="K792" s="303" t="s">
        <v>1959</v>
      </c>
      <c r="L792" s="303" t="s">
        <v>1956</v>
      </c>
      <c r="M792" s="303" t="s">
        <v>2499</v>
      </c>
      <c r="N792" s="303" t="s">
        <v>1987</v>
      </c>
      <c r="O792" s="303" t="s">
        <v>1986</v>
      </c>
      <c r="P792" s="328">
        <v>43431</v>
      </c>
      <c r="Q792" s="303" t="s">
        <v>1952</v>
      </c>
      <c r="R792" s="303">
        <f t="shared" si="16"/>
        <v>1</v>
      </c>
      <c r="S792" s="303">
        <v>0</v>
      </c>
    </row>
    <row r="793" spans="1:19" x14ac:dyDescent="0.25">
      <c r="A793" s="303" t="s">
        <v>2501</v>
      </c>
      <c r="B793" s="303" t="s">
        <v>2500</v>
      </c>
      <c r="C793" s="328">
        <v>43431</v>
      </c>
      <c r="D793" s="303" t="s">
        <v>1961</v>
      </c>
      <c r="E793" s="303" t="s">
        <v>1960</v>
      </c>
      <c r="F793" s="303" t="s">
        <v>1753</v>
      </c>
      <c r="G793" s="303" t="s">
        <v>2112</v>
      </c>
      <c r="H793" s="303" t="s">
        <v>1956</v>
      </c>
      <c r="I793" s="304">
        <v>-11000</v>
      </c>
      <c r="J793" s="303" t="s">
        <v>1846</v>
      </c>
      <c r="K793" s="303" t="s">
        <v>1959</v>
      </c>
      <c r="L793" s="303" t="s">
        <v>1956</v>
      </c>
      <c r="M793" s="303" t="s">
        <v>2499</v>
      </c>
      <c r="N793" s="303" t="s">
        <v>1987</v>
      </c>
      <c r="O793" s="303" t="s">
        <v>1986</v>
      </c>
      <c r="P793" s="328">
        <v>43431</v>
      </c>
      <c r="Q793" s="303" t="s">
        <v>1952</v>
      </c>
      <c r="R793" s="303">
        <f t="shared" si="16"/>
        <v>1</v>
      </c>
      <c r="S793" s="303">
        <v>0</v>
      </c>
    </row>
    <row r="794" spans="1:19" x14ac:dyDescent="0.25">
      <c r="A794" s="303" t="s">
        <v>2498</v>
      </c>
      <c r="B794" s="303" t="s">
        <v>2497</v>
      </c>
      <c r="C794" s="328">
        <v>43431</v>
      </c>
      <c r="D794" s="303" t="s">
        <v>1965</v>
      </c>
      <c r="E794" s="303" t="s">
        <v>1964</v>
      </c>
      <c r="F794" s="303" t="s">
        <v>2014</v>
      </c>
      <c r="G794" s="303" t="s">
        <v>2072</v>
      </c>
      <c r="H794" s="303" t="s">
        <v>1956</v>
      </c>
      <c r="I794" s="304">
        <v>9000</v>
      </c>
      <c r="J794" s="303" t="s">
        <v>1753</v>
      </c>
      <c r="K794" s="303" t="s">
        <v>2112</v>
      </c>
      <c r="L794" s="303" t="s">
        <v>1956</v>
      </c>
      <c r="M794" s="303" t="s">
        <v>2496</v>
      </c>
      <c r="N794" s="303" t="s">
        <v>1987</v>
      </c>
      <c r="O794" s="303" t="s">
        <v>1986</v>
      </c>
      <c r="P794" s="328">
        <v>43431</v>
      </c>
      <c r="Q794" s="303" t="s">
        <v>1952</v>
      </c>
      <c r="R794" s="303">
        <f t="shared" si="16"/>
        <v>1</v>
      </c>
      <c r="S794" s="303">
        <v>0</v>
      </c>
    </row>
    <row r="795" spans="1:19" x14ac:dyDescent="0.25">
      <c r="A795" s="303" t="s">
        <v>2498</v>
      </c>
      <c r="B795" s="303" t="s">
        <v>2497</v>
      </c>
      <c r="C795" s="328">
        <v>43431</v>
      </c>
      <c r="D795" s="303" t="s">
        <v>1961</v>
      </c>
      <c r="E795" s="303" t="s">
        <v>1960</v>
      </c>
      <c r="F795" s="303" t="s">
        <v>2014</v>
      </c>
      <c r="G795" s="303" t="s">
        <v>2072</v>
      </c>
      <c r="H795" s="303" t="s">
        <v>1956</v>
      </c>
      <c r="I795" s="304">
        <v>-9000</v>
      </c>
      <c r="J795" s="303" t="s">
        <v>1753</v>
      </c>
      <c r="K795" s="303" t="s">
        <v>2112</v>
      </c>
      <c r="L795" s="303" t="s">
        <v>1956</v>
      </c>
      <c r="M795" s="303" t="s">
        <v>2496</v>
      </c>
      <c r="N795" s="303" t="s">
        <v>1987</v>
      </c>
      <c r="O795" s="303" t="s">
        <v>1986</v>
      </c>
      <c r="P795" s="328">
        <v>43431</v>
      </c>
      <c r="Q795" s="303" t="s">
        <v>1952</v>
      </c>
      <c r="R795" s="303">
        <f t="shared" si="16"/>
        <v>1</v>
      </c>
      <c r="S795" s="303">
        <v>0</v>
      </c>
    </row>
    <row r="796" spans="1:19" x14ac:dyDescent="0.25">
      <c r="A796" s="303" t="s">
        <v>2495</v>
      </c>
      <c r="B796" s="303" t="s">
        <v>2494</v>
      </c>
      <c r="C796" s="328">
        <v>43431</v>
      </c>
      <c r="D796" s="303" t="s">
        <v>1965</v>
      </c>
      <c r="E796" s="303" t="s">
        <v>1964</v>
      </c>
      <c r="F796" s="303" t="s">
        <v>1685</v>
      </c>
      <c r="G796" s="303" t="s">
        <v>1543</v>
      </c>
      <c r="H796" s="303" t="s">
        <v>1956</v>
      </c>
      <c r="I796" s="304">
        <v>8000</v>
      </c>
      <c r="J796" s="303" t="s">
        <v>1777</v>
      </c>
      <c r="K796" s="303" t="s">
        <v>2383</v>
      </c>
      <c r="L796" s="303" t="s">
        <v>1956</v>
      </c>
      <c r="M796" s="303" t="s">
        <v>2493</v>
      </c>
      <c r="N796" s="303" t="s">
        <v>1987</v>
      </c>
      <c r="O796" s="303" t="s">
        <v>1986</v>
      </c>
      <c r="P796" s="328">
        <v>43431</v>
      </c>
      <c r="Q796" s="303" t="s">
        <v>1952</v>
      </c>
      <c r="R796" s="303">
        <f t="shared" si="16"/>
        <v>1</v>
      </c>
      <c r="S796" s="303">
        <v>1</v>
      </c>
    </row>
    <row r="797" spans="1:19" x14ac:dyDescent="0.25">
      <c r="A797" s="303" t="s">
        <v>2495</v>
      </c>
      <c r="B797" s="303" t="s">
        <v>2494</v>
      </c>
      <c r="C797" s="328">
        <v>43431</v>
      </c>
      <c r="D797" s="303" t="s">
        <v>1961</v>
      </c>
      <c r="E797" s="303" t="s">
        <v>1960</v>
      </c>
      <c r="F797" s="303" t="s">
        <v>1685</v>
      </c>
      <c r="G797" s="303" t="s">
        <v>1543</v>
      </c>
      <c r="H797" s="303" t="s">
        <v>1956</v>
      </c>
      <c r="I797" s="304">
        <v>-8000</v>
      </c>
      <c r="J797" s="303" t="s">
        <v>1777</v>
      </c>
      <c r="K797" s="303" t="s">
        <v>2383</v>
      </c>
      <c r="L797" s="303" t="s">
        <v>1956</v>
      </c>
      <c r="M797" s="303" t="s">
        <v>2493</v>
      </c>
      <c r="N797" s="303" t="s">
        <v>1987</v>
      </c>
      <c r="O797" s="303" t="s">
        <v>1986</v>
      </c>
      <c r="P797" s="328">
        <v>43431</v>
      </c>
      <c r="Q797" s="303" t="s">
        <v>1952</v>
      </c>
      <c r="R797" s="303">
        <f t="shared" si="16"/>
        <v>1</v>
      </c>
      <c r="S797" s="303">
        <v>1</v>
      </c>
    </row>
    <row r="798" spans="1:19" x14ac:dyDescent="0.25">
      <c r="A798" s="303" t="s">
        <v>2492</v>
      </c>
      <c r="B798" s="303" t="s">
        <v>2491</v>
      </c>
      <c r="C798" s="328">
        <v>43431</v>
      </c>
      <c r="D798" s="303" t="s">
        <v>1961</v>
      </c>
      <c r="E798" s="303" t="s">
        <v>1960</v>
      </c>
      <c r="F798" s="303" t="s">
        <v>1609</v>
      </c>
      <c r="G798" s="303" t="s">
        <v>1609</v>
      </c>
      <c r="H798" s="303" t="s">
        <v>1609</v>
      </c>
      <c r="I798" s="304">
        <v>-1091</v>
      </c>
      <c r="J798" s="303" t="s">
        <v>2490</v>
      </c>
      <c r="K798" s="303" t="s">
        <v>1382</v>
      </c>
      <c r="L798" s="303" t="s">
        <v>1956</v>
      </c>
      <c r="M798" s="303" t="s">
        <v>2489</v>
      </c>
      <c r="N798" s="303" t="s">
        <v>1987</v>
      </c>
      <c r="O798" s="303" t="s">
        <v>1986</v>
      </c>
      <c r="P798" s="328">
        <v>43431</v>
      </c>
      <c r="Q798" s="303" t="s">
        <v>1952</v>
      </c>
      <c r="R798" s="303">
        <f t="shared" si="16"/>
        <v>1</v>
      </c>
      <c r="S798" s="303">
        <v>0</v>
      </c>
    </row>
    <row r="799" spans="1:19" x14ac:dyDescent="0.25">
      <c r="A799" s="303" t="s">
        <v>2488</v>
      </c>
      <c r="B799" s="303" t="s">
        <v>2487</v>
      </c>
      <c r="C799" s="328">
        <v>43431</v>
      </c>
      <c r="D799" s="303" t="s">
        <v>1965</v>
      </c>
      <c r="E799" s="303" t="s">
        <v>1964</v>
      </c>
      <c r="F799" s="303" t="s">
        <v>1733</v>
      </c>
      <c r="G799" s="303" t="s">
        <v>1493</v>
      </c>
      <c r="H799" s="303" t="s">
        <v>1956</v>
      </c>
      <c r="I799" s="304">
        <v>462</v>
      </c>
      <c r="J799" s="303" t="s">
        <v>1958</v>
      </c>
      <c r="K799" s="303" t="s">
        <v>1957</v>
      </c>
      <c r="L799" s="303" t="s">
        <v>1956</v>
      </c>
      <c r="M799" s="303" t="s">
        <v>2022</v>
      </c>
      <c r="N799" s="303" t="s">
        <v>1987</v>
      </c>
      <c r="O799" s="303" t="s">
        <v>1986</v>
      </c>
      <c r="P799" s="328">
        <v>43431</v>
      </c>
      <c r="Q799" s="303" t="s">
        <v>1952</v>
      </c>
      <c r="R799" s="303">
        <f t="shared" si="16"/>
        <v>0</v>
      </c>
      <c r="S799" s="303">
        <v>0</v>
      </c>
    </row>
    <row r="800" spans="1:19" x14ac:dyDescent="0.25">
      <c r="A800" s="303" t="s">
        <v>2488</v>
      </c>
      <c r="B800" s="303" t="s">
        <v>2487</v>
      </c>
      <c r="C800" s="328">
        <v>43431</v>
      </c>
      <c r="D800" s="303" t="s">
        <v>1961</v>
      </c>
      <c r="E800" s="303" t="s">
        <v>1960</v>
      </c>
      <c r="F800" s="303" t="s">
        <v>1733</v>
      </c>
      <c r="G800" s="303" t="s">
        <v>1493</v>
      </c>
      <c r="H800" s="303" t="s">
        <v>1956</v>
      </c>
      <c r="I800" s="304">
        <v>-462</v>
      </c>
      <c r="J800" s="303" t="s">
        <v>1958</v>
      </c>
      <c r="K800" s="303" t="s">
        <v>1957</v>
      </c>
      <c r="L800" s="303" t="s">
        <v>1956</v>
      </c>
      <c r="M800" s="303" t="s">
        <v>2022</v>
      </c>
      <c r="N800" s="303" t="s">
        <v>1987</v>
      </c>
      <c r="O800" s="303" t="s">
        <v>1986</v>
      </c>
      <c r="P800" s="328">
        <v>43431</v>
      </c>
      <c r="Q800" s="303" t="s">
        <v>1952</v>
      </c>
      <c r="R800" s="303">
        <f t="shared" si="16"/>
        <v>0</v>
      </c>
      <c r="S800" s="303">
        <v>0</v>
      </c>
    </row>
    <row r="801" spans="1:19" x14ac:dyDescent="0.25">
      <c r="A801" s="303" t="s">
        <v>2486</v>
      </c>
      <c r="B801" s="303" t="s">
        <v>2485</v>
      </c>
      <c r="C801" s="328">
        <v>43431</v>
      </c>
      <c r="D801" s="303" t="s">
        <v>1965</v>
      </c>
      <c r="E801" s="303" t="s">
        <v>1964</v>
      </c>
      <c r="F801" s="303" t="s">
        <v>1733</v>
      </c>
      <c r="G801" s="303" t="s">
        <v>1493</v>
      </c>
      <c r="H801" s="303" t="s">
        <v>1956</v>
      </c>
      <c r="I801" s="304">
        <v>1968</v>
      </c>
      <c r="J801" s="303" t="s">
        <v>1967</v>
      </c>
      <c r="K801" s="303" t="s">
        <v>1493</v>
      </c>
      <c r="L801" s="303" t="s">
        <v>1956</v>
      </c>
      <c r="M801" s="303" t="s">
        <v>2019</v>
      </c>
      <c r="N801" s="303" t="s">
        <v>1987</v>
      </c>
      <c r="O801" s="303" t="s">
        <v>1986</v>
      </c>
      <c r="P801" s="328">
        <v>43431</v>
      </c>
      <c r="Q801" s="303" t="s">
        <v>1952</v>
      </c>
      <c r="R801" s="303">
        <f t="shared" si="16"/>
        <v>0</v>
      </c>
      <c r="S801" s="303">
        <v>0</v>
      </c>
    </row>
    <row r="802" spans="1:19" x14ac:dyDescent="0.25">
      <c r="A802" s="303" t="s">
        <v>2486</v>
      </c>
      <c r="B802" s="303" t="s">
        <v>2485</v>
      </c>
      <c r="C802" s="328">
        <v>43431</v>
      </c>
      <c r="D802" s="303" t="s">
        <v>1961</v>
      </c>
      <c r="E802" s="303" t="s">
        <v>1960</v>
      </c>
      <c r="F802" s="303" t="s">
        <v>1733</v>
      </c>
      <c r="G802" s="303" t="s">
        <v>1493</v>
      </c>
      <c r="H802" s="303" t="s">
        <v>1956</v>
      </c>
      <c r="I802" s="304">
        <v>-1968</v>
      </c>
      <c r="J802" s="303" t="s">
        <v>1967</v>
      </c>
      <c r="K802" s="303" t="s">
        <v>1493</v>
      </c>
      <c r="L802" s="303" t="s">
        <v>1956</v>
      </c>
      <c r="M802" s="303" t="s">
        <v>2019</v>
      </c>
      <c r="N802" s="303" t="s">
        <v>1987</v>
      </c>
      <c r="O802" s="303" t="s">
        <v>1986</v>
      </c>
      <c r="P802" s="328">
        <v>43431</v>
      </c>
      <c r="Q802" s="303" t="s">
        <v>1952</v>
      </c>
      <c r="R802" s="303">
        <f t="shared" si="16"/>
        <v>0</v>
      </c>
      <c r="S802" s="303">
        <v>0</v>
      </c>
    </row>
    <row r="803" spans="1:19" x14ac:dyDescent="0.25">
      <c r="A803" s="303" t="s">
        <v>2484</v>
      </c>
      <c r="B803" s="303" t="s">
        <v>2483</v>
      </c>
      <c r="C803" s="328">
        <v>43431</v>
      </c>
      <c r="D803" s="303" t="s">
        <v>1965</v>
      </c>
      <c r="E803" s="303" t="s">
        <v>1964</v>
      </c>
      <c r="F803" s="303" t="s">
        <v>1725</v>
      </c>
      <c r="G803" s="303" t="s">
        <v>1505</v>
      </c>
      <c r="H803" s="303" t="s">
        <v>1956</v>
      </c>
      <c r="I803" s="304">
        <v>1400</v>
      </c>
      <c r="J803" s="303" t="s">
        <v>1759</v>
      </c>
      <c r="K803" s="303" t="s">
        <v>2072</v>
      </c>
      <c r="L803" s="303" t="s">
        <v>1956</v>
      </c>
      <c r="M803" s="303" t="s">
        <v>2482</v>
      </c>
      <c r="N803" s="303" t="s">
        <v>1987</v>
      </c>
      <c r="O803" s="303" t="s">
        <v>1986</v>
      </c>
      <c r="P803" s="328">
        <v>43431</v>
      </c>
      <c r="Q803" s="303" t="s">
        <v>1952</v>
      </c>
      <c r="R803" s="303">
        <f t="shared" si="16"/>
        <v>1</v>
      </c>
      <c r="S803" s="303">
        <v>1</v>
      </c>
    </row>
    <row r="804" spans="1:19" x14ac:dyDescent="0.25">
      <c r="A804" s="303" t="s">
        <v>2484</v>
      </c>
      <c r="B804" s="303" t="s">
        <v>2483</v>
      </c>
      <c r="C804" s="328">
        <v>43431</v>
      </c>
      <c r="D804" s="303" t="s">
        <v>1961</v>
      </c>
      <c r="E804" s="303" t="s">
        <v>1960</v>
      </c>
      <c r="F804" s="303" t="s">
        <v>1725</v>
      </c>
      <c r="G804" s="303" t="s">
        <v>1505</v>
      </c>
      <c r="H804" s="303" t="s">
        <v>1956</v>
      </c>
      <c r="I804" s="304">
        <v>-1400</v>
      </c>
      <c r="J804" s="303" t="s">
        <v>1759</v>
      </c>
      <c r="K804" s="303" t="s">
        <v>2072</v>
      </c>
      <c r="L804" s="303" t="s">
        <v>1956</v>
      </c>
      <c r="M804" s="303" t="s">
        <v>2482</v>
      </c>
      <c r="N804" s="303" t="s">
        <v>1987</v>
      </c>
      <c r="O804" s="303" t="s">
        <v>1986</v>
      </c>
      <c r="P804" s="328">
        <v>43431</v>
      </c>
      <c r="Q804" s="303" t="s">
        <v>1952</v>
      </c>
      <c r="R804" s="303">
        <f t="shared" si="16"/>
        <v>1</v>
      </c>
      <c r="S804" s="303">
        <v>1</v>
      </c>
    </row>
    <row r="805" spans="1:19" x14ac:dyDescent="0.25">
      <c r="A805" s="303" t="s">
        <v>2481</v>
      </c>
      <c r="B805" s="303" t="s">
        <v>2480</v>
      </c>
      <c r="C805" s="328">
        <v>43431</v>
      </c>
      <c r="D805" s="303" t="s">
        <v>1961</v>
      </c>
      <c r="E805" s="303" t="s">
        <v>1960</v>
      </c>
      <c r="F805" s="303" t="s">
        <v>1609</v>
      </c>
      <c r="G805" s="303" t="s">
        <v>1609</v>
      </c>
      <c r="H805" s="303" t="s">
        <v>1609</v>
      </c>
      <c r="I805" s="304">
        <v>-2662</v>
      </c>
      <c r="J805" s="303" t="s">
        <v>1743</v>
      </c>
      <c r="K805" s="303" t="s">
        <v>1481</v>
      </c>
      <c r="L805" s="303" t="s">
        <v>1956</v>
      </c>
      <c r="M805" s="303" t="s">
        <v>2479</v>
      </c>
      <c r="N805" s="303" t="s">
        <v>1987</v>
      </c>
      <c r="O805" s="303" t="s">
        <v>1986</v>
      </c>
      <c r="P805" s="328">
        <v>43431</v>
      </c>
      <c r="Q805" s="303" t="s">
        <v>1952</v>
      </c>
      <c r="R805" s="303">
        <f t="shared" si="16"/>
        <v>1</v>
      </c>
      <c r="S805" s="303">
        <v>1</v>
      </c>
    </row>
    <row r="806" spans="1:19" x14ac:dyDescent="0.25">
      <c r="A806" s="303" t="s">
        <v>2478</v>
      </c>
      <c r="B806" s="303" t="s">
        <v>2477</v>
      </c>
      <c r="C806" s="328">
        <v>43431</v>
      </c>
      <c r="D806" s="303" t="s">
        <v>1965</v>
      </c>
      <c r="E806" s="303" t="s">
        <v>1964</v>
      </c>
      <c r="F806" s="303" t="s">
        <v>1615</v>
      </c>
      <c r="G806" s="303" t="s">
        <v>1603</v>
      </c>
      <c r="H806" s="303" t="s">
        <v>1956</v>
      </c>
      <c r="I806" s="304">
        <v>16810</v>
      </c>
      <c r="J806" s="303" t="s">
        <v>1958</v>
      </c>
      <c r="K806" s="303" t="s">
        <v>1957</v>
      </c>
      <c r="L806" s="303" t="s">
        <v>1956</v>
      </c>
      <c r="M806" s="303" t="s">
        <v>2022</v>
      </c>
      <c r="N806" s="303" t="s">
        <v>1987</v>
      </c>
      <c r="O806" s="303" t="s">
        <v>1986</v>
      </c>
      <c r="P806" s="328">
        <v>43431</v>
      </c>
      <c r="Q806" s="303" t="s">
        <v>1952</v>
      </c>
      <c r="R806" s="303">
        <f t="shared" si="16"/>
        <v>0</v>
      </c>
      <c r="S806" s="303">
        <v>0</v>
      </c>
    </row>
    <row r="807" spans="1:19" x14ac:dyDescent="0.25">
      <c r="A807" s="303" t="s">
        <v>2478</v>
      </c>
      <c r="B807" s="303" t="s">
        <v>2477</v>
      </c>
      <c r="C807" s="328">
        <v>43431</v>
      </c>
      <c r="D807" s="303" t="s">
        <v>1961</v>
      </c>
      <c r="E807" s="303" t="s">
        <v>1960</v>
      </c>
      <c r="F807" s="303" t="s">
        <v>1615</v>
      </c>
      <c r="G807" s="303" t="s">
        <v>1603</v>
      </c>
      <c r="H807" s="303" t="s">
        <v>1956</v>
      </c>
      <c r="I807" s="304">
        <v>-16810</v>
      </c>
      <c r="J807" s="303" t="s">
        <v>1958</v>
      </c>
      <c r="K807" s="303" t="s">
        <v>1957</v>
      </c>
      <c r="L807" s="303" t="s">
        <v>1956</v>
      </c>
      <c r="M807" s="303" t="s">
        <v>2022</v>
      </c>
      <c r="N807" s="303" t="s">
        <v>1987</v>
      </c>
      <c r="O807" s="303" t="s">
        <v>1986</v>
      </c>
      <c r="P807" s="328">
        <v>43431</v>
      </c>
      <c r="Q807" s="303" t="s">
        <v>1952</v>
      </c>
      <c r="R807" s="303">
        <f t="shared" si="16"/>
        <v>0</v>
      </c>
      <c r="S807" s="303">
        <v>0</v>
      </c>
    </row>
    <row r="808" spans="1:19" x14ac:dyDescent="0.25">
      <c r="A808" s="303" t="s">
        <v>2476</v>
      </c>
      <c r="B808" s="303" t="s">
        <v>2475</v>
      </c>
      <c r="C808" s="328">
        <v>43431</v>
      </c>
      <c r="D808" s="303" t="s">
        <v>1965</v>
      </c>
      <c r="E808" s="303" t="s">
        <v>1964</v>
      </c>
      <c r="F808" s="303" t="s">
        <v>1615</v>
      </c>
      <c r="G808" s="303" t="s">
        <v>1603</v>
      </c>
      <c r="H808" s="303" t="s">
        <v>1956</v>
      </c>
      <c r="I808" s="304">
        <v>71532</v>
      </c>
      <c r="J808" s="303" t="s">
        <v>1967</v>
      </c>
      <c r="K808" s="303" t="s">
        <v>1603</v>
      </c>
      <c r="L808" s="303" t="s">
        <v>1956</v>
      </c>
      <c r="M808" s="303" t="s">
        <v>2019</v>
      </c>
      <c r="N808" s="303" t="s">
        <v>1987</v>
      </c>
      <c r="O808" s="303" t="s">
        <v>1986</v>
      </c>
      <c r="P808" s="328">
        <v>43431</v>
      </c>
      <c r="Q808" s="303" t="s">
        <v>1952</v>
      </c>
      <c r="R808" s="303">
        <f t="shared" si="16"/>
        <v>0</v>
      </c>
      <c r="S808" s="303">
        <v>0</v>
      </c>
    </row>
    <row r="809" spans="1:19" x14ac:dyDescent="0.25">
      <c r="A809" s="303" t="s">
        <v>2476</v>
      </c>
      <c r="B809" s="303" t="s">
        <v>2475</v>
      </c>
      <c r="C809" s="328">
        <v>43431</v>
      </c>
      <c r="D809" s="303" t="s">
        <v>1961</v>
      </c>
      <c r="E809" s="303" t="s">
        <v>1960</v>
      </c>
      <c r="F809" s="303" t="s">
        <v>1615</v>
      </c>
      <c r="G809" s="303" t="s">
        <v>1603</v>
      </c>
      <c r="H809" s="303" t="s">
        <v>1956</v>
      </c>
      <c r="I809" s="304">
        <v>-71532</v>
      </c>
      <c r="J809" s="303" t="s">
        <v>1967</v>
      </c>
      <c r="K809" s="303" t="s">
        <v>1603</v>
      </c>
      <c r="L809" s="303" t="s">
        <v>1956</v>
      </c>
      <c r="M809" s="303" t="s">
        <v>2019</v>
      </c>
      <c r="N809" s="303" t="s">
        <v>1987</v>
      </c>
      <c r="O809" s="303" t="s">
        <v>1986</v>
      </c>
      <c r="P809" s="328">
        <v>43431</v>
      </c>
      <c r="Q809" s="303" t="s">
        <v>1952</v>
      </c>
      <c r="R809" s="303">
        <f t="shared" si="16"/>
        <v>0</v>
      </c>
      <c r="S809" s="303">
        <v>0</v>
      </c>
    </row>
    <row r="810" spans="1:19" x14ac:dyDescent="0.25">
      <c r="A810" s="303" t="s">
        <v>2474</v>
      </c>
      <c r="B810" s="303" t="s">
        <v>2473</v>
      </c>
      <c r="C810" s="328">
        <v>43432</v>
      </c>
      <c r="D810" s="303" t="s">
        <v>1965</v>
      </c>
      <c r="E810" s="303" t="s">
        <v>1964</v>
      </c>
      <c r="F810" s="303" t="s">
        <v>1926</v>
      </c>
      <c r="G810" s="303" t="s">
        <v>1373</v>
      </c>
      <c r="H810" s="303" t="s">
        <v>1956</v>
      </c>
      <c r="I810" s="304">
        <v>84240</v>
      </c>
      <c r="J810" s="303" t="s">
        <v>1609</v>
      </c>
      <c r="K810" s="303" t="s">
        <v>1609</v>
      </c>
      <c r="L810" s="303" t="s">
        <v>1609</v>
      </c>
      <c r="M810" s="303" t="s">
        <v>2472</v>
      </c>
      <c r="N810" s="303" t="s">
        <v>2031</v>
      </c>
      <c r="O810" s="303" t="s">
        <v>2030</v>
      </c>
      <c r="P810" s="328">
        <v>43432</v>
      </c>
      <c r="Q810" s="303" t="s">
        <v>1952</v>
      </c>
      <c r="R810" s="303">
        <f t="shared" si="16"/>
        <v>1</v>
      </c>
      <c r="S810" s="303">
        <v>1</v>
      </c>
    </row>
    <row r="811" spans="1:19" x14ac:dyDescent="0.25">
      <c r="A811" s="303" t="s">
        <v>2471</v>
      </c>
      <c r="B811" s="303" t="s">
        <v>2470</v>
      </c>
      <c r="C811" s="328">
        <v>43432</v>
      </c>
      <c r="D811" s="303" t="s">
        <v>1965</v>
      </c>
      <c r="E811" s="303" t="s">
        <v>1964</v>
      </c>
      <c r="F811" s="303" t="s">
        <v>1924</v>
      </c>
      <c r="G811" s="303" t="s">
        <v>1373</v>
      </c>
      <c r="H811" s="303" t="s">
        <v>1956</v>
      </c>
      <c r="I811" s="304">
        <v>7500</v>
      </c>
      <c r="J811" s="303" t="s">
        <v>1846</v>
      </c>
      <c r="K811" s="303" t="s">
        <v>1959</v>
      </c>
      <c r="L811" s="303" t="s">
        <v>1956</v>
      </c>
      <c r="M811" s="303" t="s">
        <v>2469</v>
      </c>
      <c r="N811" s="303" t="s">
        <v>1987</v>
      </c>
      <c r="O811" s="303" t="s">
        <v>1986</v>
      </c>
      <c r="P811" s="328">
        <v>43432</v>
      </c>
      <c r="Q811" s="303" t="s">
        <v>1952</v>
      </c>
      <c r="R811" s="303">
        <f t="shared" si="16"/>
        <v>1</v>
      </c>
      <c r="S811" s="303">
        <v>1</v>
      </c>
    </row>
    <row r="812" spans="1:19" x14ac:dyDescent="0.25">
      <c r="A812" s="303" t="s">
        <v>2471</v>
      </c>
      <c r="B812" s="303" t="s">
        <v>2470</v>
      </c>
      <c r="C812" s="328">
        <v>43432</v>
      </c>
      <c r="D812" s="303" t="s">
        <v>1961</v>
      </c>
      <c r="E812" s="303" t="s">
        <v>1960</v>
      </c>
      <c r="F812" s="303" t="s">
        <v>1924</v>
      </c>
      <c r="G812" s="303" t="s">
        <v>1373</v>
      </c>
      <c r="H812" s="303" t="s">
        <v>1956</v>
      </c>
      <c r="I812" s="304">
        <v>-7500</v>
      </c>
      <c r="J812" s="303" t="s">
        <v>1846</v>
      </c>
      <c r="K812" s="303" t="s">
        <v>1959</v>
      </c>
      <c r="L812" s="303" t="s">
        <v>1956</v>
      </c>
      <c r="M812" s="303" t="s">
        <v>2469</v>
      </c>
      <c r="N812" s="303" t="s">
        <v>1987</v>
      </c>
      <c r="O812" s="303" t="s">
        <v>1986</v>
      </c>
      <c r="P812" s="328">
        <v>43432</v>
      </c>
      <c r="Q812" s="303" t="s">
        <v>1952</v>
      </c>
      <c r="R812" s="303">
        <f t="shared" si="16"/>
        <v>1</v>
      </c>
      <c r="S812" s="303">
        <v>1</v>
      </c>
    </row>
    <row r="813" spans="1:19" x14ac:dyDescent="0.25">
      <c r="A813" s="303" t="s">
        <v>2468</v>
      </c>
      <c r="B813" s="303" t="s">
        <v>2467</v>
      </c>
      <c r="C813" s="328">
        <v>43432</v>
      </c>
      <c r="D813" s="303" t="s">
        <v>1965</v>
      </c>
      <c r="E813" s="303" t="s">
        <v>1964</v>
      </c>
      <c r="F813" s="303" t="s">
        <v>1958</v>
      </c>
      <c r="G813" s="303" t="s">
        <v>1957</v>
      </c>
      <c r="H813" s="303" t="s">
        <v>1956</v>
      </c>
      <c r="I813" s="304">
        <v>4465</v>
      </c>
      <c r="J813" s="303" t="s">
        <v>1649</v>
      </c>
      <c r="K813" s="303" t="s">
        <v>1570</v>
      </c>
      <c r="L813" s="303" t="s">
        <v>1956</v>
      </c>
      <c r="M813" s="303" t="s">
        <v>2270</v>
      </c>
      <c r="N813" s="303" t="s">
        <v>1987</v>
      </c>
      <c r="O813" s="303" t="s">
        <v>1986</v>
      </c>
      <c r="P813" s="328">
        <v>43432</v>
      </c>
      <c r="Q813" s="303" t="s">
        <v>1952</v>
      </c>
      <c r="R813" s="303">
        <f t="shared" si="16"/>
        <v>0</v>
      </c>
      <c r="S813" s="303">
        <v>0</v>
      </c>
    </row>
    <row r="814" spans="1:19" x14ac:dyDescent="0.25">
      <c r="A814" s="303" t="s">
        <v>2468</v>
      </c>
      <c r="B814" s="303" t="s">
        <v>2467</v>
      </c>
      <c r="C814" s="328">
        <v>43432</v>
      </c>
      <c r="D814" s="303" t="s">
        <v>1961</v>
      </c>
      <c r="E814" s="303" t="s">
        <v>1960</v>
      </c>
      <c r="F814" s="303" t="s">
        <v>1958</v>
      </c>
      <c r="G814" s="303" t="s">
        <v>1957</v>
      </c>
      <c r="H814" s="303" t="s">
        <v>1956</v>
      </c>
      <c r="I814" s="304">
        <v>-4465</v>
      </c>
      <c r="J814" s="303" t="s">
        <v>1649</v>
      </c>
      <c r="K814" s="303" t="s">
        <v>1570</v>
      </c>
      <c r="L814" s="303" t="s">
        <v>1956</v>
      </c>
      <c r="M814" s="303" t="s">
        <v>2270</v>
      </c>
      <c r="N814" s="303" t="s">
        <v>1987</v>
      </c>
      <c r="O814" s="303" t="s">
        <v>1986</v>
      </c>
      <c r="P814" s="328">
        <v>43432</v>
      </c>
      <c r="Q814" s="303" t="s">
        <v>1952</v>
      </c>
      <c r="R814" s="303">
        <f t="shared" si="16"/>
        <v>0</v>
      </c>
      <c r="S814" s="303">
        <v>0</v>
      </c>
    </row>
    <row r="815" spans="1:19" x14ac:dyDescent="0.25">
      <c r="A815" s="303" t="s">
        <v>2466</v>
      </c>
      <c r="B815" s="303" t="s">
        <v>2465</v>
      </c>
      <c r="C815" s="328">
        <v>43432</v>
      </c>
      <c r="D815" s="303" t="s">
        <v>1965</v>
      </c>
      <c r="E815" s="303" t="s">
        <v>1964</v>
      </c>
      <c r="F815" s="303" t="s">
        <v>1967</v>
      </c>
      <c r="G815" s="303" t="s">
        <v>1570</v>
      </c>
      <c r="H815" s="303" t="s">
        <v>1956</v>
      </c>
      <c r="I815" s="304">
        <v>19000</v>
      </c>
      <c r="J815" s="303" t="s">
        <v>1649</v>
      </c>
      <c r="K815" s="303" t="s">
        <v>1570</v>
      </c>
      <c r="L815" s="303" t="s">
        <v>1956</v>
      </c>
      <c r="M815" s="303" t="s">
        <v>2267</v>
      </c>
      <c r="N815" s="303" t="s">
        <v>1987</v>
      </c>
      <c r="O815" s="303" t="s">
        <v>1986</v>
      </c>
      <c r="P815" s="328">
        <v>43432</v>
      </c>
      <c r="Q815" s="303" t="s">
        <v>1952</v>
      </c>
      <c r="R815" s="303">
        <f t="shared" si="16"/>
        <v>0</v>
      </c>
      <c r="S815" s="303">
        <v>0</v>
      </c>
    </row>
    <row r="816" spans="1:19" x14ac:dyDescent="0.25">
      <c r="A816" s="303" t="s">
        <v>2466</v>
      </c>
      <c r="B816" s="303" t="s">
        <v>2465</v>
      </c>
      <c r="C816" s="328">
        <v>43432</v>
      </c>
      <c r="D816" s="303" t="s">
        <v>1961</v>
      </c>
      <c r="E816" s="303" t="s">
        <v>1960</v>
      </c>
      <c r="F816" s="303" t="s">
        <v>1967</v>
      </c>
      <c r="G816" s="303" t="s">
        <v>1570</v>
      </c>
      <c r="H816" s="303" t="s">
        <v>1956</v>
      </c>
      <c r="I816" s="304">
        <v>-19000</v>
      </c>
      <c r="J816" s="303" t="s">
        <v>1649</v>
      </c>
      <c r="K816" s="303" t="s">
        <v>1570</v>
      </c>
      <c r="L816" s="303" t="s">
        <v>1956</v>
      </c>
      <c r="M816" s="303" t="s">
        <v>2267</v>
      </c>
      <c r="N816" s="303" t="s">
        <v>1987</v>
      </c>
      <c r="O816" s="303" t="s">
        <v>1986</v>
      </c>
      <c r="P816" s="328">
        <v>43432</v>
      </c>
      <c r="Q816" s="303" t="s">
        <v>1952</v>
      </c>
      <c r="R816" s="303">
        <f t="shared" si="16"/>
        <v>0</v>
      </c>
      <c r="S816" s="303">
        <v>0</v>
      </c>
    </row>
    <row r="817" spans="1:19" x14ac:dyDescent="0.25">
      <c r="A817" s="303" t="s">
        <v>2464</v>
      </c>
      <c r="B817" s="303" t="s">
        <v>2463</v>
      </c>
      <c r="C817" s="328">
        <v>43433</v>
      </c>
      <c r="D817" s="303" t="s">
        <v>1965</v>
      </c>
      <c r="E817" s="303" t="s">
        <v>1964</v>
      </c>
      <c r="F817" s="303" t="s">
        <v>1886</v>
      </c>
      <c r="G817" s="303" t="s">
        <v>2462</v>
      </c>
      <c r="H817" s="303" t="s">
        <v>1956</v>
      </c>
      <c r="I817" s="304">
        <v>1000</v>
      </c>
      <c r="J817" s="303" t="s">
        <v>1918</v>
      </c>
      <c r="K817" s="303" t="s">
        <v>2183</v>
      </c>
      <c r="L817" s="303" t="s">
        <v>1956</v>
      </c>
      <c r="M817" s="303" t="s">
        <v>2461</v>
      </c>
      <c r="N817" s="303" t="s">
        <v>1987</v>
      </c>
      <c r="O817" s="303" t="s">
        <v>1986</v>
      </c>
      <c r="P817" s="328">
        <v>43433</v>
      </c>
      <c r="Q817" s="303" t="s">
        <v>1952</v>
      </c>
      <c r="R817" s="303">
        <f t="shared" si="16"/>
        <v>1</v>
      </c>
      <c r="S817" s="303">
        <v>1</v>
      </c>
    </row>
    <row r="818" spans="1:19" x14ac:dyDescent="0.25">
      <c r="A818" s="303" t="s">
        <v>2464</v>
      </c>
      <c r="B818" s="303" t="s">
        <v>2463</v>
      </c>
      <c r="C818" s="328">
        <v>43433</v>
      </c>
      <c r="D818" s="303" t="s">
        <v>1961</v>
      </c>
      <c r="E818" s="303" t="s">
        <v>1960</v>
      </c>
      <c r="F818" s="303" t="s">
        <v>1886</v>
      </c>
      <c r="G818" s="303" t="s">
        <v>2462</v>
      </c>
      <c r="H818" s="303" t="s">
        <v>1956</v>
      </c>
      <c r="I818" s="304">
        <v>-1000</v>
      </c>
      <c r="J818" s="303" t="s">
        <v>1918</v>
      </c>
      <c r="K818" s="303" t="s">
        <v>2183</v>
      </c>
      <c r="L818" s="303" t="s">
        <v>1956</v>
      </c>
      <c r="M818" s="303" t="s">
        <v>2461</v>
      </c>
      <c r="N818" s="303" t="s">
        <v>1987</v>
      </c>
      <c r="O818" s="303" t="s">
        <v>1986</v>
      </c>
      <c r="P818" s="328">
        <v>43433</v>
      </c>
      <c r="Q818" s="303" t="s">
        <v>1952</v>
      </c>
      <c r="R818" s="303">
        <f t="shared" si="16"/>
        <v>1</v>
      </c>
      <c r="S818" s="303">
        <v>1</v>
      </c>
    </row>
    <row r="819" spans="1:19" x14ac:dyDescent="0.25">
      <c r="A819" s="303" t="s">
        <v>2460</v>
      </c>
      <c r="B819" s="303" t="s">
        <v>2459</v>
      </c>
      <c r="C819" s="328">
        <v>43434</v>
      </c>
      <c r="D819" s="303" t="s">
        <v>1965</v>
      </c>
      <c r="E819" s="303" t="s">
        <v>1964</v>
      </c>
      <c r="F819" s="303" t="s">
        <v>1719</v>
      </c>
      <c r="G819" s="303" t="s">
        <v>1511</v>
      </c>
      <c r="H819" s="303" t="s">
        <v>1956</v>
      </c>
      <c r="I819" s="304">
        <v>21050</v>
      </c>
      <c r="J819" s="303" t="s">
        <v>1609</v>
      </c>
      <c r="K819" s="303" t="s">
        <v>1609</v>
      </c>
      <c r="L819" s="303" t="s">
        <v>1609</v>
      </c>
      <c r="M819" s="303" t="s">
        <v>2458</v>
      </c>
      <c r="N819" s="303" t="s">
        <v>2031</v>
      </c>
      <c r="O819" s="303" t="s">
        <v>2030</v>
      </c>
      <c r="P819" s="328">
        <v>43434</v>
      </c>
      <c r="Q819" s="303" t="s">
        <v>1952</v>
      </c>
      <c r="R819" s="303">
        <f t="shared" si="16"/>
        <v>1</v>
      </c>
      <c r="S819" s="303">
        <v>1</v>
      </c>
    </row>
    <row r="820" spans="1:19" x14ac:dyDescent="0.25">
      <c r="A820" s="303" t="s">
        <v>2457</v>
      </c>
      <c r="B820" s="303" t="s">
        <v>2456</v>
      </c>
      <c r="C820" s="328">
        <v>43437</v>
      </c>
      <c r="D820" s="303" t="s">
        <v>1965</v>
      </c>
      <c r="E820" s="303" t="s">
        <v>1964</v>
      </c>
      <c r="F820" s="303" t="s">
        <v>1727</v>
      </c>
      <c r="G820" s="303" t="s">
        <v>1502</v>
      </c>
      <c r="H820" s="303" t="s">
        <v>1956</v>
      </c>
      <c r="I820" s="304">
        <v>41072</v>
      </c>
      <c r="J820" s="303" t="s">
        <v>1609</v>
      </c>
      <c r="K820" s="303" t="s">
        <v>1609</v>
      </c>
      <c r="L820" s="303" t="s">
        <v>1609</v>
      </c>
      <c r="M820" s="303" t="s">
        <v>2455</v>
      </c>
      <c r="N820" s="303" t="s">
        <v>2031</v>
      </c>
      <c r="O820" s="303" t="s">
        <v>2030</v>
      </c>
      <c r="P820" s="328">
        <v>43437</v>
      </c>
      <c r="Q820" s="303" t="s">
        <v>1952</v>
      </c>
      <c r="R820" s="303">
        <f t="shared" si="16"/>
        <v>1</v>
      </c>
      <c r="S820" s="303">
        <v>1</v>
      </c>
    </row>
    <row r="821" spans="1:19" x14ac:dyDescent="0.25">
      <c r="A821" s="303" t="s">
        <v>2454</v>
      </c>
      <c r="B821" s="303" t="s">
        <v>2453</v>
      </c>
      <c r="C821" s="328">
        <v>43437</v>
      </c>
      <c r="D821" s="303" t="s">
        <v>1965</v>
      </c>
      <c r="E821" s="303" t="s">
        <v>1964</v>
      </c>
      <c r="F821" s="303" t="s">
        <v>1880</v>
      </c>
      <c r="G821" s="303" t="s">
        <v>1415</v>
      </c>
      <c r="H821" s="303" t="s">
        <v>1956</v>
      </c>
      <c r="I821" s="304">
        <v>34113</v>
      </c>
      <c r="J821" s="303" t="s">
        <v>1609</v>
      </c>
      <c r="K821" s="303" t="s">
        <v>1609</v>
      </c>
      <c r="L821" s="303" t="s">
        <v>1609</v>
      </c>
      <c r="M821" s="303" t="s">
        <v>2452</v>
      </c>
      <c r="N821" s="303" t="s">
        <v>2031</v>
      </c>
      <c r="O821" s="303" t="s">
        <v>2030</v>
      </c>
      <c r="P821" s="328">
        <v>43437</v>
      </c>
      <c r="Q821" s="303" t="s">
        <v>1952</v>
      </c>
      <c r="R821" s="303">
        <f t="shared" si="16"/>
        <v>1</v>
      </c>
      <c r="S821" s="303">
        <v>1</v>
      </c>
    </row>
    <row r="822" spans="1:19" x14ac:dyDescent="0.25">
      <c r="A822" s="303" t="s">
        <v>2451</v>
      </c>
      <c r="B822" s="303" t="s">
        <v>2450</v>
      </c>
      <c r="C822" s="328">
        <v>43437</v>
      </c>
      <c r="D822" s="303" t="s">
        <v>1965</v>
      </c>
      <c r="E822" s="303" t="s">
        <v>1964</v>
      </c>
      <c r="F822" s="303" t="s">
        <v>1639</v>
      </c>
      <c r="G822" s="303" t="s">
        <v>1579</v>
      </c>
      <c r="H822" s="303" t="s">
        <v>1956</v>
      </c>
      <c r="I822" s="304">
        <v>3305</v>
      </c>
      <c r="J822" s="303" t="s">
        <v>1958</v>
      </c>
      <c r="K822" s="303" t="s">
        <v>1957</v>
      </c>
      <c r="L822" s="303" t="s">
        <v>1956</v>
      </c>
      <c r="M822" s="303" t="s">
        <v>2022</v>
      </c>
      <c r="N822" s="303" t="s">
        <v>1987</v>
      </c>
      <c r="O822" s="303" t="s">
        <v>1986</v>
      </c>
      <c r="P822" s="328">
        <v>43437</v>
      </c>
      <c r="Q822" s="303" t="s">
        <v>1952</v>
      </c>
      <c r="R822" s="303">
        <f t="shared" si="16"/>
        <v>0</v>
      </c>
      <c r="S822" s="303">
        <v>0</v>
      </c>
    </row>
    <row r="823" spans="1:19" x14ac:dyDescent="0.25">
      <c r="A823" s="303" t="s">
        <v>2451</v>
      </c>
      <c r="B823" s="303" t="s">
        <v>2450</v>
      </c>
      <c r="C823" s="328">
        <v>43437</v>
      </c>
      <c r="D823" s="303" t="s">
        <v>1961</v>
      </c>
      <c r="E823" s="303" t="s">
        <v>1960</v>
      </c>
      <c r="F823" s="303" t="s">
        <v>1639</v>
      </c>
      <c r="G823" s="303" t="s">
        <v>1579</v>
      </c>
      <c r="H823" s="303" t="s">
        <v>1956</v>
      </c>
      <c r="I823" s="304">
        <v>-3305</v>
      </c>
      <c r="J823" s="303" t="s">
        <v>1958</v>
      </c>
      <c r="K823" s="303" t="s">
        <v>1957</v>
      </c>
      <c r="L823" s="303" t="s">
        <v>1956</v>
      </c>
      <c r="M823" s="303" t="s">
        <v>2022</v>
      </c>
      <c r="N823" s="303" t="s">
        <v>1987</v>
      </c>
      <c r="O823" s="303" t="s">
        <v>1986</v>
      </c>
      <c r="P823" s="328">
        <v>43437</v>
      </c>
      <c r="Q823" s="303" t="s">
        <v>1952</v>
      </c>
      <c r="R823" s="303">
        <f t="shared" si="16"/>
        <v>0</v>
      </c>
      <c r="S823" s="303">
        <v>0</v>
      </c>
    </row>
    <row r="824" spans="1:19" x14ac:dyDescent="0.25">
      <c r="A824" s="303" t="s">
        <v>2449</v>
      </c>
      <c r="B824" s="303" t="s">
        <v>2448</v>
      </c>
      <c r="C824" s="328">
        <v>43437</v>
      </c>
      <c r="D824" s="303" t="s">
        <v>1965</v>
      </c>
      <c r="E824" s="303" t="s">
        <v>1964</v>
      </c>
      <c r="F824" s="303" t="s">
        <v>1639</v>
      </c>
      <c r="G824" s="303" t="s">
        <v>1579</v>
      </c>
      <c r="H824" s="303" t="s">
        <v>1956</v>
      </c>
      <c r="I824" s="304">
        <v>14063</v>
      </c>
      <c r="J824" s="303" t="s">
        <v>1967</v>
      </c>
      <c r="K824" s="303" t="s">
        <v>1579</v>
      </c>
      <c r="L824" s="303" t="s">
        <v>1956</v>
      </c>
      <c r="M824" s="303" t="s">
        <v>2019</v>
      </c>
      <c r="N824" s="303" t="s">
        <v>1987</v>
      </c>
      <c r="O824" s="303" t="s">
        <v>1986</v>
      </c>
      <c r="P824" s="328">
        <v>43437</v>
      </c>
      <c r="Q824" s="303" t="s">
        <v>1952</v>
      </c>
      <c r="R824" s="303">
        <f t="shared" si="16"/>
        <v>0</v>
      </c>
      <c r="S824" s="303">
        <v>0</v>
      </c>
    </row>
    <row r="825" spans="1:19" x14ac:dyDescent="0.25">
      <c r="A825" s="303" t="s">
        <v>2449</v>
      </c>
      <c r="B825" s="303" t="s">
        <v>2448</v>
      </c>
      <c r="C825" s="328">
        <v>43437</v>
      </c>
      <c r="D825" s="303" t="s">
        <v>1961</v>
      </c>
      <c r="E825" s="303" t="s">
        <v>1960</v>
      </c>
      <c r="F825" s="303" t="s">
        <v>1639</v>
      </c>
      <c r="G825" s="303" t="s">
        <v>1579</v>
      </c>
      <c r="H825" s="303" t="s">
        <v>1956</v>
      </c>
      <c r="I825" s="304">
        <v>-14063</v>
      </c>
      <c r="J825" s="303" t="s">
        <v>1967</v>
      </c>
      <c r="K825" s="303" t="s">
        <v>1579</v>
      </c>
      <c r="L825" s="303" t="s">
        <v>1956</v>
      </c>
      <c r="M825" s="303" t="s">
        <v>2019</v>
      </c>
      <c r="N825" s="303" t="s">
        <v>1987</v>
      </c>
      <c r="O825" s="303" t="s">
        <v>1986</v>
      </c>
      <c r="P825" s="328">
        <v>43437</v>
      </c>
      <c r="Q825" s="303" t="s">
        <v>1952</v>
      </c>
      <c r="R825" s="303">
        <f t="shared" si="16"/>
        <v>0</v>
      </c>
      <c r="S825" s="303">
        <v>0</v>
      </c>
    </row>
    <row r="826" spans="1:19" x14ac:dyDescent="0.25">
      <c r="A826" s="303" t="s">
        <v>2447</v>
      </c>
      <c r="B826" s="303" t="s">
        <v>2446</v>
      </c>
      <c r="C826" s="328">
        <v>43438</v>
      </c>
      <c r="D826" s="303" t="s">
        <v>1961</v>
      </c>
      <c r="E826" s="303" t="s">
        <v>1960</v>
      </c>
      <c r="F826" s="303" t="s">
        <v>1609</v>
      </c>
      <c r="G826" s="303" t="s">
        <v>1609</v>
      </c>
      <c r="H826" s="303" t="s">
        <v>1609</v>
      </c>
      <c r="I826" s="304">
        <v>-2500</v>
      </c>
      <c r="J826" s="303" t="s">
        <v>1918</v>
      </c>
      <c r="K826" s="303" t="s">
        <v>2183</v>
      </c>
      <c r="L826" s="303" t="s">
        <v>1956</v>
      </c>
      <c r="M826" s="303" t="s">
        <v>2445</v>
      </c>
      <c r="N826" s="303" t="s">
        <v>1977</v>
      </c>
      <c r="O826" s="303" t="s">
        <v>1976</v>
      </c>
      <c r="P826" s="328">
        <v>43438</v>
      </c>
      <c r="Q826" s="303" t="s">
        <v>1952</v>
      </c>
      <c r="R826" s="303">
        <f t="shared" si="16"/>
        <v>1</v>
      </c>
      <c r="S826" s="303">
        <v>0</v>
      </c>
    </row>
    <row r="827" spans="1:19" x14ac:dyDescent="0.25">
      <c r="A827" s="303" t="s">
        <v>2444</v>
      </c>
      <c r="B827" s="303" t="s">
        <v>2443</v>
      </c>
      <c r="C827" s="328">
        <v>43438</v>
      </c>
      <c r="D827" s="303" t="s">
        <v>1965</v>
      </c>
      <c r="E827" s="303" t="s">
        <v>1964</v>
      </c>
      <c r="F827" s="303" t="s">
        <v>1613</v>
      </c>
      <c r="G827" s="303" t="s">
        <v>1606</v>
      </c>
      <c r="H827" s="303" t="s">
        <v>1956</v>
      </c>
      <c r="I827" s="304">
        <v>3760</v>
      </c>
      <c r="J827" s="303" t="s">
        <v>1918</v>
      </c>
      <c r="K827" s="303" t="s">
        <v>2183</v>
      </c>
      <c r="L827" s="303" t="s">
        <v>1956</v>
      </c>
      <c r="M827" s="303" t="s">
        <v>2442</v>
      </c>
      <c r="N827" s="303" t="s">
        <v>1977</v>
      </c>
      <c r="O827" s="303" t="s">
        <v>1976</v>
      </c>
      <c r="P827" s="328">
        <v>43438</v>
      </c>
      <c r="Q827" s="303" t="s">
        <v>1952</v>
      </c>
      <c r="R827" s="303">
        <f t="shared" si="16"/>
        <v>1</v>
      </c>
      <c r="S827" s="303">
        <v>1</v>
      </c>
    </row>
    <row r="828" spans="1:19" x14ac:dyDescent="0.25">
      <c r="A828" s="303" t="s">
        <v>2444</v>
      </c>
      <c r="B828" s="303" t="s">
        <v>2443</v>
      </c>
      <c r="C828" s="328">
        <v>43438</v>
      </c>
      <c r="D828" s="303" t="s">
        <v>1961</v>
      </c>
      <c r="E828" s="303" t="s">
        <v>1960</v>
      </c>
      <c r="F828" s="303" t="s">
        <v>1613</v>
      </c>
      <c r="G828" s="303" t="s">
        <v>1606</v>
      </c>
      <c r="H828" s="303" t="s">
        <v>1956</v>
      </c>
      <c r="I828" s="304">
        <v>-3760</v>
      </c>
      <c r="J828" s="303" t="s">
        <v>1918</v>
      </c>
      <c r="K828" s="303" t="s">
        <v>2183</v>
      </c>
      <c r="L828" s="303" t="s">
        <v>1956</v>
      </c>
      <c r="M828" s="303" t="s">
        <v>2442</v>
      </c>
      <c r="N828" s="303" t="s">
        <v>1977</v>
      </c>
      <c r="O828" s="303" t="s">
        <v>1976</v>
      </c>
      <c r="P828" s="328">
        <v>43438</v>
      </c>
      <c r="Q828" s="303" t="s">
        <v>1952</v>
      </c>
      <c r="R828" s="303">
        <f t="shared" si="16"/>
        <v>1</v>
      </c>
      <c r="S828" s="303">
        <v>1</v>
      </c>
    </row>
    <row r="829" spans="1:19" x14ac:dyDescent="0.25">
      <c r="A829" s="303" t="s">
        <v>2441</v>
      </c>
      <c r="B829" s="303" t="s">
        <v>2440</v>
      </c>
      <c r="C829" s="328">
        <v>43438</v>
      </c>
      <c r="D829" s="303" t="s">
        <v>1965</v>
      </c>
      <c r="E829" s="303" t="s">
        <v>1964</v>
      </c>
      <c r="F829" s="303" t="s">
        <v>1836</v>
      </c>
      <c r="G829" s="303" t="s">
        <v>1424</v>
      </c>
      <c r="H829" s="303" t="s">
        <v>1956</v>
      </c>
      <c r="I829" s="304">
        <v>2673</v>
      </c>
      <c r="J829" s="303" t="s">
        <v>1958</v>
      </c>
      <c r="K829" s="303" t="s">
        <v>1957</v>
      </c>
      <c r="L829" s="303" t="s">
        <v>1956</v>
      </c>
      <c r="M829" s="303" t="s">
        <v>2022</v>
      </c>
      <c r="N829" s="303" t="s">
        <v>1987</v>
      </c>
      <c r="O829" s="303" t="s">
        <v>1986</v>
      </c>
      <c r="P829" s="328">
        <v>43438</v>
      </c>
      <c r="Q829" s="303" t="s">
        <v>1952</v>
      </c>
      <c r="R829" s="303">
        <f t="shared" si="16"/>
        <v>0</v>
      </c>
      <c r="S829" s="303">
        <v>0</v>
      </c>
    </row>
    <row r="830" spans="1:19" x14ac:dyDescent="0.25">
      <c r="A830" s="303" t="s">
        <v>2441</v>
      </c>
      <c r="B830" s="303" t="s">
        <v>2440</v>
      </c>
      <c r="C830" s="328">
        <v>43438</v>
      </c>
      <c r="D830" s="303" t="s">
        <v>1961</v>
      </c>
      <c r="E830" s="303" t="s">
        <v>1960</v>
      </c>
      <c r="F830" s="303" t="s">
        <v>1836</v>
      </c>
      <c r="G830" s="303" t="s">
        <v>1424</v>
      </c>
      <c r="H830" s="303" t="s">
        <v>1956</v>
      </c>
      <c r="I830" s="304">
        <v>-2673</v>
      </c>
      <c r="J830" s="303" t="s">
        <v>1958</v>
      </c>
      <c r="K830" s="303" t="s">
        <v>1957</v>
      </c>
      <c r="L830" s="303" t="s">
        <v>1956</v>
      </c>
      <c r="M830" s="303" t="s">
        <v>2022</v>
      </c>
      <c r="N830" s="303" t="s">
        <v>1987</v>
      </c>
      <c r="O830" s="303" t="s">
        <v>1986</v>
      </c>
      <c r="P830" s="328">
        <v>43438</v>
      </c>
      <c r="Q830" s="303" t="s">
        <v>1952</v>
      </c>
      <c r="R830" s="303">
        <f t="shared" si="16"/>
        <v>0</v>
      </c>
      <c r="S830" s="303">
        <v>0</v>
      </c>
    </row>
    <row r="831" spans="1:19" x14ac:dyDescent="0.25">
      <c r="A831" s="303" t="s">
        <v>2439</v>
      </c>
      <c r="B831" s="303" t="s">
        <v>2438</v>
      </c>
      <c r="C831" s="328">
        <v>43438</v>
      </c>
      <c r="D831" s="303" t="s">
        <v>1965</v>
      </c>
      <c r="E831" s="303" t="s">
        <v>1964</v>
      </c>
      <c r="F831" s="303" t="s">
        <v>1836</v>
      </c>
      <c r="G831" s="303" t="s">
        <v>1424</v>
      </c>
      <c r="H831" s="303" t="s">
        <v>1956</v>
      </c>
      <c r="I831" s="304">
        <v>11374</v>
      </c>
      <c r="J831" s="303" t="s">
        <v>1967</v>
      </c>
      <c r="K831" s="303" t="s">
        <v>1424</v>
      </c>
      <c r="L831" s="303" t="s">
        <v>1956</v>
      </c>
      <c r="M831" s="303" t="s">
        <v>2019</v>
      </c>
      <c r="N831" s="303" t="s">
        <v>1987</v>
      </c>
      <c r="O831" s="303" t="s">
        <v>1986</v>
      </c>
      <c r="P831" s="328">
        <v>43438</v>
      </c>
      <c r="Q831" s="303" t="s">
        <v>1952</v>
      </c>
      <c r="R831" s="303">
        <f t="shared" si="16"/>
        <v>0</v>
      </c>
      <c r="S831" s="303">
        <v>0</v>
      </c>
    </row>
    <row r="832" spans="1:19" x14ac:dyDescent="0.25">
      <c r="A832" s="303" t="s">
        <v>2439</v>
      </c>
      <c r="B832" s="303" t="s">
        <v>2438</v>
      </c>
      <c r="C832" s="328">
        <v>43438</v>
      </c>
      <c r="D832" s="303" t="s">
        <v>1961</v>
      </c>
      <c r="E832" s="303" t="s">
        <v>1960</v>
      </c>
      <c r="F832" s="303" t="s">
        <v>1836</v>
      </c>
      <c r="G832" s="303" t="s">
        <v>1424</v>
      </c>
      <c r="H832" s="303" t="s">
        <v>1956</v>
      </c>
      <c r="I832" s="304">
        <v>-11374</v>
      </c>
      <c r="J832" s="303" t="s">
        <v>1967</v>
      </c>
      <c r="K832" s="303" t="s">
        <v>1424</v>
      </c>
      <c r="L832" s="303" t="s">
        <v>1956</v>
      </c>
      <c r="M832" s="303" t="s">
        <v>2019</v>
      </c>
      <c r="N832" s="303" t="s">
        <v>1987</v>
      </c>
      <c r="O832" s="303" t="s">
        <v>1986</v>
      </c>
      <c r="P832" s="328">
        <v>43438</v>
      </c>
      <c r="Q832" s="303" t="s">
        <v>1952</v>
      </c>
      <c r="R832" s="303">
        <f t="shared" si="16"/>
        <v>0</v>
      </c>
      <c r="S832" s="303">
        <v>0</v>
      </c>
    </row>
    <row r="833" spans="1:19" x14ac:dyDescent="0.25">
      <c r="A833" s="303" t="s">
        <v>2437</v>
      </c>
      <c r="B833" s="303" t="s">
        <v>2436</v>
      </c>
      <c r="C833" s="328">
        <v>43438</v>
      </c>
      <c r="D833" s="303" t="s">
        <v>1965</v>
      </c>
      <c r="E833" s="303" t="s">
        <v>1964</v>
      </c>
      <c r="F833" s="303" t="s">
        <v>1958</v>
      </c>
      <c r="G833" s="303" t="s">
        <v>1957</v>
      </c>
      <c r="H833" s="303" t="s">
        <v>1956</v>
      </c>
      <c r="I833" s="304">
        <v>21324</v>
      </c>
      <c r="J833" s="303" t="s">
        <v>1609</v>
      </c>
      <c r="K833" s="303" t="s">
        <v>1609</v>
      </c>
      <c r="L833" s="303" t="s">
        <v>1609</v>
      </c>
      <c r="M833" s="303" t="s">
        <v>2435</v>
      </c>
      <c r="N833" s="303" t="s">
        <v>2431</v>
      </c>
      <c r="O833" s="303" t="s">
        <v>2430</v>
      </c>
      <c r="P833" s="328">
        <v>43438</v>
      </c>
      <c r="Q833" s="303" t="s">
        <v>1952</v>
      </c>
      <c r="R833" s="303">
        <f t="shared" si="16"/>
        <v>1</v>
      </c>
      <c r="S833" s="303">
        <v>1</v>
      </c>
    </row>
    <row r="834" spans="1:19" x14ac:dyDescent="0.25">
      <c r="A834" s="303" t="s">
        <v>2434</v>
      </c>
      <c r="B834" s="303" t="s">
        <v>2433</v>
      </c>
      <c r="C834" s="328">
        <v>43438</v>
      </c>
      <c r="D834" s="303" t="s">
        <v>1965</v>
      </c>
      <c r="E834" s="303" t="s">
        <v>1964</v>
      </c>
      <c r="F834" s="303" t="s">
        <v>1967</v>
      </c>
      <c r="G834" s="303" t="s">
        <v>1585</v>
      </c>
      <c r="H834" s="303" t="s">
        <v>1956</v>
      </c>
      <c r="I834" s="304">
        <v>90742</v>
      </c>
      <c r="J834" s="303" t="s">
        <v>1609</v>
      </c>
      <c r="K834" s="303" t="s">
        <v>1609</v>
      </c>
      <c r="L834" s="303" t="s">
        <v>1609</v>
      </c>
      <c r="M834" s="303" t="s">
        <v>2432</v>
      </c>
      <c r="N834" s="303" t="s">
        <v>2431</v>
      </c>
      <c r="O834" s="303" t="s">
        <v>2430</v>
      </c>
      <c r="P834" s="328">
        <v>43438</v>
      </c>
      <c r="Q834" s="303" t="s">
        <v>1952</v>
      </c>
      <c r="R834" s="303">
        <f t="shared" si="16"/>
        <v>1</v>
      </c>
      <c r="S834" s="303">
        <v>0</v>
      </c>
    </row>
    <row r="835" spans="1:19" x14ac:dyDescent="0.25">
      <c r="A835" s="303" t="s">
        <v>2429</v>
      </c>
      <c r="B835" s="303" t="s">
        <v>2428</v>
      </c>
      <c r="C835" s="328">
        <v>43438</v>
      </c>
      <c r="D835" s="303" t="s">
        <v>1965</v>
      </c>
      <c r="E835" s="303" t="s">
        <v>1964</v>
      </c>
      <c r="F835" s="303" t="s">
        <v>1989</v>
      </c>
      <c r="G835" s="303" t="s">
        <v>1481</v>
      </c>
      <c r="H835" s="303" t="s">
        <v>1956</v>
      </c>
      <c r="I835" s="304">
        <v>1903</v>
      </c>
      <c r="J835" s="303" t="s">
        <v>1958</v>
      </c>
      <c r="K835" s="303" t="s">
        <v>1957</v>
      </c>
      <c r="L835" s="303" t="s">
        <v>1956</v>
      </c>
      <c r="M835" s="303" t="s">
        <v>2427</v>
      </c>
      <c r="N835" s="303" t="s">
        <v>1987</v>
      </c>
      <c r="O835" s="303" t="s">
        <v>1986</v>
      </c>
      <c r="P835" s="328">
        <v>43438</v>
      </c>
      <c r="Q835" s="303" t="s">
        <v>1952</v>
      </c>
      <c r="R835" s="303">
        <f t="shared" ref="R835:R898" si="17">IF(OR(M835="transfert de B vers A",M835="transfert de B vers D",M835="transfert de A vers B",M835="transfert de D vers B",M835="carryover 2017 -&gt; 2018",IF(ISERR(SEARCH("fidélité",M835)),FALSE,TRUE),M835="Fermeture STI-FORM",M835="répartition AE/AC"),0,1)</f>
        <v>1</v>
      </c>
      <c r="S835" s="303">
        <v>0</v>
      </c>
    </row>
    <row r="836" spans="1:19" x14ac:dyDescent="0.25">
      <c r="A836" s="303" t="s">
        <v>2429</v>
      </c>
      <c r="B836" s="303" t="s">
        <v>2428</v>
      </c>
      <c r="C836" s="328">
        <v>43438</v>
      </c>
      <c r="D836" s="303" t="s">
        <v>1961</v>
      </c>
      <c r="E836" s="303" t="s">
        <v>1960</v>
      </c>
      <c r="F836" s="303" t="s">
        <v>1989</v>
      </c>
      <c r="G836" s="303" t="s">
        <v>1481</v>
      </c>
      <c r="H836" s="303" t="s">
        <v>1956</v>
      </c>
      <c r="I836" s="304">
        <v>-1903</v>
      </c>
      <c r="J836" s="303" t="s">
        <v>1958</v>
      </c>
      <c r="K836" s="303" t="s">
        <v>1957</v>
      </c>
      <c r="L836" s="303" t="s">
        <v>1956</v>
      </c>
      <c r="M836" s="303" t="s">
        <v>2427</v>
      </c>
      <c r="N836" s="303" t="s">
        <v>1987</v>
      </c>
      <c r="O836" s="303" t="s">
        <v>1986</v>
      </c>
      <c r="P836" s="328">
        <v>43438</v>
      </c>
      <c r="Q836" s="303" t="s">
        <v>1952</v>
      </c>
      <c r="R836" s="303">
        <f t="shared" si="17"/>
        <v>1</v>
      </c>
      <c r="S836" s="303">
        <v>0</v>
      </c>
    </row>
    <row r="837" spans="1:19" x14ac:dyDescent="0.25">
      <c r="A837" s="303" t="s">
        <v>2426</v>
      </c>
      <c r="B837" s="303" t="s">
        <v>2425</v>
      </c>
      <c r="C837" s="328">
        <v>43438</v>
      </c>
      <c r="D837" s="303" t="s">
        <v>1965</v>
      </c>
      <c r="E837" s="303" t="s">
        <v>1964</v>
      </c>
      <c r="F837" s="303" t="s">
        <v>1989</v>
      </c>
      <c r="G837" s="303" t="s">
        <v>1481</v>
      </c>
      <c r="H837" s="303" t="s">
        <v>1956</v>
      </c>
      <c r="I837" s="304">
        <v>8097</v>
      </c>
      <c r="J837" s="303" t="s">
        <v>1967</v>
      </c>
      <c r="K837" s="303" t="s">
        <v>1481</v>
      </c>
      <c r="L837" s="303" t="s">
        <v>1956</v>
      </c>
      <c r="M837" s="303" t="s">
        <v>2424</v>
      </c>
      <c r="N837" s="303" t="s">
        <v>1987</v>
      </c>
      <c r="O837" s="303" t="s">
        <v>1986</v>
      </c>
      <c r="P837" s="328">
        <v>43438</v>
      </c>
      <c r="Q837" s="303" t="s">
        <v>1952</v>
      </c>
      <c r="R837" s="303">
        <f t="shared" si="17"/>
        <v>1</v>
      </c>
      <c r="S837" s="303">
        <v>0</v>
      </c>
    </row>
    <row r="838" spans="1:19" x14ac:dyDescent="0.25">
      <c r="A838" s="303" t="s">
        <v>2426</v>
      </c>
      <c r="B838" s="303" t="s">
        <v>2425</v>
      </c>
      <c r="C838" s="328">
        <v>43438</v>
      </c>
      <c r="D838" s="303" t="s">
        <v>1961</v>
      </c>
      <c r="E838" s="303" t="s">
        <v>1960</v>
      </c>
      <c r="F838" s="303" t="s">
        <v>1989</v>
      </c>
      <c r="G838" s="303" t="s">
        <v>1481</v>
      </c>
      <c r="H838" s="303" t="s">
        <v>1956</v>
      </c>
      <c r="I838" s="304">
        <v>-8097</v>
      </c>
      <c r="J838" s="303" t="s">
        <v>1967</v>
      </c>
      <c r="K838" s="303" t="s">
        <v>1481</v>
      </c>
      <c r="L838" s="303" t="s">
        <v>1956</v>
      </c>
      <c r="M838" s="303" t="s">
        <v>2424</v>
      </c>
      <c r="N838" s="303" t="s">
        <v>1987</v>
      </c>
      <c r="O838" s="303" t="s">
        <v>1986</v>
      </c>
      <c r="P838" s="328">
        <v>43438</v>
      </c>
      <c r="Q838" s="303" t="s">
        <v>1952</v>
      </c>
      <c r="R838" s="303">
        <f t="shared" si="17"/>
        <v>1</v>
      </c>
      <c r="S838" s="303">
        <v>0</v>
      </c>
    </row>
    <row r="839" spans="1:19" x14ac:dyDescent="0.25">
      <c r="A839" s="303" t="s">
        <v>2423</v>
      </c>
      <c r="B839" s="303" t="s">
        <v>2422</v>
      </c>
      <c r="C839" s="328">
        <v>43438</v>
      </c>
      <c r="D839" s="303" t="s">
        <v>1965</v>
      </c>
      <c r="E839" s="303" t="s">
        <v>1964</v>
      </c>
      <c r="F839" s="303" t="s">
        <v>1743</v>
      </c>
      <c r="G839" s="303" t="s">
        <v>1481</v>
      </c>
      <c r="H839" s="303" t="s">
        <v>1956</v>
      </c>
      <c r="I839" s="304">
        <v>4757</v>
      </c>
      <c r="J839" s="303" t="s">
        <v>1958</v>
      </c>
      <c r="K839" s="303" t="s">
        <v>1957</v>
      </c>
      <c r="L839" s="303" t="s">
        <v>1956</v>
      </c>
      <c r="M839" s="303" t="s">
        <v>2022</v>
      </c>
      <c r="N839" s="303" t="s">
        <v>1987</v>
      </c>
      <c r="O839" s="303" t="s">
        <v>1986</v>
      </c>
      <c r="P839" s="328">
        <v>43438</v>
      </c>
      <c r="Q839" s="303" t="s">
        <v>1952</v>
      </c>
      <c r="R839" s="303">
        <f t="shared" si="17"/>
        <v>0</v>
      </c>
      <c r="S839" s="303">
        <v>0</v>
      </c>
    </row>
    <row r="840" spans="1:19" x14ac:dyDescent="0.25">
      <c r="A840" s="303" t="s">
        <v>2423</v>
      </c>
      <c r="B840" s="303" t="s">
        <v>2422</v>
      </c>
      <c r="C840" s="328">
        <v>43438</v>
      </c>
      <c r="D840" s="303" t="s">
        <v>1961</v>
      </c>
      <c r="E840" s="303" t="s">
        <v>1960</v>
      </c>
      <c r="F840" s="303" t="s">
        <v>1743</v>
      </c>
      <c r="G840" s="303" t="s">
        <v>1481</v>
      </c>
      <c r="H840" s="303" t="s">
        <v>1956</v>
      </c>
      <c r="I840" s="304">
        <v>-4757</v>
      </c>
      <c r="J840" s="303" t="s">
        <v>1958</v>
      </c>
      <c r="K840" s="303" t="s">
        <v>1957</v>
      </c>
      <c r="L840" s="303" t="s">
        <v>1956</v>
      </c>
      <c r="M840" s="303" t="s">
        <v>2022</v>
      </c>
      <c r="N840" s="303" t="s">
        <v>1987</v>
      </c>
      <c r="O840" s="303" t="s">
        <v>1986</v>
      </c>
      <c r="P840" s="328">
        <v>43438</v>
      </c>
      <c r="Q840" s="303" t="s">
        <v>1952</v>
      </c>
      <c r="R840" s="303">
        <f t="shared" si="17"/>
        <v>0</v>
      </c>
      <c r="S840" s="303">
        <v>0</v>
      </c>
    </row>
    <row r="841" spans="1:19" x14ac:dyDescent="0.25">
      <c r="A841" s="303" t="s">
        <v>2421</v>
      </c>
      <c r="B841" s="303" t="s">
        <v>2420</v>
      </c>
      <c r="C841" s="328">
        <v>43438</v>
      </c>
      <c r="D841" s="303" t="s">
        <v>1965</v>
      </c>
      <c r="E841" s="303" t="s">
        <v>1964</v>
      </c>
      <c r="F841" s="303" t="s">
        <v>1743</v>
      </c>
      <c r="G841" s="303" t="s">
        <v>1481</v>
      </c>
      <c r="H841" s="303" t="s">
        <v>1956</v>
      </c>
      <c r="I841" s="304">
        <v>20243</v>
      </c>
      <c r="J841" s="303" t="s">
        <v>1967</v>
      </c>
      <c r="K841" s="303" t="s">
        <v>1481</v>
      </c>
      <c r="L841" s="303" t="s">
        <v>1956</v>
      </c>
      <c r="M841" s="303" t="s">
        <v>2019</v>
      </c>
      <c r="N841" s="303" t="s">
        <v>1987</v>
      </c>
      <c r="O841" s="303" t="s">
        <v>1986</v>
      </c>
      <c r="P841" s="328">
        <v>43438</v>
      </c>
      <c r="Q841" s="303" t="s">
        <v>1952</v>
      </c>
      <c r="R841" s="303">
        <f t="shared" si="17"/>
        <v>0</v>
      </c>
      <c r="S841" s="303">
        <v>0</v>
      </c>
    </row>
    <row r="842" spans="1:19" x14ac:dyDescent="0.25">
      <c r="A842" s="303" t="s">
        <v>2421</v>
      </c>
      <c r="B842" s="303" t="s">
        <v>2420</v>
      </c>
      <c r="C842" s="328">
        <v>43438</v>
      </c>
      <c r="D842" s="303" t="s">
        <v>1961</v>
      </c>
      <c r="E842" s="303" t="s">
        <v>1960</v>
      </c>
      <c r="F842" s="303" t="s">
        <v>1743</v>
      </c>
      <c r="G842" s="303" t="s">
        <v>1481</v>
      </c>
      <c r="H842" s="303" t="s">
        <v>1956</v>
      </c>
      <c r="I842" s="304">
        <v>-20243</v>
      </c>
      <c r="J842" s="303" t="s">
        <v>1967</v>
      </c>
      <c r="K842" s="303" t="s">
        <v>1481</v>
      </c>
      <c r="L842" s="303" t="s">
        <v>1956</v>
      </c>
      <c r="M842" s="303" t="s">
        <v>2019</v>
      </c>
      <c r="N842" s="303" t="s">
        <v>1987</v>
      </c>
      <c r="O842" s="303" t="s">
        <v>1986</v>
      </c>
      <c r="P842" s="328">
        <v>43438</v>
      </c>
      <c r="Q842" s="303" t="s">
        <v>1952</v>
      </c>
      <c r="R842" s="303">
        <f t="shared" si="17"/>
        <v>0</v>
      </c>
      <c r="S842" s="303">
        <v>0</v>
      </c>
    </row>
    <row r="843" spans="1:19" x14ac:dyDescent="0.25">
      <c r="A843" s="303" t="s">
        <v>2419</v>
      </c>
      <c r="B843" s="303" t="s">
        <v>2418</v>
      </c>
      <c r="C843" s="328">
        <v>43438</v>
      </c>
      <c r="D843" s="303" t="s">
        <v>1965</v>
      </c>
      <c r="E843" s="303" t="s">
        <v>1964</v>
      </c>
      <c r="F843" s="303" t="s">
        <v>1989</v>
      </c>
      <c r="G843" s="303" t="s">
        <v>1481</v>
      </c>
      <c r="H843" s="303" t="s">
        <v>1956</v>
      </c>
      <c r="I843" s="304">
        <v>27500</v>
      </c>
      <c r="J843" s="303" t="s">
        <v>1846</v>
      </c>
      <c r="K843" s="303" t="s">
        <v>1959</v>
      </c>
      <c r="L843" s="303" t="s">
        <v>1956</v>
      </c>
      <c r="M843" s="303" t="s">
        <v>2417</v>
      </c>
      <c r="N843" s="303" t="s">
        <v>1987</v>
      </c>
      <c r="O843" s="303" t="s">
        <v>1986</v>
      </c>
      <c r="P843" s="328">
        <v>43438</v>
      </c>
      <c r="Q843" s="303" t="s">
        <v>1952</v>
      </c>
      <c r="R843" s="303">
        <f t="shared" si="17"/>
        <v>1</v>
      </c>
      <c r="S843" s="303">
        <v>0</v>
      </c>
    </row>
    <row r="844" spans="1:19" x14ac:dyDescent="0.25">
      <c r="A844" s="303" t="s">
        <v>2419</v>
      </c>
      <c r="B844" s="303" t="s">
        <v>2418</v>
      </c>
      <c r="C844" s="328">
        <v>43438</v>
      </c>
      <c r="D844" s="303" t="s">
        <v>1961</v>
      </c>
      <c r="E844" s="303" t="s">
        <v>1960</v>
      </c>
      <c r="F844" s="303" t="s">
        <v>1989</v>
      </c>
      <c r="G844" s="303" t="s">
        <v>1481</v>
      </c>
      <c r="H844" s="303" t="s">
        <v>1956</v>
      </c>
      <c r="I844" s="304">
        <v>-27500</v>
      </c>
      <c r="J844" s="303" t="s">
        <v>1846</v>
      </c>
      <c r="K844" s="303" t="s">
        <v>1959</v>
      </c>
      <c r="L844" s="303" t="s">
        <v>1956</v>
      </c>
      <c r="M844" s="303" t="s">
        <v>2417</v>
      </c>
      <c r="N844" s="303" t="s">
        <v>1987</v>
      </c>
      <c r="O844" s="303" t="s">
        <v>1986</v>
      </c>
      <c r="P844" s="328">
        <v>43438</v>
      </c>
      <c r="Q844" s="303" t="s">
        <v>1952</v>
      </c>
      <c r="R844" s="303">
        <f t="shared" si="17"/>
        <v>1</v>
      </c>
      <c r="S844" s="303">
        <v>0</v>
      </c>
    </row>
    <row r="845" spans="1:19" x14ac:dyDescent="0.25">
      <c r="A845" s="303" t="s">
        <v>2416</v>
      </c>
      <c r="B845" s="303" t="s">
        <v>2415</v>
      </c>
      <c r="C845" s="328">
        <v>43439</v>
      </c>
      <c r="D845" s="303" t="s">
        <v>1965</v>
      </c>
      <c r="E845" s="303" t="s">
        <v>1964</v>
      </c>
      <c r="F845" s="303" t="s">
        <v>1719</v>
      </c>
      <c r="G845" s="303" t="s">
        <v>1511</v>
      </c>
      <c r="H845" s="303" t="s">
        <v>1956</v>
      </c>
      <c r="I845" s="304">
        <v>842</v>
      </c>
      <c r="J845" s="303" t="s">
        <v>1609</v>
      </c>
      <c r="K845" s="303" t="s">
        <v>1609</v>
      </c>
      <c r="L845" s="303" t="s">
        <v>1609</v>
      </c>
      <c r="M845" s="303" t="s">
        <v>2414</v>
      </c>
      <c r="N845" s="303" t="s">
        <v>2031</v>
      </c>
      <c r="O845" s="303" t="s">
        <v>2030</v>
      </c>
      <c r="P845" s="328">
        <v>43439</v>
      </c>
      <c r="Q845" s="303" t="s">
        <v>1952</v>
      </c>
      <c r="R845" s="303">
        <f t="shared" si="17"/>
        <v>1</v>
      </c>
      <c r="S845" s="303">
        <v>1</v>
      </c>
    </row>
    <row r="846" spans="1:19" x14ac:dyDescent="0.25">
      <c r="A846" s="303" t="s">
        <v>2413</v>
      </c>
      <c r="B846" s="303" t="s">
        <v>2412</v>
      </c>
      <c r="C846" s="328">
        <v>43439</v>
      </c>
      <c r="D846" s="303" t="s">
        <v>1965</v>
      </c>
      <c r="E846" s="303" t="s">
        <v>1964</v>
      </c>
      <c r="F846" s="303" t="s">
        <v>1727</v>
      </c>
      <c r="G846" s="303" t="s">
        <v>1502</v>
      </c>
      <c r="H846" s="303" t="s">
        <v>1956</v>
      </c>
      <c r="I846" s="304">
        <v>177</v>
      </c>
      <c r="J846" s="303" t="s">
        <v>1609</v>
      </c>
      <c r="K846" s="303" t="s">
        <v>1609</v>
      </c>
      <c r="L846" s="303" t="s">
        <v>1609</v>
      </c>
      <c r="M846" s="303" t="s">
        <v>2411</v>
      </c>
      <c r="N846" s="303" t="s">
        <v>2031</v>
      </c>
      <c r="O846" s="303" t="s">
        <v>2030</v>
      </c>
      <c r="P846" s="328">
        <v>43439</v>
      </c>
      <c r="Q846" s="303" t="s">
        <v>1952</v>
      </c>
      <c r="R846" s="303">
        <f t="shared" si="17"/>
        <v>1</v>
      </c>
      <c r="S846" s="303">
        <v>1</v>
      </c>
    </row>
    <row r="847" spans="1:19" x14ac:dyDescent="0.25">
      <c r="A847" s="303" t="s">
        <v>2410</v>
      </c>
      <c r="B847" s="303" t="s">
        <v>2409</v>
      </c>
      <c r="C847" s="328">
        <v>43439</v>
      </c>
      <c r="D847" s="303" t="s">
        <v>1965</v>
      </c>
      <c r="E847" s="303" t="s">
        <v>1964</v>
      </c>
      <c r="F847" s="303" t="s">
        <v>1729</v>
      </c>
      <c r="G847" s="303" t="s">
        <v>1499</v>
      </c>
      <c r="H847" s="303" t="s">
        <v>1956</v>
      </c>
      <c r="I847" s="304">
        <v>345</v>
      </c>
      <c r="J847" s="303" t="s">
        <v>1609</v>
      </c>
      <c r="K847" s="303" t="s">
        <v>1609</v>
      </c>
      <c r="L847" s="303" t="s">
        <v>1609</v>
      </c>
      <c r="M847" s="303" t="s">
        <v>2408</v>
      </c>
      <c r="N847" s="303" t="s">
        <v>2031</v>
      </c>
      <c r="O847" s="303" t="s">
        <v>2030</v>
      </c>
      <c r="P847" s="328">
        <v>43439</v>
      </c>
      <c r="Q847" s="303" t="s">
        <v>1952</v>
      </c>
      <c r="R847" s="303">
        <f t="shared" si="17"/>
        <v>1</v>
      </c>
      <c r="S847" s="303">
        <v>1</v>
      </c>
    </row>
    <row r="848" spans="1:19" x14ac:dyDescent="0.25">
      <c r="A848" s="303" t="s">
        <v>2407</v>
      </c>
      <c r="B848" s="303" t="s">
        <v>2406</v>
      </c>
      <c r="C848" s="328">
        <v>43432</v>
      </c>
      <c r="D848" s="303" t="s">
        <v>1965</v>
      </c>
      <c r="E848" s="303" t="s">
        <v>1964</v>
      </c>
      <c r="F848" s="303" t="s">
        <v>1679</v>
      </c>
      <c r="G848" s="303" t="s">
        <v>1552</v>
      </c>
      <c r="H848" s="303" t="s">
        <v>1956</v>
      </c>
      <c r="I848" s="304">
        <v>6450</v>
      </c>
      <c r="J848" s="303" t="s">
        <v>1846</v>
      </c>
      <c r="K848" s="303" t="s">
        <v>1959</v>
      </c>
      <c r="L848" s="303" t="s">
        <v>1956</v>
      </c>
      <c r="M848" s="303" t="s">
        <v>2403</v>
      </c>
      <c r="N848" s="303" t="s">
        <v>1954</v>
      </c>
      <c r="O848" s="303" t="s">
        <v>1953</v>
      </c>
      <c r="P848" s="328">
        <v>43440</v>
      </c>
      <c r="Q848" s="303" t="s">
        <v>1952</v>
      </c>
      <c r="R848" s="303">
        <f t="shared" si="17"/>
        <v>1</v>
      </c>
      <c r="S848" s="303">
        <v>1</v>
      </c>
    </row>
    <row r="849" spans="1:19" x14ac:dyDescent="0.25">
      <c r="A849" s="303" t="s">
        <v>2407</v>
      </c>
      <c r="B849" s="303" t="s">
        <v>2406</v>
      </c>
      <c r="C849" s="328">
        <v>43432</v>
      </c>
      <c r="D849" s="303" t="s">
        <v>1961</v>
      </c>
      <c r="E849" s="303" t="s">
        <v>1960</v>
      </c>
      <c r="F849" s="303" t="s">
        <v>1679</v>
      </c>
      <c r="G849" s="303" t="s">
        <v>1552</v>
      </c>
      <c r="H849" s="303" t="s">
        <v>1956</v>
      </c>
      <c r="I849" s="304">
        <v>-6450</v>
      </c>
      <c r="J849" s="303" t="s">
        <v>1846</v>
      </c>
      <c r="K849" s="303" t="s">
        <v>1959</v>
      </c>
      <c r="L849" s="303" t="s">
        <v>1956</v>
      </c>
      <c r="M849" s="303" t="s">
        <v>2403</v>
      </c>
      <c r="N849" s="303" t="s">
        <v>1954</v>
      </c>
      <c r="O849" s="303" t="s">
        <v>1953</v>
      </c>
      <c r="P849" s="328">
        <v>43440</v>
      </c>
      <c r="Q849" s="303" t="s">
        <v>1952</v>
      </c>
      <c r="R849" s="303">
        <f t="shared" si="17"/>
        <v>1</v>
      </c>
      <c r="S849" s="303">
        <v>1</v>
      </c>
    </row>
    <row r="850" spans="1:19" x14ac:dyDescent="0.25">
      <c r="A850" s="303" t="s">
        <v>2405</v>
      </c>
      <c r="B850" s="303" t="s">
        <v>2404</v>
      </c>
      <c r="C850" s="328">
        <v>43432</v>
      </c>
      <c r="D850" s="303" t="s">
        <v>1965</v>
      </c>
      <c r="E850" s="303" t="s">
        <v>1964</v>
      </c>
      <c r="F850" s="303" t="s">
        <v>1641</v>
      </c>
      <c r="G850" s="303" t="s">
        <v>1576</v>
      </c>
      <c r="H850" s="303" t="s">
        <v>1956</v>
      </c>
      <c r="I850" s="304">
        <v>10283</v>
      </c>
      <c r="J850" s="303" t="s">
        <v>1846</v>
      </c>
      <c r="K850" s="303" t="s">
        <v>1959</v>
      </c>
      <c r="L850" s="303" t="s">
        <v>1956</v>
      </c>
      <c r="M850" s="303" t="s">
        <v>2403</v>
      </c>
      <c r="N850" s="303" t="s">
        <v>1954</v>
      </c>
      <c r="O850" s="303" t="s">
        <v>1953</v>
      </c>
      <c r="P850" s="328">
        <v>43440</v>
      </c>
      <c r="Q850" s="303" t="s">
        <v>1952</v>
      </c>
      <c r="R850" s="303">
        <f t="shared" si="17"/>
        <v>1</v>
      </c>
      <c r="S850" s="303">
        <v>1</v>
      </c>
    </row>
    <row r="851" spans="1:19" x14ac:dyDescent="0.25">
      <c r="A851" s="303" t="s">
        <v>2405</v>
      </c>
      <c r="B851" s="303" t="s">
        <v>2404</v>
      </c>
      <c r="C851" s="328">
        <v>43432</v>
      </c>
      <c r="D851" s="303" t="s">
        <v>1961</v>
      </c>
      <c r="E851" s="303" t="s">
        <v>1960</v>
      </c>
      <c r="F851" s="303" t="s">
        <v>1641</v>
      </c>
      <c r="G851" s="303" t="s">
        <v>1576</v>
      </c>
      <c r="H851" s="303" t="s">
        <v>1956</v>
      </c>
      <c r="I851" s="304">
        <v>-10283</v>
      </c>
      <c r="J851" s="303" t="s">
        <v>1846</v>
      </c>
      <c r="K851" s="303" t="s">
        <v>1959</v>
      </c>
      <c r="L851" s="303" t="s">
        <v>1956</v>
      </c>
      <c r="M851" s="303" t="s">
        <v>2403</v>
      </c>
      <c r="N851" s="303" t="s">
        <v>1954</v>
      </c>
      <c r="O851" s="303" t="s">
        <v>1953</v>
      </c>
      <c r="P851" s="328">
        <v>43440</v>
      </c>
      <c r="Q851" s="303" t="s">
        <v>1952</v>
      </c>
      <c r="R851" s="303">
        <f t="shared" si="17"/>
        <v>1</v>
      </c>
      <c r="S851" s="303">
        <v>1</v>
      </c>
    </row>
    <row r="852" spans="1:19" x14ac:dyDescent="0.25">
      <c r="A852" s="303" t="s">
        <v>2402</v>
      </c>
      <c r="B852" s="303" t="s">
        <v>2401</v>
      </c>
      <c r="C852" s="328">
        <v>43440</v>
      </c>
      <c r="D852" s="303" t="s">
        <v>1965</v>
      </c>
      <c r="E852" s="303" t="s">
        <v>1964</v>
      </c>
      <c r="F852" s="303" t="s">
        <v>2014</v>
      </c>
      <c r="G852" s="303" t="s">
        <v>1424</v>
      </c>
      <c r="H852" s="303" t="s">
        <v>1956</v>
      </c>
      <c r="I852" s="304">
        <v>964</v>
      </c>
      <c r="J852" s="303" t="s">
        <v>1836</v>
      </c>
      <c r="K852" s="303" t="s">
        <v>1424</v>
      </c>
      <c r="L852" s="303" t="s">
        <v>1956</v>
      </c>
      <c r="M852" s="303" t="s">
        <v>2013</v>
      </c>
      <c r="N852" s="303" t="s">
        <v>1987</v>
      </c>
      <c r="O852" s="303" t="s">
        <v>1986</v>
      </c>
      <c r="P852" s="328">
        <v>43440</v>
      </c>
      <c r="Q852" s="303" t="s">
        <v>1952</v>
      </c>
      <c r="R852" s="303">
        <f t="shared" si="17"/>
        <v>1</v>
      </c>
      <c r="S852" s="303">
        <v>0</v>
      </c>
    </row>
    <row r="853" spans="1:19" x14ac:dyDescent="0.25">
      <c r="A853" s="303" t="s">
        <v>2402</v>
      </c>
      <c r="B853" s="303" t="s">
        <v>2401</v>
      </c>
      <c r="C853" s="328">
        <v>43440</v>
      </c>
      <c r="D853" s="303" t="s">
        <v>1961</v>
      </c>
      <c r="E853" s="303" t="s">
        <v>1960</v>
      </c>
      <c r="F853" s="303" t="s">
        <v>2014</v>
      </c>
      <c r="G853" s="303" t="s">
        <v>1424</v>
      </c>
      <c r="H853" s="303" t="s">
        <v>1956</v>
      </c>
      <c r="I853" s="304">
        <v>-964</v>
      </c>
      <c r="J853" s="303" t="s">
        <v>1836</v>
      </c>
      <c r="K853" s="303" t="s">
        <v>1424</v>
      </c>
      <c r="L853" s="303" t="s">
        <v>1956</v>
      </c>
      <c r="M853" s="303" t="s">
        <v>2013</v>
      </c>
      <c r="N853" s="303" t="s">
        <v>1987</v>
      </c>
      <c r="O853" s="303" t="s">
        <v>1986</v>
      </c>
      <c r="P853" s="328">
        <v>43440</v>
      </c>
      <c r="Q853" s="303" t="s">
        <v>1952</v>
      </c>
      <c r="R853" s="303">
        <f t="shared" si="17"/>
        <v>1</v>
      </c>
      <c r="S853" s="303">
        <v>0</v>
      </c>
    </row>
    <row r="854" spans="1:19" x14ac:dyDescent="0.25">
      <c r="A854" s="303" t="s">
        <v>2400</v>
      </c>
      <c r="B854" s="303" t="s">
        <v>2399</v>
      </c>
      <c r="C854" s="328">
        <v>43441</v>
      </c>
      <c r="D854" s="303" t="s">
        <v>1965</v>
      </c>
      <c r="E854" s="303" t="s">
        <v>1964</v>
      </c>
      <c r="F854" s="303" t="s">
        <v>2395</v>
      </c>
      <c r="G854" s="303" t="s">
        <v>2061</v>
      </c>
      <c r="H854" s="303" t="s">
        <v>1956</v>
      </c>
      <c r="I854" s="304">
        <v>2115</v>
      </c>
      <c r="J854" s="303" t="s">
        <v>1958</v>
      </c>
      <c r="K854" s="303" t="s">
        <v>1957</v>
      </c>
      <c r="L854" s="303" t="s">
        <v>1956</v>
      </c>
      <c r="M854" s="303" t="s">
        <v>2398</v>
      </c>
      <c r="N854" s="303" t="s">
        <v>1977</v>
      </c>
      <c r="O854" s="303" t="s">
        <v>1976</v>
      </c>
      <c r="P854" s="328">
        <v>43441</v>
      </c>
      <c r="Q854" s="303" t="s">
        <v>1952</v>
      </c>
      <c r="R854" s="303">
        <f t="shared" si="17"/>
        <v>1</v>
      </c>
      <c r="S854" s="303">
        <v>0</v>
      </c>
    </row>
    <row r="855" spans="1:19" x14ac:dyDescent="0.25">
      <c r="A855" s="303" t="s">
        <v>2400</v>
      </c>
      <c r="B855" s="303" t="s">
        <v>2399</v>
      </c>
      <c r="C855" s="328">
        <v>43441</v>
      </c>
      <c r="D855" s="303" t="s">
        <v>1961</v>
      </c>
      <c r="E855" s="303" t="s">
        <v>1960</v>
      </c>
      <c r="F855" s="303" t="s">
        <v>2395</v>
      </c>
      <c r="G855" s="303" t="s">
        <v>2061</v>
      </c>
      <c r="H855" s="303" t="s">
        <v>1956</v>
      </c>
      <c r="I855" s="304">
        <v>-2115</v>
      </c>
      <c r="J855" s="303" t="s">
        <v>1958</v>
      </c>
      <c r="K855" s="303" t="s">
        <v>1957</v>
      </c>
      <c r="L855" s="303" t="s">
        <v>1956</v>
      </c>
      <c r="M855" s="303" t="s">
        <v>2398</v>
      </c>
      <c r="N855" s="303" t="s">
        <v>1977</v>
      </c>
      <c r="O855" s="303" t="s">
        <v>1976</v>
      </c>
      <c r="P855" s="328">
        <v>43441</v>
      </c>
      <c r="Q855" s="303" t="s">
        <v>1952</v>
      </c>
      <c r="R855" s="303">
        <f t="shared" si="17"/>
        <v>1</v>
      </c>
      <c r="S855" s="303">
        <v>0</v>
      </c>
    </row>
    <row r="856" spans="1:19" x14ac:dyDescent="0.25">
      <c r="A856" s="303" t="s">
        <v>2397</v>
      </c>
      <c r="B856" s="303" t="s">
        <v>2396</v>
      </c>
      <c r="C856" s="328">
        <v>43441</v>
      </c>
      <c r="D856" s="303" t="s">
        <v>1965</v>
      </c>
      <c r="E856" s="303" t="s">
        <v>1964</v>
      </c>
      <c r="F856" s="303" t="s">
        <v>2395</v>
      </c>
      <c r="G856" s="303" t="s">
        <v>2061</v>
      </c>
      <c r="H856" s="303" t="s">
        <v>1956</v>
      </c>
      <c r="I856" s="304">
        <v>9000</v>
      </c>
      <c r="J856" s="303" t="s">
        <v>1967</v>
      </c>
      <c r="K856" s="303" t="s">
        <v>2061</v>
      </c>
      <c r="L856" s="303" t="s">
        <v>1956</v>
      </c>
      <c r="M856" s="303" t="s">
        <v>2394</v>
      </c>
      <c r="N856" s="303" t="s">
        <v>1977</v>
      </c>
      <c r="O856" s="303" t="s">
        <v>1976</v>
      </c>
      <c r="P856" s="328">
        <v>43441</v>
      </c>
      <c r="Q856" s="303" t="s">
        <v>1952</v>
      </c>
      <c r="R856" s="303">
        <f t="shared" si="17"/>
        <v>1</v>
      </c>
      <c r="S856" s="303">
        <v>0</v>
      </c>
    </row>
    <row r="857" spans="1:19" x14ac:dyDescent="0.25">
      <c r="A857" s="303" t="s">
        <v>2397</v>
      </c>
      <c r="B857" s="303" t="s">
        <v>2396</v>
      </c>
      <c r="C857" s="328">
        <v>43441</v>
      </c>
      <c r="D857" s="303" t="s">
        <v>1961</v>
      </c>
      <c r="E857" s="303" t="s">
        <v>1960</v>
      </c>
      <c r="F857" s="303" t="s">
        <v>2395</v>
      </c>
      <c r="G857" s="303" t="s">
        <v>2061</v>
      </c>
      <c r="H857" s="303" t="s">
        <v>1956</v>
      </c>
      <c r="I857" s="304">
        <v>-9000</v>
      </c>
      <c r="J857" s="303" t="s">
        <v>1967</v>
      </c>
      <c r="K857" s="303" t="s">
        <v>2061</v>
      </c>
      <c r="L857" s="303" t="s">
        <v>1956</v>
      </c>
      <c r="M857" s="303" t="s">
        <v>2394</v>
      </c>
      <c r="N857" s="303" t="s">
        <v>1977</v>
      </c>
      <c r="O857" s="303" t="s">
        <v>1976</v>
      </c>
      <c r="P857" s="328">
        <v>43441</v>
      </c>
      <c r="Q857" s="303" t="s">
        <v>1952</v>
      </c>
      <c r="R857" s="303">
        <f t="shared" si="17"/>
        <v>1</v>
      </c>
      <c r="S857" s="303">
        <v>0</v>
      </c>
    </row>
    <row r="858" spans="1:19" x14ac:dyDescent="0.25">
      <c r="A858" s="303" t="s">
        <v>2393</v>
      </c>
      <c r="B858" s="303" t="s">
        <v>2392</v>
      </c>
      <c r="C858" s="328">
        <v>43441</v>
      </c>
      <c r="D858" s="303" t="s">
        <v>1965</v>
      </c>
      <c r="E858" s="303" t="s">
        <v>1964</v>
      </c>
      <c r="F858" s="303" t="s">
        <v>2014</v>
      </c>
      <c r="G858" s="303" t="s">
        <v>2123</v>
      </c>
      <c r="H858" s="303" t="s">
        <v>1956</v>
      </c>
      <c r="I858" s="304">
        <v>5000</v>
      </c>
      <c r="J858" s="303" t="s">
        <v>1777</v>
      </c>
      <c r="K858" s="303" t="s">
        <v>2383</v>
      </c>
      <c r="L858" s="303" t="s">
        <v>1956</v>
      </c>
      <c r="M858" s="303" t="s">
        <v>2382</v>
      </c>
      <c r="N858" s="303" t="s">
        <v>1987</v>
      </c>
      <c r="O858" s="303" t="s">
        <v>1986</v>
      </c>
      <c r="P858" s="328">
        <v>43441</v>
      </c>
      <c r="Q858" s="303" t="s">
        <v>1952</v>
      </c>
      <c r="R858" s="303">
        <f t="shared" si="17"/>
        <v>1</v>
      </c>
      <c r="S858" s="303">
        <v>0</v>
      </c>
    </row>
    <row r="859" spans="1:19" x14ac:dyDescent="0.25">
      <c r="A859" s="303" t="s">
        <v>2393</v>
      </c>
      <c r="B859" s="303" t="s">
        <v>2392</v>
      </c>
      <c r="C859" s="328">
        <v>43441</v>
      </c>
      <c r="D859" s="303" t="s">
        <v>1961</v>
      </c>
      <c r="E859" s="303" t="s">
        <v>1960</v>
      </c>
      <c r="F859" s="303" t="s">
        <v>2014</v>
      </c>
      <c r="G859" s="303" t="s">
        <v>2123</v>
      </c>
      <c r="H859" s="303" t="s">
        <v>1956</v>
      </c>
      <c r="I859" s="304">
        <v>-5000</v>
      </c>
      <c r="J859" s="303" t="s">
        <v>1777</v>
      </c>
      <c r="K859" s="303" t="s">
        <v>2383</v>
      </c>
      <c r="L859" s="303" t="s">
        <v>1956</v>
      </c>
      <c r="M859" s="303" t="s">
        <v>2382</v>
      </c>
      <c r="N859" s="303" t="s">
        <v>1987</v>
      </c>
      <c r="O859" s="303" t="s">
        <v>1986</v>
      </c>
      <c r="P859" s="328">
        <v>43441</v>
      </c>
      <c r="Q859" s="303" t="s">
        <v>1952</v>
      </c>
      <c r="R859" s="303">
        <f t="shared" si="17"/>
        <v>1</v>
      </c>
      <c r="S859" s="303">
        <v>0</v>
      </c>
    </row>
    <row r="860" spans="1:19" x14ac:dyDescent="0.25">
      <c r="A860" s="303" t="s">
        <v>2391</v>
      </c>
      <c r="B860" s="303" t="s">
        <v>2390</v>
      </c>
      <c r="C860" s="328">
        <v>43441</v>
      </c>
      <c r="D860" s="303" t="s">
        <v>1965</v>
      </c>
      <c r="E860" s="303" t="s">
        <v>1964</v>
      </c>
      <c r="F860" s="303" t="s">
        <v>2014</v>
      </c>
      <c r="G860" s="303" t="s">
        <v>2161</v>
      </c>
      <c r="H860" s="303" t="s">
        <v>1956</v>
      </c>
      <c r="I860" s="304">
        <v>6000</v>
      </c>
      <c r="J860" s="303" t="s">
        <v>1777</v>
      </c>
      <c r="K860" s="303" t="s">
        <v>2383</v>
      </c>
      <c r="L860" s="303" t="s">
        <v>1956</v>
      </c>
      <c r="M860" s="303" t="s">
        <v>2382</v>
      </c>
      <c r="N860" s="303" t="s">
        <v>1987</v>
      </c>
      <c r="O860" s="303" t="s">
        <v>1986</v>
      </c>
      <c r="P860" s="328">
        <v>43441</v>
      </c>
      <c r="Q860" s="303" t="s">
        <v>1952</v>
      </c>
      <c r="R860" s="303">
        <f t="shared" si="17"/>
        <v>1</v>
      </c>
      <c r="S860" s="303">
        <v>0</v>
      </c>
    </row>
    <row r="861" spans="1:19" x14ac:dyDescent="0.25">
      <c r="A861" s="303" t="s">
        <v>2391</v>
      </c>
      <c r="B861" s="303" t="s">
        <v>2390</v>
      </c>
      <c r="C861" s="328">
        <v>43441</v>
      </c>
      <c r="D861" s="303" t="s">
        <v>1961</v>
      </c>
      <c r="E861" s="303" t="s">
        <v>1960</v>
      </c>
      <c r="F861" s="303" t="s">
        <v>2014</v>
      </c>
      <c r="G861" s="303" t="s">
        <v>2161</v>
      </c>
      <c r="H861" s="303" t="s">
        <v>1956</v>
      </c>
      <c r="I861" s="304">
        <v>-6000</v>
      </c>
      <c r="J861" s="303" t="s">
        <v>1777</v>
      </c>
      <c r="K861" s="303" t="s">
        <v>2383</v>
      </c>
      <c r="L861" s="303" t="s">
        <v>1956</v>
      </c>
      <c r="M861" s="303" t="s">
        <v>2382</v>
      </c>
      <c r="N861" s="303" t="s">
        <v>1987</v>
      </c>
      <c r="O861" s="303" t="s">
        <v>1986</v>
      </c>
      <c r="P861" s="328">
        <v>43441</v>
      </c>
      <c r="Q861" s="303" t="s">
        <v>1952</v>
      </c>
      <c r="R861" s="303">
        <f t="shared" si="17"/>
        <v>1</v>
      </c>
      <c r="S861" s="303">
        <v>0</v>
      </c>
    </row>
    <row r="862" spans="1:19" x14ac:dyDescent="0.25">
      <c r="A862" s="303" t="s">
        <v>2389</v>
      </c>
      <c r="B862" s="303" t="s">
        <v>2388</v>
      </c>
      <c r="C862" s="328">
        <v>43441</v>
      </c>
      <c r="D862" s="303" t="s">
        <v>1965</v>
      </c>
      <c r="E862" s="303" t="s">
        <v>1964</v>
      </c>
      <c r="F862" s="303" t="s">
        <v>2014</v>
      </c>
      <c r="G862" s="303" t="s">
        <v>2071</v>
      </c>
      <c r="H862" s="303" t="s">
        <v>1956</v>
      </c>
      <c r="I862" s="304">
        <v>11571</v>
      </c>
      <c r="J862" s="303" t="s">
        <v>1777</v>
      </c>
      <c r="K862" s="303" t="s">
        <v>2383</v>
      </c>
      <c r="L862" s="303" t="s">
        <v>1956</v>
      </c>
      <c r="M862" s="303" t="s">
        <v>2382</v>
      </c>
      <c r="N862" s="303" t="s">
        <v>1987</v>
      </c>
      <c r="O862" s="303" t="s">
        <v>1986</v>
      </c>
      <c r="P862" s="328">
        <v>43441</v>
      </c>
      <c r="Q862" s="303" t="s">
        <v>1952</v>
      </c>
      <c r="R862" s="303">
        <f t="shared" si="17"/>
        <v>1</v>
      </c>
      <c r="S862" s="303">
        <v>0</v>
      </c>
    </row>
    <row r="863" spans="1:19" x14ac:dyDescent="0.25">
      <c r="A863" s="303" t="s">
        <v>2389</v>
      </c>
      <c r="B863" s="303" t="s">
        <v>2388</v>
      </c>
      <c r="C863" s="328">
        <v>43441</v>
      </c>
      <c r="D863" s="303" t="s">
        <v>1961</v>
      </c>
      <c r="E863" s="303" t="s">
        <v>1960</v>
      </c>
      <c r="F863" s="303" t="s">
        <v>2014</v>
      </c>
      <c r="G863" s="303" t="s">
        <v>2071</v>
      </c>
      <c r="H863" s="303" t="s">
        <v>1956</v>
      </c>
      <c r="I863" s="304">
        <v>-11571</v>
      </c>
      <c r="J863" s="303" t="s">
        <v>1777</v>
      </c>
      <c r="K863" s="303" t="s">
        <v>2383</v>
      </c>
      <c r="L863" s="303" t="s">
        <v>1956</v>
      </c>
      <c r="M863" s="303" t="s">
        <v>2382</v>
      </c>
      <c r="N863" s="303" t="s">
        <v>1987</v>
      </c>
      <c r="O863" s="303" t="s">
        <v>1986</v>
      </c>
      <c r="P863" s="328">
        <v>43441</v>
      </c>
      <c r="Q863" s="303" t="s">
        <v>1952</v>
      </c>
      <c r="R863" s="303">
        <f t="shared" si="17"/>
        <v>1</v>
      </c>
      <c r="S863" s="303">
        <v>0</v>
      </c>
    </row>
    <row r="864" spans="1:19" x14ac:dyDescent="0.25">
      <c r="A864" s="303" t="s">
        <v>2387</v>
      </c>
      <c r="B864" s="303" t="s">
        <v>2386</v>
      </c>
      <c r="C864" s="328">
        <v>43441</v>
      </c>
      <c r="D864" s="303" t="s">
        <v>1965</v>
      </c>
      <c r="E864" s="303" t="s">
        <v>1964</v>
      </c>
      <c r="F864" s="303" t="s">
        <v>2014</v>
      </c>
      <c r="G864" s="303" t="s">
        <v>1508</v>
      </c>
      <c r="H864" s="303" t="s">
        <v>1956</v>
      </c>
      <c r="I864" s="304">
        <v>1584</v>
      </c>
      <c r="J864" s="303" t="s">
        <v>1777</v>
      </c>
      <c r="K864" s="303" t="s">
        <v>2383</v>
      </c>
      <c r="L864" s="303" t="s">
        <v>1956</v>
      </c>
      <c r="M864" s="303" t="s">
        <v>2382</v>
      </c>
      <c r="N864" s="303" t="s">
        <v>1987</v>
      </c>
      <c r="O864" s="303" t="s">
        <v>1986</v>
      </c>
      <c r="P864" s="328">
        <v>43441</v>
      </c>
      <c r="Q864" s="303" t="s">
        <v>1952</v>
      </c>
      <c r="R864" s="303">
        <f t="shared" si="17"/>
        <v>1</v>
      </c>
      <c r="S864" s="303">
        <v>0</v>
      </c>
    </row>
    <row r="865" spans="1:19" x14ac:dyDescent="0.25">
      <c r="A865" s="303" t="s">
        <v>2387</v>
      </c>
      <c r="B865" s="303" t="s">
        <v>2386</v>
      </c>
      <c r="C865" s="328">
        <v>43441</v>
      </c>
      <c r="D865" s="303" t="s">
        <v>1961</v>
      </c>
      <c r="E865" s="303" t="s">
        <v>1960</v>
      </c>
      <c r="F865" s="303" t="s">
        <v>2014</v>
      </c>
      <c r="G865" s="303" t="s">
        <v>1508</v>
      </c>
      <c r="H865" s="303" t="s">
        <v>1956</v>
      </c>
      <c r="I865" s="304">
        <v>-1584</v>
      </c>
      <c r="J865" s="303" t="s">
        <v>1777</v>
      </c>
      <c r="K865" s="303" t="s">
        <v>2383</v>
      </c>
      <c r="L865" s="303" t="s">
        <v>1956</v>
      </c>
      <c r="M865" s="303" t="s">
        <v>2382</v>
      </c>
      <c r="N865" s="303" t="s">
        <v>1987</v>
      </c>
      <c r="O865" s="303" t="s">
        <v>1986</v>
      </c>
      <c r="P865" s="328">
        <v>43441</v>
      </c>
      <c r="Q865" s="303" t="s">
        <v>1952</v>
      </c>
      <c r="R865" s="303">
        <f t="shared" si="17"/>
        <v>1</v>
      </c>
      <c r="S865" s="303">
        <v>0</v>
      </c>
    </row>
    <row r="866" spans="1:19" x14ac:dyDescent="0.25">
      <c r="A866" s="303" t="s">
        <v>2385</v>
      </c>
      <c r="B866" s="303" t="s">
        <v>2384</v>
      </c>
      <c r="C866" s="328">
        <v>43441</v>
      </c>
      <c r="D866" s="303" t="s">
        <v>1965</v>
      </c>
      <c r="E866" s="303" t="s">
        <v>1964</v>
      </c>
      <c r="F866" s="303" t="s">
        <v>2014</v>
      </c>
      <c r="G866" s="303" t="s">
        <v>1535</v>
      </c>
      <c r="H866" s="303" t="s">
        <v>1956</v>
      </c>
      <c r="I866" s="304">
        <v>845</v>
      </c>
      <c r="J866" s="303" t="s">
        <v>1777</v>
      </c>
      <c r="K866" s="303" t="s">
        <v>2383</v>
      </c>
      <c r="L866" s="303" t="s">
        <v>1956</v>
      </c>
      <c r="M866" s="303" t="s">
        <v>2382</v>
      </c>
      <c r="N866" s="303" t="s">
        <v>1987</v>
      </c>
      <c r="O866" s="303" t="s">
        <v>1986</v>
      </c>
      <c r="P866" s="328">
        <v>43441</v>
      </c>
      <c r="Q866" s="303" t="s">
        <v>1952</v>
      </c>
      <c r="R866" s="303">
        <f t="shared" si="17"/>
        <v>1</v>
      </c>
      <c r="S866" s="303">
        <v>0</v>
      </c>
    </row>
    <row r="867" spans="1:19" x14ac:dyDescent="0.25">
      <c r="A867" s="303" t="s">
        <v>2385</v>
      </c>
      <c r="B867" s="303" t="s">
        <v>2384</v>
      </c>
      <c r="C867" s="328">
        <v>43441</v>
      </c>
      <c r="D867" s="303" t="s">
        <v>1961</v>
      </c>
      <c r="E867" s="303" t="s">
        <v>1960</v>
      </c>
      <c r="F867" s="303" t="s">
        <v>2014</v>
      </c>
      <c r="G867" s="303" t="s">
        <v>1535</v>
      </c>
      <c r="H867" s="303" t="s">
        <v>1956</v>
      </c>
      <c r="I867" s="304">
        <v>-845</v>
      </c>
      <c r="J867" s="303" t="s">
        <v>1777</v>
      </c>
      <c r="K867" s="303" t="s">
        <v>2383</v>
      </c>
      <c r="L867" s="303" t="s">
        <v>1956</v>
      </c>
      <c r="M867" s="303" t="s">
        <v>2382</v>
      </c>
      <c r="N867" s="303" t="s">
        <v>1987</v>
      </c>
      <c r="O867" s="303" t="s">
        <v>1986</v>
      </c>
      <c r="P867" s="328">
        <v>43441</v>
      </c>
      <c r="Q867" s="303" t="s">
        <v>1952</v>
      </c>
      <c r="R867" s="303">
        <f t="shared" si="17"/>
        <v>1</v>
      </c>
      <c r="S867" s="303">
        <v>0</v>
      </c>
    </row>
    <row r="868" spans="1:19" x14ac:dyDescent="0.25">
      <c r="A868" s="303" t="s">
        <v>2381</v>
      </c>
      <c r="B868" s="303" t="s">
        <v>2380</v>
      </c>
      <c r="C868" s="328">
        <v>43441</v>
      </c>
      <c r="D868" s="303" t="s">
        <v>1965</v>
      </c>
      <c r="E868" s="303" t="s">
        <v>1964</v>
      </c>
      <c r="F868" s="303" t="s">
        <v>1615</v>
      </c>
      <c r="G868" s="303" t="s">
        <v>1603</v>
      </c>
      <c r="H868" s="303" t="s">
        <v>1956</v>
      </c>
      <c r="I868" s="304">
        <v>729</v>
      </c>
      <c r="J868" s="303" t="s">
        <v>1958</v>
      </c>
      <c r="K868" s="303" t="s">
        <v>1957</v>
      </c>
      <c r="L868" s="303" t="s">
        <v>1956</v>
      </c>
      <c r="M868" s="303" t="s">
        <v>2379</v>
      </c>
      <c r="N868" s="303" t="s">
        <v>1977</v>
      </c>
      <c r="O868" s="303" t="s">
        <v>1976</v>
      </c>
      <c r="P868" s="328">
        <v>43441</v>
      </c>
      <c r="Q868" s="303" t="s">
        <v>1952</v>
      </c>
      <c r="R868" s="303">
        <f t="shared" si="17"/>
        <v>0</v>
      </c>
      <c r="S868" s="303">
        <v>0</v>
      </c>
    </row>
    <row r="869" spans="1:19" x14ac:dyDescent="0.25">
      <c r="A869" s="303" t="s">
        <v>2381</v>
      </c>
      <c r="B869" s="303" t="s">
        <v>2380</v>
      </c>
      <c r="C869" s="328">
        <v>43441</v>
      </c>
      <c r="D869" s="303" t="s">
        <v>1961</v>
      </c>
      <c r="E869" s="303" t="s">
        <v>1960</v>
      </c>
      <c r="F869" s="303" t="s">
        <v>1615</v>
      </c>
      <c r="G869" s="303" t="s">
        <v>1603</v>
      </c>
      <c r="H869" s="303" t="s">
        <v>1956</v>
      </c>
      <c r="I869" s="304">
        <v>-729</v>
      </c>
      <c r="J869" s="303" t="s">
        <v>1958</v>
      </c>
      <c r="K869" s="303" t="s">
        <v>1957</v>
      </c>
      <c r="L869" s="303" t="s">
        <v>1956</v>
      </c>
      <c r="M869" s="303" t="s">
        <v>2379</v>
      </c>
      <c r="N869" s="303" t="s">
        <v>1977</v>
      </c>
      <c r="O869" s="303" t="s">
        <v>1976</v>
      </c>
      <c r="P869" s="328">
        <v>43441</v>
      </c>
      <c r="Q869" s="303" t="s">
        <v>1952</v>
      </c>
      <c r="R869" s="303">
        <f t="shared" si="17"/>
        <v>0</v>
      </c>
      <c r="S869" s="303">
        <v>0</v>
      </c>
    </row>
    <row r="870" spans="1:19" x14ac:dyDescent="0.25">
      <c r="A870" s="303" t="s">
        <v>2378</v>
      </c>
      <c r="B870" s="303" t="s">
        <v>2377</v>
      </c>
      <c r="C870" s="328">
        <v>43441</v>
      </c>
      <c r="D870" s="303" t="s">
        <v>1965</v>
      </c>
      <c r="E870" s="303" t="s">
        <v>1964</v>
      </c>
      <c r="F870" s="303" t="s">
        <v>1615</v>
      </c>
      <c r="G870" s="303" t="s">
        <v>1603</v>
      </c>
      <c r="H870" s="303" t="s">
        <v>1956</v>
      </c>
      <c r="I870" s="304">
        <v>3100</v>
      </c>
      <c r="J870" s="303" t="s">
        <v>1967</v>
      </c>
      <c r="K870" s="303" t="s">
        <v>1603</v>
      </c>
      <c r="L870" s="303" t="s">
        <v>1956</v>
      </c>
      <c r="M870" s="303" t="s">
        <v>2376</v>
      </c>
      <c r="N870" s="303" t="s">
        <v>1977</v>
      </c>
      <c r="O870" s="303" t="s">
        <v>1976</v>
      </c>
      <c r="P870" s="328">
        <v>43441</v>
      </c>
      <c r="Q870" s="303" t="s">
        <v>1952</v>
      </c>
      <c r="R870" s="303">
        <f t="shared" si="17"/>
        <v>0</v>
      </c>
      <c r="S870" s="303">
        <v>0</v>
      </c>
    </row>
    <row r="871" spans="1:19" x14ac:dyDescent="0.25">
      <c r="A871" s="303" t="s">
        <v>2378</v>
      </c>
      <c r="B871" s="303" t="s">
        <v>2377</v>
      </c>
      <c r="C871" s="328">
        <v>43441</v>
      </c>
      <c r="D871" s="303" t="s">
        <v>1961</v>
      </c>
      <c r="E871" s="303" t="s">
        <v>1960</v>
      </c>
      <c r="F871" s="303" t="s">
        <v>1615</v>
      </c>
      <c r="G871" s="303" t="s">
        <v>1603</v>
      </c>
      <c r="H871" s="303" t="s">
        <v>1956</v>
      </c>
      <c r="I871" s="304">
        <v>-3100</v>
      </c>
      <c r="J871" s="303" t="s">
        <v>1967</v>
      </c>
      <c r="K871" s="303" t="s">
        <v>1603</v>
      </c>
      <c r="L871" s="303" t="s">
        <v>1956</v>
      </c>
      <c r="M871" s="303" t="s">
        <v>2376</v>
      </c>
      <c r="N871" s="303" t="s">
        <v>1977</v>
      </c>
      <c r="O871" s="303" t="s">
        <v>1976</v>
      </c>
      <c r="P871" s="328">
        <v>43441</v>
      </c>
      <c r="Q871" s="303" t="s">
        <v>1952</v>
      </c>
      <c r="R871" s="303">
        <f t="shared" si="17"/>
        <v>0</v>
      </c>
      <c r="S871" s="303">
        <v>0</v>
      </c>
    </row>
    <row r="872" spans="1:19" x14ac:dyDescent="0.25">
      <c r="A872" s="303" t="s">
        <v>2375</v>
      </c>
      <c r="B872" s="303" t="s">
        <v>2374</v>
      </c>
      <c r="C872" s="328">
        <v>43441</v>
      </c>
      <c r="D872" s="303" t="s">
        <v>1965</v>
      </c>
      <c r="E872" s="303" t="s">
        <v>1964</v>
      </c>
      <c r="F872" s="303" t="s">
        <v>1989</v>
      </c>
      <c r="G872" s="303" t="s">
        <v>2036</v>
      </c>
      <c r="H872" s="303" t="s">
        <v>1956</v>
      </c>
      <c r="I872" s="304">
        <v>8689</v>
      </c>
      <c r="J872" s="303" t="s">
        <v>1671</v>
      </c>
      <c r="K872" s="303" t="s">
        <v>2036</v>
      </c>
      <c r="L872" s="303" t="s">
        <v>1956</v>
      </c>
      <c r="M872" s="303" t="s">
        <v>2373</v>
      </c>
      <c r="N872" s="303" t="s">
        <v>1977</v>
      </c>
      <c r="O872" s="303" t="s">
        <v>1976</v>
      </c>
      <c r="P872" s="328">
        <v>43441</v>
      </c>
      <c r="Q872" s="303" t="s">
        <v>1952</v>
      </c>
      <c r="R872" s="303">
        <f t="shared" si="17"/>
        <v>1</v>
      </c>
      <c r="S872" s="303">
        <v>0</v>
      </c>
    </row>
    <row r="873" spans="1:19" x14ac:dyDescent="0.25">
      <c r="A873" s="303" t="s">
        <v>2375</v>
      </c>
      <c r="B873" s="303" t="s">
        <v>2374</v>
      </c>
      <c r="C873" s="328">
        <v>43441</v>
      </c>
      <c r="D873" s="303" t="s">
        <v>1961</v>
      </c>
      <c r="E873" s="303" t="s">
        <v>1960</v>
      </c>
      <c r="F873" s="303" t="s">
        <v>1989</v>
      </c>
      <c r="G873" s="303" t="s">
        <v>2036</v>
      </c>
      <c r="H873" s="303" t="s">
        <v>1956</v>
      </c>
      <c r="I873" s="304">
        <v>-8689</v>
      </c>
      <c r="J873" s="303" t="s">
        <v>1671</v>
      </c>
      <c r="K873" s="303" t="s">
        <v>2036</v>
      </c>
      <c r="L873" s="303" t="s">
        <v>1956</v>
      </c>
      <c r="M873" s="303" t="s">
        <v>2373</v>
      </c>
      <c r="N873" s="303" t="s">
        <v>1977</v>
      </c>
      <c r="O873" s="303" t="s">
        <v>1976</v>
      </c>
      <c r="P873" s="328">
        <v>43441</v>
      </c>
      <c r="Q873" s="303" t="s">
        <v>1952</v>
      </c>
      <c r="R873" s="303">
        <f t="shared" si="17"/>
        <v>1</v>
      </c>
      <c r="S873" s="303">
        <v>0</v>
      </c>
    </row>
    <row r="874" spans="1:19" x14ac:dyDescent="0.25">
      <c r="A874" s="303" t="s">
        <v>2372</v>
      </c>
      <c r="B874" s="303" t="s">
        <v>2371</v>
      </c>
      <c r="C874" s="328">
        <v>43444</v>
      </c>
      <c r="D874" s="303" t="s">
        <v>1965</v>
      </c>
      <c r="E874" s="303" t="s">
        <v>1964</v>
      </c>
      <c r="F874" s="303" t="s">
        <v>1920</v>
      </c>
      <c r="G874" s="303" t="s">
        <v>1376</v>
      </c>
      <c r="H874" s="303" t="s">
        <v>1956</v>
      </c>
      <c r="I874" s="304">
        <v>10500</v>
      </c>
      <c r="J874" s="303" t="s">
        <v>1846</v>
      </c>
      <c r="K874" s="303" t="s">
        <v>1959</v>
      </c>
      <c r="L874" s="303" t="s">
        <v>1956</v>
      </c>
      <c r="M874" s="303" t="s">
        <v>2370</v>
      </c>
      <c r="N874" s="303" t="s">
        <v>1987</v>
      </c>
      <c r="O874" s="303" t="s">
        <v>1986</v>
      </c>
      <c r="P874" s="328">
        <v>43444</v>
      </c>
      <c r="Q874" s="303" t="s">
        <v>1952</v>
      </c>
      <c r="R874" s="303">
        <f t="shared" si="17"/>
        <v>1</v>
      </c>
      <c r="S874" s="303">
        <v>1</v>
      </c>
    </row>
    <row r="875" spans="1:19" x14ac:dyDescent="0.25">
      <c r="A875" s="303" t="s">
        <v>2372</v>
      </c>
      <c r="B875" s="303" t="s">
        <v>2371</v>
      </c>
      <c r="C875" s="328">
        <v>43444</v>
      </c>
      <c r="D875" s="303" t="s">
        <v>1961</v>
      </c>
      <c r="E875" s="303" t="s">
        <v>1960</v>
      </c>
      <c r="F875" s="303" t="s">
        <v>1920</v>
      </c>
      <c r="G875" s="303" t="s">
        <v>1376</v>
      </c>
      <c r="H875" s="303" t="s">
        <v>1956</v>
      </c>
      <c r="I875" s="304">
        <v>-10500</v>
      </c>
      <c r="J875" s="303" t="s">
        <v>1846</v>
      </c>
      <c r="K875" s="303" t="s">
        <v>1959</v>
      </c>
      <c r="L875" s="303" t="s">
        <v>1956</v>
      </c>
      <c r="M875" s="303" t="s">
        <v>2370</v>
      </c>
      <c r="N875" s="303" t="s">
        <v>1987</v>
      </c>
      <c r="O875" s="303" t="s">
        <v>1986</v>
      </c>
      <c r="P875" s="328">
        <v>43444</v>
      </c>
      <c r="Q875" s="303" t="s">
        <v>1952</v>
      </c>
      <c r="R875" s="303">
        <f t="shared" si="17"/>
        <v>1</v>
      </c>
      <c r="S875" s="303">
        <v>1</v>
      </c>
    </row>
    <row r="876" spans="1:19" x14ac:dyDescent="0.25">
      <c r="A876" s="303" t="s">
        <v>2369</v>
      </c>
      <c r="B876" s="303" t="s">
        <v>2368</v>
      </c>
      <c r="C876" s="328">
        <v>43444</v>
      </c>
      <c r="D876" s="303" t="s">
        <v>1965</v>
      </c>
      <c r="E876" s="303" t="s">
        <v>1964</v>
      </c>
      <c r="F876" s="303" t="s">
        <v>1967</v>
      </c>
      <c r="G876" s="303" t="s">
        <v>1957</v>
      </c>
      <c r="H876" s="303" t="s">
        <v>1956</v>
      </c>
      <c r="I876" s="304">
        <v>11493</v>
      </c>
      <c r="J876" s="303" t="s">
        <v>1609</v>
      </c>
      <c r="K876" s="303" t="s">
        <v>1609</v>
      </c>
      <c r="L876" s="303" t="s">
        <v>1609</v>
      </c>
      <c r="M876" s="303" t="s">
        <v>2365</v>
      </c>
      <c r="N876" s="303" t="s">
        <v>2364</v>
      </c>
      <c r="O876" s="303" t="s">
        <v>2363</v>
      </c>
      <c r="P876" s="328">
        <v>43444</v>
      </c>
      <c r="Q876" s="303" t="s">
        <v>1952</v>
      </c>
      <c r="R876" s="303">
        <f t="shared" si="17"/>
        <v>1</v>
      </c>
      <c r="S876" s="303">
        <v>0</v>
      </c>
    </row>
    <row r="877" spans="1:19" x14ac:dyDescent="0.25">
      <c r="A877" s="303" t="s">
        <v>2367</v>
      </c>
      <c r="B877" s="303" t="s">
        <v>2366</v>
      </c>
      <c r="C877" s="328">
        <v>43444</v>
      </c>
      <c r="D877" s="303" t="s">
        <v>1965</v>
      </c>
      <c r="E877" s="303" t="s">
        <v>1964</v>
      </c>
      <c r="F877" s="303" t="s">
        <v>1958</v>
      </c>
      <c r="G877" s="303" t="s">
        <v>1957</v>
      </c>
      <c r="H877" s="303" t="s">
        <v>1956</v>
      </c>
      <c r="I877" s="304">
        <v>2701</v>
      </c>
      <c r="J877" s="303" t="s">
        <v>1609</v>
      </c>
      <c r="K877" s="303" t="s">
        <v>1609</v>
      </c>
      <c r="L877" s="303" t="s">
        <v>1609</v>
      </c>
      <c r="M877" s="303" t="s">
        <v>2365</v>
      </c>
      <c r="N877" s="303" t="s">
        <v>2364</v>
      </c>
      <c r="O877" s="303" t="s">
        <v>2363</v>
      </c>
      <c r="P877" s="328">
        <v>43444</v>
      </c>
      <c r="Q877" s="303" t="s">
        <v>1952</v>
      </c>
      <c r="R877" s="303">
        <f t="shared" si="17"/>
        <v>1</v>
      </c>
      <c r="S877" s="303">
        <v>1</v>
      </c>
    </row>
    <row r="878" spans="1:19" x14ac:dyDescent="0.25">
      <c r="A878" s="303" t="s">
        <v>2362</v>
      </c>
      <c r="B878" s="303" t="s">
        <v>2361</v>
      </c>
      <c r="C878" s="328">
        <v>43444</v>
      </c>
      <c r="D878" s="303" t="s">
        <v>1965</v>
      </c>
      <c r="E878" s="303" t="s">
        <v>1964</v>
      </c>
      <c r="F878" s="303" t="s">
        <v>2014</v>
      </c>
      <c r="G878" s="303" t="s">
        <v>1403</v>
      </c>
      <c r="H878" s="303" t="s">
        <v>1956</v>
      </c>
      <c r="I878" s="304">
        <v>3993</v>
      </c>
      <c r="J878" s="303" t="s">
        <v>1958</v>
      </c>
      <c r="K878" s="303" t="s">
        <v>1957</v>
      </c>
      <c r="L878" s="303" t="s">
        <v>1956</v>
      </c>
      <c r="M878" s="303" t="s">
        <v>2276</v>
      </c>
      <c r="N878" s="303" t="s">
        <v>1987</v>
      </c>
      <c r="O878" s="303" t="s">
        <v>1986</v>
      </c>
      <c r="P878" s="328">
        <v>43444</v>
      </c>
      <c r="Q878" s="303" t="s">
        <v>1952</v>
      </c>
      <c r="R878" s="303">
        <f t="shared" si="17"/>
        <v>1</v>
      </c>
      <c r="S878" s="303">
        <v>0</v>
      </c>
    </row>
    <row r="879" spans="1:19" x14ac:dyDescent="0.25">
      <c r="A879" s="303" t="s">
        <v>2362</v>
      </c>
      <c r="B879" s="303" t="s">
        <v>2361</v>
      </c>
      <c r="C879" s="328">
        <v>43444</v>
      </c>
      <c r="D879" s="303" t="s">
        <v>1961</v>
      </c>
      <c r="E879" s="303" t="s">
        <v>1960</v>
      </c>
      <c r="F879" s="303" t="s">
        <v>2014</v>
      </c>
      <c r="G879" s="303" t="s">
        <v>1403</v>
      </c>
      <c r="H879" s="303" t="s">
        <v>1956</v>
      </c>
      <c r="I879" s="304">
        <v>-3993</v>
      </c>
      <c r="J879" s="303" t="s">
        <v>1958</v>
      </c>
      <c r="K879" s="303" t="s">
        <v>1957</v>
      </c>
      <c r="L879" s="303" t="s">
        <v>1956</v>
      </c>
      <c r="M879" s="303" t="s">
        <v>2276</v>
      </c>
      <c r="N879" s="303" t="s">
        <v>1987</v>
      </c>
      <c r="O879" s="303" t="s">
        <v>1986</v>
      </c>
      <c r="P879" s="328">
        <v>43444</v>
      </c>
      <c r="Q879" s="303" t="s">
        <v>1952</v>
      </c>
      <c r="R879" s="303">
        <f t="shared" si="17"/>
        <v>1</v>
      </c>
      <c r="S879" s="303">
        <v>0</v>
      </c>
    </row>
    <row r="880" spans="1:19" x14ac:dyDescent="0.25">
      <c r="A880" s="303" t="s">
        <v>2360</v>
      </c>
      <c r="B880" s="303" t="s">
        <v>2359</v>
      </c>
      <c r="C880" s="328">
        <v>43444</v>
      </c>
      <c r="D880" s="303" t="s">
        <v>1965</v>
      </c>
      <c r="E880" s="303" t="s">
        <v>1964</v>
      </c>
      <c r="F880" s="303" t="s">
        <v>2014</v>
      </c>
      <c r="G880" s="303" t="s">
        <v>1403</v>
      </c>
      <c r="H880" s="303" t="s">
        <v>1956</v>
      </c>
      <c r="I880" s="304">
        <v>16992</v>
      </c>
      <c r="J880" s="303" t="s">
        <v>1967</v>
      </c>
      <c r="K880" s="303" t="s">
        <v>1403</v>
      </c>
      <c r="L880" s="303" t="s">
        <v>1956</v>
      </c>
      <c r="M880" s="303" t="s">
        <v>2273</v>
      </c>
      <c r="N880" s="303" t="s">
        <v>1987</v>
      </c>
      <c r="O880" s="303" t="s">
        <v>1986</v>
      </c>
      <c r="P880" s="328">
        <v>43444</v>
      </c>
      <c r="Q880" s="303" t="s">
        <v>1952</v>
      </c>
      <c r="R880" s="303">
        <f t="shared" si="17"/>
        <v>1</v>
      </c>
      <c r="S880" s="303">
        <v>0</v>
      </c>
    </row>
    <row r="881" spans="1:19" x14ac:dyDescent="0.25">
      <c r="A881" s="303" t="s">
        <v>2360</v>
      </c>
      <c r="B881" s="303" t="s">
        <v>2359</v>
      </c>
      <c r="C881" s="328">
        <v>43444</v>
      </c>
      <c r="D881" s="303" t="s">
        <v>1961</v>
      </c>
      <c r="E881" s="303" t="s">
        <v>1960</v>
      </c>
      <c r="F881" s="303" t="s">
        <v>2014</v>
      </c>
      <c r="G881" s="303" t="s">
        <v>1403</v>
      </c>
      <c r="H881" s="303" t="s">
        <v>1956</v>
      </c>
      <c r="I881" s="304">
        <v>-16992</v>
      </c>
      <c r="J881" s="303" t="s">
        <v>1967</v>
      </c>
      <c r="K881" s="303" t="s">
        <v>1403</v>
      </c>
      <c r="L881" s="303" t="s">
        <v>1956</v>
      </c>
      <c r="M881" s="303" t="s">
        <v>2273</v>
      </c>
      <c r="N881" s="303" t="s">
        <v>1987</v>
      </c>
      <c r="O881" s="303" t="s">
        <v>1986</v>
      </c>
      <c r="P881" s="328">
        <v>43444</v>
      </c>
      <c r="Q881" s="303" t="s">
        <v>1952</v>
      </c>
      <c r="R881" s="303">
        <f t="shared" si="17"/>
        <v>1</v>
      </c>
      <c r="S881" s="303">
        <v>0</v>
      </c>
    </row>
    <row r="882" spans="1:19" x14ac:dyDescent="0.25">
      <c r="A882" s="303" t="s">
        <v>2358</v>
      </c>
      <c r="B882" s="303" t="s">
        <v>2357</v>
      </c>
      <c r="C882" s="328">
        <v>43444</v>
      </c>
      <c r="D882" s="303" t="s">
        <v>1965</v>
      </c>
      <c r="E882" s="303" t="s">
        <v>1964</v>
      </c>
      <c r="F882" s="303" t="s">
        <v>1967</v>
      </c>
      <c r="G882" s="303" t="s">
        <v>1421</v>
      </c>
      <c r="H882" s="303" t="s">
        <v>1956</v>
      </c>
      <c r="I882" s="304">
        <v>11424</v>
      </c>
      <c r="J882" s="303" t="s">
        <v>1967</v>
      </c>
      <c r="K882" s="303" t="s">
        <v>2134</v>
      </c>
      <c r="L882" s="303" t="s">
        <v>1956</v>
      </c>
      <c r="M882" s="303" t="s">
        <v>2356</v>
      </c>
      <c r="N882" s="303" t="s">
        <v>1987</v>
      </c>
      <c r="O882" s="303" t="s">
        <v>1986</v>
      </c>
      <c r="P882" s="328">
        <v>43444</v>
      </c>
      <c r="Q882" s="303" t="s">
        <v>1952</v>
      </c>
      <c r="R882" s="303">
        <f t="shared" si="17"/>
        <v>0</v>
      </c>
      <c r="S882" s="303">
        <v>0</v>
      </c>
    </row>
    <row r="883" spans="1:19" x14ac:dyDescent="0.25">
      <c r="A883" s="303" t="s">
        <v>2358</v>
      </c>
      <c r="B883" s="303" t="s">
        <v>2357</v>
      </c>
      <c r="C883" s="328">
        <v>43444</v>
      </c>
      <c r="D883" s="303" t="s">
        <v>1961</v>
      </c>
      <c r="E883" s="303" t="s">
        <v>1960</v>
      </c>
      <c r="F883" s="303" t="s">
        <v>1967</v>
      </c>
      <c r="G883" s="303" t="s">
        <v>1421</v>
      </c>
      <c r="H883" s="303" t="s">
        <v>1956</v>
      </c>
      <c r="I883" s="304">
        <v>-11424</v>
      </c>
      <c r="J883" s="303" t="s">
        <v>1967</v>
      </c>
      <c r="K883" s="303" t="s">
        <v>2134</v>
      </c>
      <c r="L883" s="303" t="s">
        <v>1956</v>
      </c>
      <c r="M883" s="303" t="s">
        <v>2356</v>
      </c>
      <c r="N883" s="303" t="s">
        <v>1987</v>
      </c>
      <c r="O883" s="303" t="s">
        <v>1986</v>
      </c>
      <c r="P883" s="328">
        <v>43444</v>
      </c>
      <c r="Q883" s="303" t="s">
        <v>1952</v>
      </c>
      <c r="R883" s="303">
        <f t="shared" si="17"/>
        <v>0</v>
      </c>
      <c r="S883" s="303">
        <v>0</v>
      </c>
    </row>
    <row r="884" spans="1:19" x14ac:dyDescent="0.25">
      <c r="A884" s="303" t="s">
        <v>2355</v>
      </c>
      <c r="B884" s="303" t="s">
        <v>2354</v>
      </c>
      <c r="C884" s="328">
        <v>43444</v>
      </c>
      <c r="D884" s="303" t="s">
        <v>1965</v>
      </c>
      <c r="E884" s="303" t="s">
        <v>1964</v>
      </c>
      <c r="F884" s="303" t="s">
        <v>1967</v>
      </c>
      <c r="G884" s="303" t="s">
        <v>2353</v>
      </c>
      <c r="H884" s="303" t="s">
        <v>1956</v>
      </c>
      <c r="I884" s="304">
        <v>12850</v>
      </c>
      <c r="J884" s="303" t="s">
        <v>1967</v>
      </c>
      <c r="K884" s="303" t="s">
        <v>2134</v>
      </c>
      <c r="L884" s="303" t="s">
        <v>1956</v>
      </c>
      <c r="M884" s="303" t="s">
        <v>2352</v>
      </c>
      <c r="N884" s="303" t="s">
        <v>1987</v>
      </c>
      <c r="O884" s="303" t="s">
        <v>1986</v>
      </c>
      <c r="P884" s="328">
        <v>43444</v>
      </c>
      <c r="Q884" s="303" t="s">
        <v>1952</v>
      </c>
      <c r="R884" s="303">
        <f t="shared" si="17"/>
        <v>0</v>
      </c>
      <c r="S884" s="303">
        <v>0</v>
      </c>
    </row>
    <row r="885" spans="1:19" x14ac:dyDescent="0.25">
      <c r="A885" s="303" t="s">
        <v>2355</v>
      </c>
      <c r="B885" s="303" t="s">
        <v>2354</v>
      </c>
      <c r="C885" s="328">
        <v>43444</v>
      </c>
      <c r="D885" s="303" t="s">
        <v>1961</v>
      </c>
      <c r="E885" s="303" t="s">
        <v>1960</v>
      </c>
      <c r="F885" s="303" t="s">
        <v>1967</v>
      </c>
      <c r="G885" s="303" t="s">
        <v>2353</v>
      </c>
      <c r="H885" s="303" t="s">
        <v>1956</v>
      </c>
      <c r="I885" s="304">
        <v>-12850</v>
      </c>
      <c r="J885" s="303" t="s">
        <v>1967</v>
      </c>
      <c r="K885" s="303" t="s">
        <v>2134</v>
      </c>
      <c r="L885" s="303" t="s">
        <v>1956</v>
      </c>
      <c r="M885" s="303" t="s">
        <v>2352</v>
      </c>
      <c r="N885" s="303" t="s">
        <v>1987</v>
      </c>
      <c r="O885" s="303" t="s">
        <v>1986</v>
      </c>
      <c r="P885" s="328">
        <v>43444</v>
      </c>
      <c r="Q885" s="303" t="s">
        <v>1952</v>
      </c>
      <c r="R885" s="303">
        <f t="shared" si="17"/>
        <v>0</v>
      </c>
      <c r="S885" s="303">
        <v>0</v>
      </c>
    </row>
    <row r="886" spans="1:19" x14ac:dyDescent="0.25">
      <c r="A886" s="303" t="s">
        <v>2351</v>
      </c>
      <c r="B886" s="303" t="s">
        <v>2350</v>
      </c>
      <c r="C886" s="328">
        <v>43444</v>
      </c>
      <c r="D886" s="303" t="s">
        <v>1965</v>
      </c>
      <c r="E886" s="303" t="s">
        <v>1964</v>
      </c>
      <c r="F886" s="303" t="s">
        <v>1967</v>
      </c>
      <c r="G886" s="303" t="s">
        <v>2172</v>
      </c>
      <c r="H886" s="303" t="s">
        <v>1956</v>
      </c>
      <c r="I886" s="304">
        <v>17133</v>
      </c>
      <c r="J886" s="303" t="s">
        <v>1967</v>
      </c>
      <c r="K886" s="303" t="s">
        <v>1959</v>
      </c>
      <c r="L886" s="303" t="s">
        <v>1956</v>
      </c>
      <c r="M886" s="303" t="s">
        <v>2349</v>
      </c>
      <c r="N886" s="303" t="s">
        <v>1987</v>
      </c>
      <c r="O886" s="303" t="s">
        <v>1986</v>
      </c>
      <c r="P886" s="328">
        <v>43444</v>
      </c>
      <c r="Q886" s="303" t="s">
        <v>1952</v>
      </c>
      <c r="R886" s="303">
        <f t="shared" si="17"/>
        <v>1</v>
      </c>
      <c r="S886" s="303">
        <v>0</v>
      </c>
    </row>
    <row r="887" spans="1:19" x14ac:dyDescent="0.25">
      <c r="A887" s="303" t="s">
        <v>2351</v>
      </c>
      <c r="B887" s="303" t="s">
        <v>2350</v>
      </c>
      <c r="C887" s="328">
        <v>43444</v>
      </c>
      <c r="D887" s="303" t="s">
        <v>1961</v>
      </c>
      <c r="E887" s="303" t="s">
        <v>1960</v>
      </c>
      <c r="F887" s="303" t="s">
        <v>1967</v>
      </c>
      <c r="G887" s="303" t="s">
        <v>2172</v>
      </c>
      <c r="H887" s="303" t="s">
        <v>1956</v>
      </c>
      <c r="I887" s="304">
        <v>-17133</v>
      </c>
      <c r="J887" s="303" t="s">
        <v>1967</v>
      </c>
      <c r="K887" s="303" t="s">
        <v>1959</v>
      </c>
      <c r="L887" s="303" t="s">
        <v>1956</v>
      </c>
      <c r="M887" s="303" t="s">
        <v>2349</v>
      </c>
      <c r="N887" s="303" t="s">
        <v>1987</v>
      </c>
      <c r="O887" s="303" t="s">
        <v>1986</v>
      </c>
      <c r="P887" s="328">
        <v>43444</v>
      </c>
      <c r="Q887" s="303" t="s">
        <v>1952</v>
      </c>
      <c r="R887" s="303">
        <f t="shared" si="17"/>
        <v>1</v>
      </c>
      <c r="S887" s="303">
        <v>0</v>
      </c>
    </row>
    <row r="888" spans="1:19" x14ac:dyDescent="0.25">
      <c r="A888" s="303" t="s">
        <v>2348</v>
      </c>
      <c r="B888" s="303" t="s">
        <v>2347</v>
      </c>
      <c r="C888" s="328">
        <v>43444</v>
      </c>
      <c r="D888" s="303" t="s">
        <v>1965</v>
      </c>
      <c r="E888" s="303" t="s">
        <v>1964</v>
      </c>
      <c r="F888" s="303" t="s">
        <v>1967</v>
      </c>
      <c r="G888" s="303" t="s">
        <v>1957</v>
      </c>
      <c r="H888" s="303" t="s">
        <v>1956</v>
      </c>
      <c r="I888" s="304">
        <v>4941</v>
      </c>
      <c r="J888" s="303" t="s">
        <v>1967</v>
      </c>
      <c r="K888" s="303" t="s">
        <v>1959</v>
      </c>
      <c r="L888" s="303" t="s">
        <v>1956</v>
      </c>
      <c r="M888" s="303" t="s">
        <v>2346</v>
      </c>
      <c r="N888" s="303" t="s">
        <v>1987</v>
      </c>
      <c r="O888" s="303" t="s">
        <v>1986</v>
      </c>
      <c r="P888" s="328">
        <v>43444</v>
      </c>
      <c r="Q888" s="303" t="s">
        <v>1952</v>
      </c>
      <c r="R888" s="303">
        <f t="shared" si="17"/>
        <v>1</v>
      </c>
      <c r="S888" s="303">
        <v>0</v>
      </c>
    </row>
    <row r="889" spans="1:19" x14ac:dyDescent="0.25">
      <c r="A889" s="303" t="s">
        <v>2348</v>
      </c>
      <c r="B889" s="303" t="s">
        <v>2347</v>
      </c>
      <c r="C889" s="328">
        <v>43444</v>
      </c>
      <c r="D889" s="303" t="s">
        <v>1961</v>
      </c>
      <c r="E889" s="303" t="s">
        <v>1960</v>
      </c>
      <c r="F889" s="303" t="s">
        <v>1967</v>
      </c>
      <c r="G889" s="303" t="s">
        <v>1957</v>
      </c>
      <c r="H889" s="303" t="s">
        <v>1956</v>
      </c>
      <c r="I889" s="304">
        <v>-4941</v>
      </c>
      <c r="J889" s="303" t="s">
        <v>1967</v>
      </c>
      <c r="K889" s="303" t="s">
        <v>1959</v>
      </c>
      <c r="L889" s="303" t="s">
        <v>1956</v>
      </c>
      <c r="M889" s="303" t="s">
        <v>2346</v>
      </c>
      <c r="N889" s="303" t="s">
        <v>1987</v>
      </c>
      <c r="O889" s="303" t="s">
        <v>1986</v>
      </c>
      <c r="P889" s="328">
        <v>43444</v>
      </c>
      <c r="Q889" s="303" t="s">
        <v>1952</v>
      </c>
      <c r="R889" s="303">
        <f t="shared" si="17"/>
        <v>1</v>
      </c>
      <c r="S889" s="303">
        <v>0</v>
      </c>
    </row>
    <row r="890" spans="1:19" x14ac:dyDescent="0.25">
      <c r="A890" s="303" t="s">
        <v>2345</v>
      </c>
      <c r="B890" s="303" t="s">
        <v>2344</v>
      </c>
      <c r="C890" s="328">
        <v>43444</v>
      </c>
      <c r="D890" s="303" t="s">
        <v>1965</v>
      </c>
      <c r="E890" s="303" t="s">
        <v>1964</v>
      </c>
      <c r="F890" s="303" t="s">
        <v>1967</v>
      </c>
      <c r="G890" s="303" t="s">
        <v>1957</v>
      </c>
      <c r="H890" s="303" t="s">
        <v>1956</v>
      </c>
      <c r="I890" s="304">
        <v>12903</v>
      </c>
      <c r="J890" s="303" t="s">
        <v>1967</v>
      </c>
      <c r="K890" s="303" t="s">
        <v>1959</v>
      </c>
      <c r="L890" s="303" t="s">
        <v>1956</v>
      </c>
      <c r="M890" s="303" t="s">
        <v>2343</v>
      </c>
      <c r="N890" s="303" t="s">
        <v>1987</v>
      </c>
      <c r="O890" s="303" t="s">
        <v>1986</v>
      </c>
      <c r="P890" s="328">
        <v>43444</v>
      </c>
      <c r="Q890" s="303" t="s">
        <v>1952</v>
      </c>
      <c r="R890" s="303">
        <f t="shared" si="17"/>
        <v>1</v>
      </c>
      <c r="S890" s="303">
        <v>0</v>
      </c>
    </row>
    <row r="891" spans="1:19" x14ac:dyDescent="0.25">
      <c r="A891" s="303" t="s">
        <v>2345</v>
      </c>
      <c r="B891" s="303" t="s">
        <v>2344</v>
      </c>
      <c r="C891" s="328">
        <v>43444</v>
      </c>
      <c r="D891" s="303" t="s">
        <v>1961</v>
      </c>
      <c r="E891" s="303" t="s">
        <v>1960</v>
      </c>
      <c r="F891" s="303" t="s">
        <v>1967</v>
      </c>
      <c r="G891" s="303" t="s">
        <v>1957</v>
      </c>
      <c r="H891" s="303" t="s">
        <v>1956</v>
      </c>
      <c r="I891" s="304">
        <v>-12903</v>
      </c>
      <c r="J891" s="303" t="s">
        <v>1967</v>
      </c>
      <c r="K891" s="303" t="s">
        <v>1959</v>
      </c>
      <c r="L891" s="303" t="s">
        <v>1956</v>
      </c>
      <c r="M891" s="303" t="s">
        <v>2343</v>
      </c>
      <c r="N891" s="303" t="s">
        <v>1987</v>
      </c>
      <c r="O891" s="303" t="s">
        <v>1986</v>
      </c>
      <c r="P891" s="328">
        <v>43444</v>
      </c>
      <c r="Q891" s="303" t="s">
        <v>1952</v>
      </c>
      <c r="R891" s="303">
        <f t="shared" si="17"/>
        <v>1</v>
      </c>
      <c r="S891" s="303">
        <v>0</v>
      </c>
    </row>
    <row r="892" spans="1:19" x14ac:dyDescent="0.25">
      <c r="A892" s="303" t="s">
        <v>2342</v>
      </c>
      <c r="B892" s="303" t="s">
        <v>2341</v>
      </c>
      <c r="C892" s="328">
        <v>43444</v>
      </c>
      <c r="D892" s="303" t="s">
        <v>1965</v>
      </c>
      <c r="E892" s="303" t="s">
        <v>1964</v>
      </c>
      <c r="F892" s="303" t="s">
        <v>1967</v>
      </c>
      <c r="G892" s="303" t="s">
        <v>2165</v>
      </c>
      <c r="H892" s="303" t="s">
        <v>1956</v>
      </c>
      <c r="I892" s="304">
        <v>4060</v>
      </c>
      <c r="J892" s="303" t="s">
        <v>1967</v>
      </c>
      <c r="K892" s="303" t="s">
        <v>2134</v>
      </c>
      <c r="L892" s="303" t="s">
        <v>1956</v>
      </c>
      <c r="M892" s="303" t="s">
        <v>2340</v>
      </c>
      <c r="N892" s="303" t="s">
        <v>1987</v>
      </c>
      <c r="O892" s="303" t="s">
        <v>1986</v>
      </c>
      <c r="P892" s="328">
        <v>43444</v>
      </c>
      <c r="Q892" s="303" t="s">
        <v>1952</v>
      </c>
      <c r="R892" s="303">
        <f t="shared" si="17"/>
        <v>0</v>
      </c>
      <c r="S892" s="303">
        <v>0</v>
      </c>
    </row>
    <row r="893" spans="1:19" x14ac:dyDescent="0.25">
      <c r="A893" s="303" t="s">
        <v>2342</v>
      </c>
      <c r="B893" s="303" t="s">
        <v>2341</v>
      </c>
      <c r="C893" s="328">
        <v>43444</v>
      </c>
      <c r="D893" s="303" t="s">
        <v>1961</v>
      </c>
      <c r="E893" s="303" t="s">
        <v>1960</v>
      </c>
      <c r="F893" s="303" t="s">
        <v>1967</v>
      </c>
      <c r="G893" s="303" t="s">
        <v>2165</v>
      </c>
      <c r="H893" s="303" t="s">
        <v>1956</v>
      </c>
      <c r="I893" s="304">
        <v>-4060</v>
      </c>
      <c r="J893" s="303" t="s">
        <v>1967</v>
      </c>
      <c r="K893" s="303" t="s">
        <v>2134</v>
      </c>
      <c r="L893" s="303" t="s">
        <v>1956</v>
      </c>
      <c r="M893" s="303" t="s">
        <v>2340</v>
      </c>
      <c r="N893" s="303" t="s">
        <v>1987</v>
      </c>
      <c r="O893" s="303" t="s">
        <v>1986</v>
      </c>
      <c r="P893" s="328">
        <v>43444</v>
      </c>
      <c r="Q893" s="303" t="s">
        <v>1952</v>
      </c>
      <c r="R893" s="303">
        <f t="shared" si="17"/>
        <v>0</v>
      </c>
      <c r="S893" s="303">
        <v>0</v>
      </c>
    </row>
    <row r="894" spans="1:19" x14ac:dyDescent="0.25">
      <c r="A894" s="303" t="s">
        <v>2339</v>
      </c>
      <c r="B894" s="303" t="s">
        <v>2338</v>
      </c>
      <c r="C894" s="328">
        <v>43444</v>
      </c>
      <c r="D894" s="303" t="s">
        <v>1965</v>
      </c>
      <c r="E894" s="303" t="s">
        <v>1964</v>
      </c>
      <c r="F894" s="303" t="s">
        <v>1967</v>
      </c>
      <c r="G894" s="303" t="s">
        <v>2165</v>
      </c>
      <c r="H894" s="303" t="s">
        <v>1956</v>
      </c>
      <c r="I894" s="304">
        <v>6561</v>
      </c>
      <c r="J894" s="303" t="s">
        <v>1967</v>
      </c>
      <c r="K894" s="303" t="s">
        <v>2134</v>
      </c>
      <c r="L894" s="303" t="s">
        <v>1956</v>
      </c>
      <c r="M894" s="303" t="s">
        <v>2337</v>
      </c>
      <c r="N894" s="303" t="s">
        <v>1987</v>
      </c>
      <c r="O894" s="303" t="s">
        <v>1986</v>
      </c>
      <c r="P894" s="328">
        <v>43444</v>
      </c>
      <c r="Q894" s="303" t="s">
        <v>1952</v>
      </c>
      <c r="R894" s="303">
        <f t="shared" si="17"/>
        <v>0</v>
      </c>
      <c r="S894" s="303">
        <v>0</v>
      </c>
    </row>
    <row r="895" spans="1:19" x14ac:dyDescent="0.25">
      <c r="A895" s="303" t="s">
        <v>2339</v>
      </c>
      <c r="B895" s="303" t="s">
        <v>2338</v>
      </c>
      <c r="C895" s="328">
        <v>43444</v>
      </c>
      <c r="D895" s="303" t="s">
        <v>1961</v>
      </c>
      <c r="E895" s="303" t="s">
        <v>1960</v>
      </c>
      <c r="F895" s="303" t="s">
        <v>1967</v>
      </c>
      <c r="G895" s="303" t="s">
        <v>2165</v>
      </c>
      <c r="H895" s="303" t="s">
        <v>1956</v>
      </c>
      <c r="I895" s="304">
        <v>-6561</v>
      </c>
      <c r="J895" s="303" t="s">
        <v>1967</v>
      </c>
      <c r="K895" s="303" t="s">
        <v>2134</v>
      </c>
      <c r="L895" s="303" t="s">
        <v>1956</v>
      </c>
      <c r="M895" s="303" t="s">
        <v>2337</v>
      </c>
      <c r="N895" s="303" t="s">
        <v>1987</v>
      </c>
      <c r="O895" s="303" t="s">
        <v>1986</v>
      </c>
      <c r="P895" s="328">
        <v>43444</v>
      </c>
      <c r="Q895" s="303" t="s">
        <v>1952</v>
      </c>
      <c r="R895" s="303">
        <f t="shared" si="17"/>
        <v>0</v>
      </c>
      <c r="S895" s="303">
        <v>0</v>
      </c>
    </row>
    <row r="896" spans="1:19" x14ac:dyDescent="0.25">
      <c r="A896" s="303" t="s">
        <v>2336</v>
      </c>
      <c r="B896" s="303" t="s">
        <v>2335</v>
      </c>
      <c r="C896" s="328">
        <v>43444</v>
      </c>
      <c r="D896" s="303" t="s">
        <v>1965</v>
      </c>
      <c r="E896" s="303" t="s">
        <v>1964</v>
      </c>
      <c r="F896" s="303" t="s">
        <v>1967</v>
      </c>
      <c r="G896" s="303" t="s">
        <v>1957</v>
      </c>
      <c r="H896" s="303" t="s">
        <v>1956</v>
      </c>
      <c r="I896" s="304">
        <v>6336</v>
      </c>
      <c r="J896" s="303" t="s">
        <v>1967</v>
      </c>
      <c r="K896" s="303" t="s">
        <v>2134</v>
      </c>
      <c r="L896" s="303" t="s">
        <v>1956</v>
      </c>
      <c r="M896" s="303" t="s">
        <v>2334</v>
      </c>
      <c r="N896" s="303" t="s">
        <v>1987</v>
      </c>
      <c r="O896" s="303" t="s">
        <v>1986</v>
      </c>
      <c r="P896" s="328">
        <v>43444</v>
      </c>
      <c r="Q896" s="303" t="s">
        <v>1952</v>
      </c>
      <c r="R896" s="303">
        <f t="shared" si="17"/>
        <v>0</v>
      </c>
      <c r="S896" s="303">
        <v>0</v>
      </c>
    </row>
    <row r="897" spans="1:19" x14ac:dyDescent="0.25">
      <c r="A897" s="303" t="s">
        <v>2336</v>
      </c>
      <c r="B897" s="303" t="s">
        <v>2335</v>
      </c>
      <c r="C897" s="328">
        <v>43444</v>
      </c>
      <c r="D897" s="303" t="s">
        <v>1961</v>
      </c>
      <c r="E897" s="303" t="s">
        <v>1960</v>
      </c>
      <c r="F897" s="303" t="s">
        <v>1967</v>
      </c>
      <c r="G897" s="303" t="s">
        <v>1957</v>
      </c>
      <c r="H897" s="303" t="s">
        <v>1956</v>
      </c>
      <c r="I897" s="304">
        <v>-6336</v>
      </c>
      <c r="J897" s="303" t="s">
        <v>1967</v>
      </c>
      <c r="K897" s="303" t="s">
        <v>2134</v>
      </c>
      <c r="L897" s="303" t="s">
        <v>1956</v>
      </c>
      <c r="M897" s="303" t="s">
        <v>2334</v>
      </c>
      <c r="N897" s="303" t="s">
        <v>1987</v>
      </c>
      <c r="O897" s="303" t="s">
        <v>1986</v>
      </c>
      <c r="P897" s="328">
        <v>43444</v>
      </c>
      <c r="Q897" s="303" t="s">
        <v>1952</v>
      </c>
      <c r="R897" s="303">
        <f t="shared" si="17"/>
        <v>0</v>
      </c>
      <c r="S897" s="303">
        <v>0</v>
      </c>
    </row>
    <row r="898" spans="1:19" x14ac:dyDescent="0.25">
      <c r="A898" s="303" t="s">
        <v>2333</v>
      </c>
      <c r="B898" s="303" t="s">
        <v>2332</v>
      </c>
      <c r="C898" s="328">
        <v>43444</v>
      </c>
      <c r="D898" s="303" t="s">
        <v>1965</v>
      </c>
      <c r="E898" s="303" t="s">
        <v>1964</v>
      </c>
      <c r="F898" s="303" t="s">
        <v>1967</v>
      </c>
      <c r="G898" s="303" t="s">
        <v>2331</v>
      </c>
      <c r="H898" s="303" t="s">
        <v>1956</v>
      </c>
      <c r="I898" s="304">
        <v>13694</v>
      </c>
      <c r="J898" s="303" t="s">
        <v>1967</v>
      </c>
      <c r="K898" s="303" t="s">
        <v>2134</v>
      </c>
      <c r="L898" s="303" t="s">
        <v>1956</v>
      </c>
      <c r="M898" s="303" t="s">
        <v>2330</v>
      </c>
      <c r="N898" s="303" t="s">
        <v>1987</v>
      </c>
      <c r="O898" s="303" t="s">
        <v>1986</v>
      </c>
      <c r="P898" s="328">
        <v>43444</v>
      </c>
      <c r="Q898" s="303" t="s">
        <v>1952</v>
      </c>
      <c r="R898" s="303">
        <f t="shared" si="17"/>
        <v>0</v>
      </c>
      <c r="S898" s="303">
        <v>0</v>
      </c>
    </row>
    <row r="899" spans="1:19" x14ac:dyDescent="0.25">
      <c r="A899" s="303" t="s">
        <v>2333</v>
      </c>
      <c r="B899" s="303" t="s">
        <v>2332</v>
      </c>
      <c r="C899" s="328">
        <v>43444</v>
      </c>
      <c r="D899" s="303" t="s">
        <v>1961</v>
      </c>
      <c r="E899" s="303" t="s">
        <v>1960</v>
      </c>
      <c r="F899" s="303" t="s">
        <v>1967</v>
      </c>
      <c r="G899" s="303" t="s">
        <v>2331</v>
      </c>
      <c r="H899" s="303" t="s">
        <v>1956</v>
      </c>
      <c r="I899" s="304">
        <v>-13694</v>
      </c>
      <c r="J899" s="303" t="s">
        <v>1967</v>
      </c>
      <c r="K899" s="303" t="s">
        <v>2134</v>
      </c>
      <c r="L899" s="303" t="s">
        <v>1956</v>
      </c>
      <c r="M899" s="303" t="s">
        <v>2330</v>
      </c>
      <c r="N899" s="303" t="s">
        <v>1987</v>
      </c>
      <c r="O899" s="303" t="s">
        <v>1986</v>
      </c>
      <c r="P899" s="328">
        <v>43444</v>
      </c>
      <c r="Q899" s="303" t="s">
        <v>1952</v>
      </c>
      <c r="R899" s="303">
        <f t="shared" ref="R899:R962" si="18">IF(OR(M899="transfert de B vers A",M899="transfert de B vers D",M899="transfert de A vers B",M899="transfert de D vers B",M899="carryover 2017 -&gt; 2018",IF(ISERR(SEARCH("fidélité",M899)),FALSE,TRUE),M899="Fermeture STI-FORM",M899="répartition AE/AC"),0,1)</f>
        <v>0</v>
      </c>
      <c r="S899" s="303">
        <v>0</v>
      </c>
    </row>
    <row r="900" spans="1:19" x14ac:dyDescent="0.25">
      <c r="A900" s="303" t="s">
        <v>2329</v>
      </c>
      <c r="B900" s="303" t="s">
        <v>2328</v>
      </c>
      <c r="C900" s="328">
        <v>43444</v>
      </c>
      <c r="D900" s="303" t="s">
        <v>1965</v>
      </c>
      <c r="E900" s="303" t="s">
        <v>1964</v>
      </c>
      <c r="F900" s="303" t="s">
        <v>1967</v>
      </c>
      <c r="G900" s="303" t="s">
        <v>2154</v>
      </c>
      <c r="H900" s="303" t="s">
        <v>1956</v>
      </c>
      <c r="I900" s="304">
        <v>642</v>
      </c>
      <c r="J900" s="303" t="s">
        <v>1967</v>
      </c>
      <c r="K900" s="303" t="s">
        <v>2134</v>
      </c>
      <c r="L900" s="303" t="s">
        <v>1956</v>
      </c>
      <c r="M900" s="303" t="s">
        <v>2325</v>
      </c>
      <c r="N900" s="303" t="s">
        <v>1987</v>
      </c>
      <c r="O900" s="303" t="s">
        <v>1986</v>
      </c>
      <c r="P900" s="328">
        <v>43444</v>
      </c>
      <c r="Q900" s="303" t="s">
        <v>1952</v>
      </c>
      <c r="R900" s="303">
        <f t="shared" si="18"/>
        <v>0</v>
      </c>
      <c r="S900" s="303">
        <v>0</v>
      </c>
    </row>
    <row r="901" spans="1:19" x14ac:dyDescent="0.25">
      <c r="A901" s="303" t="s">
        <v>2329</v>
      </c>
      <c r="B901" s="303" t="s">
        <v>2328</v>
      </c>
      <c r="C901" s="328">
        <v>43444</v>
      </c>
      <c r="D901" s="303" t="s">
        <v>1961</v>
      </c>
      <c r="E901" s="303" t="s">
        <v>1960</v>
      </c>
      <c r="F901" s="303" t="s">
        <v>1967</v>
      </c>
      <c r="G901" s="303" t="s">
        <v>2154</v>
      </c>
      <c r="H901" s="303" t="s">
        <v>1956</v>
      </c>
      <c r="I901" s="304">
        <v>-642</v>
      </c>
      <c r="J901" s="303" t="s">
        <v>1967</v>
      </c>
      <c r="K901" s="303" t="s">
        <v>2134</v>
      </c>
      <c r="L901" s="303" t="s">
        <v>1956</v>
      </c>
      <c r="M901" s="303" t="s">
        <v>2325</v>
      </c>
      <c r="N901" s="303" t="s">
        <v>1987</v>
      </c>
      <c r="O901" s="303" t="s">
        <v>1986</v>
      </c>
      <c r="P901" s="328">
        <v>43444</v>
      </c>
      <c r="Q901" s="303" t="s">
        <v>1952</v>
      </c>
      <c r="R901" s="303">
        <f t="shared" si="18"/>
        <v>0</v>
      </c>
      <c r="S901" s="303">
        <v>0</v>
      </c>
    </row>
    <row r="902" spans="1:19" x14ac:dyDescent="0.25">
      <c r="A902" s="303" t="s">
        <v>2327</v>
      </c>
      <c r="B902" s="303" t="s">
        <v>2326</v>
      </c>
      <c r="C902" s="328">
        <v>43444</v>
      </c>
      <c r="D902" s="303" t="s">
        <v>1965</v>
      </c>
      <c r="E902" s="303" t="s">
        <v>1964</v>
      </c>
      <c r="F902" s="303" t="s">
        <v>1967</v>
      </c>
      <c r="G902" s="303" t="s">
        <v>2123</v>
      </c>
      <c r="H902" s="303" t="s">
        <v>1956</v>
      </c>
      <c r="I902" s="304">
        <v>2353</v>
      </c>
      <c r="J902" s="303" t="s">
        <v>1967</v>
      </c>
      <c r="K902" s="303" t="s">
        <v>2134</v>
      </c>
      <c r="L902" s="303" t="s">
        <v>1956</v>
      </c>
      <c r="M902" s="303" t="s">
        <v>2325</v>
      </c>
      <c r="N902" s="303" t="s">
        <v>1987</v>
      </c>
      <c r="O902" s="303" t="s">
        <v>1986</v>
      </c>
      <c r="P902" s="328">
        <v>43444</v>
      </c>
      <c r="Q902" s="303" t="s">
        <v>1952</v>
      </c>
      <c r="R902" s="303">
        <f t="shared" si="18"/>
        <v>0</v>
      </c>
      <c r="S902" s="303">
        <v>0</v>
      </c>
    </row>
    <row r="903" spans="1:19" x14ac:dyDescent="0.25">
      <c r="A903" s="303" t="s">
        <v>2327</v>
      </c>
      <c r="B903" s="303" t="s">
        <v>2326</v>
      </c>
      <c r="C903" s="328">
        <v>43444</v>
      </c>
      <c r="D903" s="303" t="s">
        <v>1961</v>
      </c>
      <c r="E903" s="303" t="s">
        <v>1960</v>
      </c>
      <c r="F903" s="303" t="s">
        <v>1967</v>
      </c>
      <c r="G903" s="303" t="s">
        <v>2123</v>
      </c>
      <c r="H903" s="303" t="s">
        <v>1956</v>
      </c>
      <c r="I903" s="304">
        <v>-2353</v>
      </c>
      <c r="J903" s="303" t="s">
        <v>1967</v>
      </c>
      <c r="K903" s="303" t="s">
        <v>2134</v>
      </c>
      <c r="L903" s="303" t="s">
        <v>1956</v>
      </c>
      <c r="M903" s="303" t="s">
        <v>2325</v>
      </c>
      <c r="N903" s="303" t="s">
        <v>1987</v>
      </c>
      <c r="O903" s="303" t="s">
        <v>1986</v>
      </c>
      <c r="P903" s="328">
        <v>43444</v>
      </c>
      <c r="Q903" s="303" t="s">
        <v>1952</v>
      </c>
      <c r="R903" s="303">
        <f t="shared" si="18"/>
        <v>0</v>
      </c>
      <c r="S903" s="303">
        <v>0</v>
      </c>
    </row>
    <row r="904" spans="1:19" x14ac:dyDescent="0.25">
      <c r="A904" s="303" t="s">
        <v>2324</v>
      </c>
      <c r="B904" s="303" t="s">
        <v>2323</v>
      </c>
      <c r="C904" s="328">
        <v>43444</v>
      </c>
      <c r="D904" s="303" t="s">
        <v>1965</v>
      </c>
      <c r="E904" s="303" t="s">
        <v>1964</v>
      </c>
      <c r="F904" s="303" t="s">
        <v>1967</v>
      </c>
      <c r="G904" s="303" t="s">
        <v>1430</v>
      </c>
      <c r="H904" s="303" t="s">
        <v>1956</v>
      </c>
      <c r="I904" s="304">
        <v>4003</v>
      </c>
      <c r="J904" s="303" t="s">
        <v>1967</v>
      </c>
      <c r="K904" s="303" t="s">
        <v>2134</v>
      </c>
      <c r="L904" s="303" t="s">
        <v>1956</v>
      </c>
      <c r="M904" s="303" t="s">
        <v>2322</v>
      </c>
      <c r="N904" s="303" t="s">
        <v>1987</v>
      </c>
      <c r="O904" s="303" t="s">
        <v>1986</v>
      </c>
      <c r="P904" s="328">
        <v>43444</v>
      </c>
      <c r="Q904" s="303" t="s">
        <v>1952</v>
      </c>
      <c r="R904" s="303">
        <f t="shared" si="18"/>
        <v>0</v>
      </c>
      <c r="S904" s="303">
        <v>0</v>
      </c>
    </row>
    <row r="905" spans="1:19" x14ac:dyDescent="0.25">
      <c r="A905" s="303" t="s">
        <v>2324</v>
      </c>
      <c r="B905" s="303" t="s">
        <v>2323</v>
      </c>
      <c r="C905" s="328">
        <v>43444</v>
      </c>
      <c r="D905" s="303" t="s">
        <v>1961</v>
      </c>
      <c r="E905" s="303" t="s">
        <v>1960</v>
      </c>
      <c r="F905" s="303" t="s">
        <v>1967</v>
      </c>
      <c r="G905" s="303" t="s">
        <v>1430</v>
      </c>
      <c r="H905" s="303" t="s">
        <v>1956</v>
      </c>
      <c r="I905" s="304">
        <v>-4003</v>
      </c>
      <c r="J905" s="303" t="s">
        <v>1967</v>
      </c>
      <c r="K905" s="303" t="s">
        <v>2134</v>
      </c>
      <c r="L905" s="303" t="s">
        <v>1956</v>
      </c>
      <c r="M905" s="303" t="s">
        <v>2322</v>
      </c>
      <c r="N905" s="303" t="s">
        <v>1987</v>
      </c>
      <c r="O905" s="303" t="s">
        <v>1986</v>
      </c>
      <c r="P905" s="328">
        <v>43444</v>
      </c>
      <c r="Q905" s="303" t="s">
        <v>1952</v>
      </c>
      <c r="R905" s="303">
        <f t="shared" si="18"/>
        <v>0</v>
      </c>
      <c r="S905" s="303">
        <v>0</v>
      </c>
    </row>
    <row r="906" spans="1:19" x14ac:dyDescent="0.25">
      <c r="A906" s="303" t="s">
        <v>2321</v>
      </c>
      <c r="B906" s="303" t="s">
        <v>2320</v>
      </c>
      <c r="C906" s="328">
        <v>43444</v>
      </c>
      <c r="D906" s="303" t="s">
        <v>1965</v>
      </c>
      <c r="E906" s="303" t="s">
        <v>1964</v>
      </c>
      <c r="F906" s="303" t="s">
        <v>1967</v>
      </c>
      <c r="G906" s="303" t="s">
        <v>1451</v>
      </c>
      <c r="H906" s="303" t="s">
        <v>1956</v>
      </c>
      <c r="I906" s="304">
        <v>1998</v>
      </c>
      <c r="J906" s="303" t="s">
        <v>1967</v>
      </c>
      <c r="K906" s="303" t="s">
        <v>2134</v>
      </c>
      <c r="L906" s="303" t="s">
        <v>1956</v>
      </c>
      <c r="M906" s="303" t="s">
        <v>2319</v>
      </c>
      <c r="N906" s="303" t="s">
        <v>1987</v>
      </c>
      <c r="O906" s="303" t="s">
        <v>1986</v>
      </c>
      <c r="P906" s="328">
        <v>43444</v>
      </c>
      <c r="Q906" s="303" t="s">
        <v>1952</v>
      </c>
      <c r="R906" s="303">
        <f t="shared" si="18"/>
        <v>0</v>
      </c>
      <c r="S906" s="303">
        <v>0</v>
      </c>
    </row>
    <row r="907" spans="1:19" x14ac:dyDescent="0.25">
      <c r="A907" s="303" t="s">
        <v>2321</v>
      </c>
      <c r="B907" s="303" t="s">
        <v>2320</v>
      </c>
      <c r="C907" s="328">
        <v>43444</v>
      </c>
      <c r="D907" s="303" t="s">
        <v>1961</v>
      </c>
      <c r="E907" s="303" t="s">
        <v>1960</v>
      </c>
      <c r="F907" s="303" t="s">
        <v>1967</v>
      </c>
      <c r="G907" s="303" t="s">
        <v>1451</v>
      </c>
      <c r="H907" s="303" t="s">
        <v>1956</v>
      </c>
      <c r="I907" s="304">
        <v>-1998</v>
      </c>
      <c r="J907" s="303" t="s">
        <v>1967</v>
      </c>
      <c r="K907" s="303" t="s">
        <v>2134</v>
      </c>
      <c r="L907" s="303" t="s">
        <v>1956</v>
      </c>
      <c r="M907" s="303" t="s">
        <v>2319</v>
      </c>
      <c r="N907" s="303" t="s">
        <v>1987</v>
      </c>
      <c r="O907" s="303" t="s">
        <v>1986</v>
      </c>
      <c r="P907" s="328">
        <v>43444</v>
      </c>
      <c r="Q907" s="303" t="s">
        <v>1952</v>
      </c>
      <c r="R907" s="303">
        <f t="shared" si="18"/>
        <v>0</v>
      </c>
      <c r="S907" s="303">
        <v>0</v>
      </c>
    </row>
    <row r="908" spans="1:19" x14ac:dyDescent="0.25">
      <c r="A908" s="303" t="s">
        <v>2318</v>
      </c>
      <c r="B908" s="303" t="s">
        <v>2317</v>
      </c>
      <c r="C908" s="328">
        <v>43444</v>
      </c>
      <c r="D908" s="303" t="s">
        <v>1965</v>
      </c>
      <c r="E908" s="303" t="s">
        <v>1964</v>
      </c>
      <c r="F908" s="303" t="s">
        <v>1967</v>
      </c>
      <c r="G908" s="303" t="s">
        <v>2316</v>
      </c>
      <c r="H908" s="303" t="s">
        <v>1956</v>
      </c>
      <c r="I908" s="304">
        <v>2010</v>
      </c>
      <c r="J908" s="303" t="s">
        <v>1967</v>
      </c>
      <c r="K908" s="303" t="s">
        <v>2134</v>
      </c>
      <c r="L908" s="303" t="s">
        <v>1956</v>
      </c>
      <c r="M908" s="303" t="s">
        <v>2315</v>
      </c>
      <c r="N908" s="303" t="s">
        <v>1987</v>
      </c>
      <c r="O908" s="303" t="s">
        <v>1986</v>
      </c>
      <c r="P908" s="328">
        <v>43444</v>
      </c>
      <c r="Q908" s="303" t="s">
        <v>1952</v>
      </c>
      <c r="R908" s="303">
        <f t="shared" si="18"/>
        <v>0</v>
      </c>
      <c r="S908" s="303">
        <v>0</v>
      </c>
    </row>
    <row r="909" spans="1:19" x14ac:dyDescent="0.25">
      <c r="A909" s="303" t="s">
        <v>2318</v>
      </c>
      <c r="B909" s="303" t="s">
        <v>2317</v>
      </c>
      <c r="C909" s="328">
        <v>43444</v>
      </c>
      <c r="D909" s="303" t="s">
        <v>1961</v>
      </c>
      <c r="E909" s="303" t="s">
        <v>1960</v>
      </c>
      <c r="F909" s="303" t="s">
        <v>1967</v>
      </c>
      <c r="G909" s="303" t="s">
        <v>2316</v>
      </c>
      <c r="H909" s="303" t="s">
        <v>1956</v>
      </c>
      <c r="I909" s="304">
        <v>-2010</v>
      </c>
      <c r="J909" s="303" t="s">
        <v>1967</v>
      </c>
      <c r="K909" s="303" t="s">
        <v>2134</v>
      </c>
      <c r="L909" s="303" t="s">
        <v>1956</v>
      </c>
      <c r="M909" s="303" t="s">
        <v>2315</v>
      </c>
      <c r="N909" s="303" t="s">
        <v>1987</v>
      </c>
      <c r="O909" s="303" t="s">
        <v>1986</v>
      </c>
      <c r="P909" s="328">
        <v>43444</v>
      </c>
      <c r="Q909" s="303" t="s">
        <v>1952</v>
      </c>
      <c r="R909" s="303">
        <f t="shared" si="18"/>
        <v>0</v>
      </c>
      <c r="S909" s="303">
        <v>0</v>
      </c>
    </row>
    <row r="910" spans="1:19" x14ac:dyDescent="0.25">
      <c r="A910" s="303" t="s">
        <v>2314</v>
      </c>
      <c r="B910" s="303" t="s">
        <v>2313</v>
      </c>
      <c r="C910" s="328">
        <v>43444</v>
      </c>
      <c r="D910" s="303" t="s">
        <v>1965</v>
      </c>
      <c r="E910" s="303" t="s">
        <v>1964</v>
      </c>
      <c r="F910" s="303" t="s">
        <v>1967</v>
      </c>
      <c r="G910" s="303" t="s">
        <v>1576</v>
      </c>
      <c r="H910" s="303" t="s">
        <v>1956</v>
      </c>
      <c r="I910" s="304">
        <v>14150</v>
      </c>
      <c r="J910" s="303" t="s">
        <v>1967</v>
      </c>
      <c r="K910" s="303" t="s">
        <v>1959</v>
      </c>
      <c r="L910" s="303" t="s">
        <v>1956</v>
      </c>
      <c r="M910" s="303" t="s">
        <v>2312</v>
      </c>
      <c r="N910" s="303" t="s">
        <v>1987</v>
      </c>
      <c r="O910" s="303" t="s">
        <v>1986</v>
      </c>
      <c r="P910" s="328">
        <v>43444</v>
      </c>
      <c r="Q910" s="303" t="s">
        <v>1952</v>
      </c>
      <c r="R910" s="303">
        <f t="shared" si="18"/>
        <v>1</v>
      </c>
      <c r="S910" s="303">
        <v>0</v>
      </c>
    </row>
    <row r="911" spans="1:19" x14ac:dyDescent="0.25">
      <c r="A911" s="303" t="s">
        <v>2314</v>
      </c>
      <c r="B911" s="303" t="s">
        <v>2313</v>
      </c>
      <c r="C911" s="328">
        <v>43444</v>
      </c>
      <c r="D911" s="303" t="s">
        <v>1961</v>
      </c>
      <c r="E911" s="303" t="s">
        <v>1960</v>
      </c>
      <c r="F911" s="303" t="s">
        <v>1967</v>
      </c>
      <c r="G911" s="303" t="s">
        <v>1576</v>
      </c>
      <c r="H911" s="303" t="s">
        <v>1956</v>
      </c>
      <c r="I911" s="304">
        <v>-14150</v>
      </c>
      <c r="J911" s="303" t="s">
        <v>1967</v>
      </c>
      <c r="K911" s="303" t="s">
        <v>1959</v>
      </c>
      <c r="L911" s="303" t="s">
        <v>1956</v>
      </c>
      <c r="M911" s="303" t="s">
        <v>2312</v>
      </c>
      <c r="N911" s="303" t="s">
        <v>1987</v>
      </c>
      <c r="O911" s="303" t="s">
        <v>1986</v>
      </c>
      <c r="P911" s="328">
        <v>43444</v>
      </c>
      <c r="Q911" s="303" t="s">
        <v>1952</v>
      </c>
      <c r="R911" s="303">
        <f t="shared" si="18"/>
        <v>1</v>
      </c>
      <c r="S911" s="303">
        <v>0</v>
      </c>
    </row>
    <row r="912" spans="1:19" x14ac:dyDescent="0.25">
      <c r="A912" s="303" t="s">
        <v>2311</v>
      </c>
      <c r="B912" s="303" t="s">
        <v>2310</v>
      </c>
      <c r="C912" s="328">
        <v>43444</v>
      </c>
      <c r="D912" s="303" t="s">
        <v>1965</v>
      </c>
      <c r="E912" s="303" t="s">
        <v>1964</v>
      </c>
      <c r="F912" s="303" t="s">
        <v>1967</v>
      </c>
      <c r="G912" s="303" t="s">
        <v>2309</v>
      </c>
      <c r="H912" s="303" t="s">
        <v>1956</v>
      </c>
      <c r="I912" s="304">
        <v>1600</v>
      </c>
      <c r="J912" s="303" t="s">
        <v>1967</v>
      </c>
      <c r="K912" s="303" t="s">
        <v>1959</v>
      </c>
      <c r="L912" s="303" t="s">
        <v>1956</v>
      </c>
      <c r="M912" s="303" t="s">
        <v>2308</v>
      </c>
      <c r="N912" s="303" t="s">
        <v>1987</v>
      </c>
      <c r="O912" s="303" t="s">
        <v>1986</v>
      </c>
      <c r="P912" s="328">
        <v>43444</v>
      </c>
      <c r="Q912" s="303" t="s">
        <v>1952</v>
      </c>
      <c r="R912" s="303">
        <f t="shared" si="18"/>
        <v>1</v>
      </c>
      <c r="S912" s="303">
        <v>0</v>
      </c>
    </row>
    <row r="913" spans="1:19" x14ac:dyDescent="0.25">
      <c r="A913" s="303" t="s">
        <v>2311</v>
      </c>
      <c r="B913" s="303" t="s">
        <v>2310</v>
      </c>
      <c r="C913" s="328">
        <v>43444</v>
      </c>
      <c r="D913" s="303" t="s">
        <v>1961</v>
      </c>
      <c r="E913" s="303" t="s">
        <v>1960</v>
      </c>
      <c r="F913" s="303" t="s">
        <v>1967</v>
      </c>
      <c r="G913" s="303" t="s">
        <v>2309</v>
      </c>
      <c r="H913" s="303" t="s">
        <v>1956</v>
      </c>
      <c r="I913" s="304">
        <v>-1600</v>
      </c>
      <c r="J913" s="303" t="s">
        <v>1967</v>
      </c>
      <c r="K913" s="303" t="s">
        <v>1959</v>
      </c>
      <c r="L913" s="303" t="s">
        <v>1956</v>
      </c>
      <c r="M913" s="303" t="s">
        <v>2308</v>
      </c>
      <c r="N913" s="303" t="s">
        <v>1987</v>
      </c>
      <c r="O913" s="303" t="s">
        <v>1986</v>
      </c>
      <c r="P913" s="328">
        <v>43444</v>
      </c>
      <c r="Q913" s="303" t="s">
        <v>1952</v>
      </c>
      <c r="R913" s="303">
        <f t="shared" si="18"/>
        <v>1</v>
      </c>
      <c r="S913" s="303">
        <v>0</v>
      </c>
    </row>
    <row r="914" spans="1:19" x14ac:dyDescent="0.25">
      <c r="A914" s="303" t="s">
        <v>2307</v>
      </c>
      <c r="B914" s="303" t="s">
        <v>2306</v>
      </c>
      <c r="C914" s="328">
        <v>43444</v>
      </c>
      <c r="D914" s="303" t="s">
        <v>1965</v>
      </c>
      <c r="E914" s="303" t="s">
        <v>1964</v>
      </c>
      <c r="F914" s="303" t="s">
        <v>1924</v>
      </c>
      <c r="G914" s="303" t="s">
        <v>1373</v>
      </c>
      <c r="H914" s="303" t="s">
        <v>1956</v>
      </c>
      <c r="I914" s="304">
        <v>3500</v>
      </c>
      <c r="J914" s="303" t="s">
        <v>1846</v>
      </c>
      <c r="K914" s="303" t="s">
        <v>1959</v>
      </c>
      <c r="L914" s="303" t="s">
        <v>1956</v>
      </c>
      <c r="M914" s="303" t="s">
        <v>2305</v>
      </c>
      <c r="N914" s="303" t="s">
        <v>1987</v>
      </c>
      <c r="O914" s="303" t="s">
        <v>1986</v>
      </c>
      <c r="P914" s="328">
        <v>43444</v>
      </c>
      <c r="Q914" s="303" t="s">
        <v>1952</v>
      </c>
      <c r="R914" s="303">
        <f t="shared" si="18"/>
        <v>1</v>
      </c>
      <c r="S914" s="303">
        <v>1</v>
      </c>
    </row>
    <row r="915" spans="1:19" x14ac:dyDescent="0.25">
      <c r="A915" s="303" t="s">
        <v>2307</v>
      </c>
      <c r="B915" s="303" t="s">
        <v>2306</v>
      </c>
      <c r="C915" s="328">
        <v>43444</v>
      </c>
      <c r="D915" s="303" t="s">
        <v>1961</v>
      </c>
      <c r="E915" s="303" t="s">
        <v>1960</v>
      </c>
      <c r="F915" s="303" t="s">
        <v>1924</v>
      </c>
      <c r="G915" s="303" t="s">
        <v>1373</v>
      </c>
      <c r="H915" s="303" t="s">
        <v>1956</v>
      </c>
      <c r="I915" s="304">
        <v>-3500</v>
      </c>
      <c r="J915" s="303" t="s">
        <v>1846</v>
      </c>
      <c r="K915" s="303" t="s">
        <v>1959</v>
      </c>
      <c r="L915" s="303" t="s">
        <v>1956</v>
      </c>
      <c r="M915" s="303" t="s">
        <v>2305</v>
      </c>
      <c r="N915" s="303" t="s">
        <v>1987</v>
      </c>
      <c r="O915" s="303" t="s">
        <v>1986</v>
      </c>
      <c r="P915" s="328">
        <v>43444</v>
      </c>
      <c r="Q915" s="303" t="s">
        <v>1952</v>
      </c>
      <c r="R915" s="303">
        <f t="shared" si="18"/>
        <v>1</v>
      </c>
      <c r="S915" s="303">
        <v>1</v>
      </c>
    </row>
    <row r="916" spans="1:19" x14ac:dyDescent="0.25">
      <c r="A916" s="303" t="s">
        <v>2304</v>
      </c>
      <c r="B916" s="303" t="s">
        <v>2303</v>
      </c>
      <c r="C916" s="328">
        <v>43445</v>
      </c>
      <c r="D916" s="303" t="s">
        <v>1965</v>
      </c>
      <c r="E916" s="303" t="s">
        <v>1964</v>
      </c>
      <c r="F916" s="303" t="s">
        <v>1914</v>
      </c>
      <c r="G916" s="303" t="s">
        <v>1379</v>
      </c>
      <c r="H916" s="303" t="s">
        <v>1956</v>
      </c>
      <c r="I916" s="304">
        <v>4575</v>
      </c>
      <c r="J916" s="303" t="s">
        <v>1609</v>
      </c>
      <c r="K916" s="303" t="s">
        <v>1609</v>
      </c>
      <c r="L916" s="303" t="s">
        <v>1609</v>
      </c>
      <c r="M916" s="303" t="s">
        <v>2302</v>
      </c>
      <c r="N916" s="303" t="s">
        <v>2031</v>
      </c>
      <c r="O916" s="303" t="s">
        <v>2030</v>
      </c>
      <c r="P916" s="328">
        <v>43445</v>
      </c>
      <c r="Q916" s="303" t="s">
        <v>1952</v>
      </c>
      <c r="R916" s="303">
        <f t="shared" si="18"/>
        <v>1</v>
      </c>
      <c r="S916" s="303">
        <v>1</v>
      </c>
    </row>
    <row r="917" spans="1:19" x14ac:dyDescent="0.25">
      <c r="A917" s="303" t="s">
        <v>2301</v>
      </c>
      <c r="B917" s="303" t="s">
        <v>2300</v>
      </c>
      <c r="C917" s="328">
        <v>43445</v>
      </c>
      <c r="D917" s="303" t="s">
        <v>1965</v>
      </c>
      <c r="E917" s="303" t="s">
        <v>1964</v>
      </c>
      <c r="F917" s="303" t="s">
        <v>1906</v>
      </c>
      <c r="G917" s="303" t="s">
        <v>1391</v>
      </c>
      <c r="H917" s="303" t="s">
        <v>1956</v>
      </c>
      <c r="I917" s="304">
        <v>7051</v>
      </c>
      <c r="J917" s="303" t="s">
        <v>1609</v>
      </c>
      <c r="K917" s="303" t="s">
        <v>1609</v>
      </c>
      <c r="L917" s="303" t="s">
        <v>1609</v>
      </c>
      <c r="M917" s="303" t="s">
        <v>2299</v>
      </c>
      <c r="N917" s="303" t="s">
        <v>2031</v>
      </c>
      <c r="O917" s="303" t="s">
        <v>2030</v>
      </c>
      <c r="P917" s="328">
        <v>43445</v>
      </c>
      <c r="Q917" s="303" t="s">
        <v>1952</v>
      </c>
      <c r="R917" s="303">
        <f t="shared" si="18"/>
        <v>1</v>
      </c>
      <c r="S917" s="303">
        <v>1</v>
      </c>
    </row>
    <row r="918" spans="1:19" x14ac:dyDescent="0.25">
      <c r="A918" s="303" t="s">
        <v>2298</v>
      </c>
      <c r="B918" s="303" t="s">
        <v>2297</v>
      </c>
      <c r="C918" s="328">
        <v>43445</v>
      </c>
      <c r="D918" s="303" t="s">
        <v>1965</v>
      </c>
      <c r="E918" s="303" t="s">
        <v>1964</v>
      </c>
      <c r="F918" s="303" t="s">
        <v>1807</v>
      </c>
      <c r="G918" s="303" t="s">
        <v>1448</v>
      </c>
      <c r="H918" s="303" t="s">
        <v>1956</v>
      </c>
      <c r="I918" s="304">
        <v>900</v>
      </c>
      <c r="J918" s="303" t="s">
        <v>1609</v>
      </c>
      <c r="K918" s="303" t="s">
        <v>1609</v>
      </c>
      <c r="L918" s="303" t="s">
        <v>1609</v>
      </c>
      <c r="M918" s="303" t="s">
        <v>2296</v>
      </c>
      <c r="N918" s="303" t="s">
        <v>2031</v>
      </c>
      <c r="O918" s="303" t="s">
        <v>2030</v>
      </c>
      <c r="P918" s="328">
        <v>43445</v>
      </c>
      <c r="Q918" s="303" t="s">
        <v>1952</v>
      </c>
      <c r="R918" s="303">
        <f t="shared" si="18"/>
        <v>1</v>
      </c>
      <c r="S918" s="303">
        <v>1</v>
      </c>
    </row>
    <row r="919" spans="1:19" x14ac:dyDescent="0.25">
      <c r="A919" s="303" t="s">
        <v>2295</v>
      </c>
      <c r="B919" s="303" t="s">
        <v>2294</v>
      </c>
      <c r="C919" s="328">
        <v>43445</v>
      </c>
      <c r="D919" s="303" t="s">
        <v>1965</v>
      </c>
      <c r="E919" s="303" t="s">
        <v>1964</v>
      </c>
      <c r="F919" s="303" t="s">
        <v>2014</v>
      </c>
      <c r="G919" s="303" t="s">
        <v>1558</v>
      </c>
      <c r="H919" s="303" t="s">
        <v>1956</v>
      </c>
      <c r="I919" s="304">
        <v>14937</v>
      </c>
      <c r="J919" s="303" t="s">
        <v>1657</v>
      </c>
      <c r="K919" s="303" t="s">
        <v>1558</v>
      </c>
      <c r="L919" s="303" t="s">
        <v>1956</v>
      </c>
      <c r="M919" s="303" t="s">
        <v>2013</v>
      </c>
      <c r="N919" s="303" t="s">
        <v>1987</v>
      </c>
      <c r="O919" s="303" t="s">
        <v>1986</v>
      </c>
      <c r="P919" s="328">
        <v>43445</v>
      </c>
      <c r="Q919" s="303" t="s">
        <v>1952</v>
      </c>
      <c r="R919" s="303">
        <f t="shared" si="18"/>
        <v>1</v>
      </c>
      <c r="S919" s="303">
        <v>0</v>
      </c>
    </row>
    <row r="920" spans="1:19" x14ac:dyDescent="0.25">
      <c r="A920" s="303" t="s">
        <v>2295</v>
      </c>
      <c r="B920" s="303" t="s">
        <v>2294</v>
      </c>
      <c r="C920" s="328">
        <v>43445</v>
      </c>
      <c r="D920" s="303" t="s">
        <v>1961</v>
      </c>
      <c r="E920" s="303" t="s">
        <v>1960</v>
      </c>
      <c r="F920" s="303" t="s">
        <v>2014</v>
      </c>
      <c r="G920" s="303" t="s">
        <v>1558</v>
      </c>
      <c r="H920" s="303" t="s">
        <v>1956</v>
      </c>
      <c r="I920" s="304">
        <v>-14937</v>
      </c>
      <c r="J920" s="303" t="s">
        <v>1657</v>
      </c>
      <c r="K920" s="303" t="s">
        <v>1558</v>
      </c>
      <c r="L920" s="303" t="s">
        <v>1956</v>
      </c>
      <c r="M920" s="303" t="s">
        <v>2013</v>
      </c>
      <c r="N920" s="303" t="s">
        <v>1987</v>
      </c>
      <c r="O920" s="303" t="s">
        <v>1986</v>
      </c>
      <c r="P920" s="328">
        <v>43445</v>
      </c>
      <c r="Q920" s="303" t="s">
        <v>1952</v>
      </c>
      <c r="R920" s="303">
        <f t="shared" si="18"/>
        <v>1</v>
      </c>
      <c r="S920" s="303">
        <v>0</v>
      </c>
    </row>
    <row r="921" spans="1:19" x14ac:dyDescent="0.25">
      <c r="A921" s="303" t="s">
        <v>2293</v>
      </c>
      <c r="B921" s="303" t="s">
        <v>2292</v>
      </c>
      <c r="C921" s="328">
        <v>43446</v>
      </c>
      <c r="D921" s="303" t="s">
        <v>1965</v>
      </c>
      <c r="E921" s="303" t="s">
        <v>1964</v>
      </c>
      <c r="F921" s="303" t="s">
        <v>1813</v>
      </c>
      <c r="G921" s="303" t="s">
        <v>1439</v>
      </c>
      <c r="H921" s="303" t="s">
        <v>1956</v>
      </c>
      <c r="I921" s="304">
        <v>29333</v>
      </c>
      <c r="J921" s="303" t="s">
        <v>1958</v>
      </c>
      <c r="K921" s="303" t="s">
        <v>1957</v>
      </c>
      <c r="L921" s="303" t="s">
        <v>1956</v>
      </c>
      <c r="M921" s="303" t="s">
        <v>2022</v>
      </c>
      <c r="N921" s="303" t="s">
        <v>1987</v>
      </c>
      <c r="O921" s="303" t="s">
        <v>1986</v>
      </c>
      <c r="P921" s="328">
        <v>43446</v>
      </c>
      <c r="Q921" s="303" t="s">
        <v>1952</v>
      </c>
      <c r="R921" s="303">
        <f t="shared" si="18"/>
        <v>0</v>
      </c>
      <c r="S921" s="303">
        <v>0</v>
      </c>
    </row>
    <row r="922" spans="1:19" x14ac:dyDescent="0.25">
      <c r="A922" s="303" t="s">
        <v>2293</v>
      </c>
      <c r="B922" s="303" t="s">
        <v>2292</v>
      </c>
      <c r="C922" s="328">
        <v>43446</v>
      </c>
      <c r="D922" s="303" t="s">
        <v>1961</v>
      </c>
      <c r="E922" s="303" t="s">
        <v>1960</v>
      </c>
      <c r="F922" s="303" t="s">
        <v>1813</v>
      </c>
      <c r="G922" s="303" t="s">
        <v>1439</v>
      </c>
      <c r="H922" s="303" t="s">
        <v>1956</v>
      </c>
      <c r="I922" s="304">
        <v>-29333</v>
      </c>
      <c r="J922" s="303" t="s">
        <v>1958</v>
      </c>
      <c r="K922" s="303" t="s">
        <v>1957</v>
      </c>
      <c r="L922" s="303" t="s">
        <v>1956</v>
      </c>
      <c r="M922" s="303" t="s">
        <v>2022</v>
      </c>
      <c r="N922" s="303" t="s">
        <v>1987</v>
      </c>
      <c r="O922" s="303" t="s">
        <v>1986</v>
      </c>
      <c r="P922" s="328">
        <v>43446</v>
      </c>
      <c r="Q922" s="303" t="s">
        <v>1952</v>
      </c>
      <c r="R922" s="303">
        <f t="shared" si="18"/>
        <v>0</v>
      </c>
      <c r="S922" s="303">
        <v>0</v>
      </c>
    </row>
    <row r="923" spans="1:19" x14ac:dyDescent="0.25">
      <c r="A923" s="303" t="s">
        <v>2291</v>
      </c>
      <c r="B923" s="303" t="s">
        <v>2290</v>
      </c>
      <c r="C923" s="328">
        <v>43446</v>
      </c>
      <c r="D923" s="303" t="s">
        <v>1965</v>
      </c>
      <c r="E923" s="303" t="s">
        <v>1964</v>
      </c>
      <c r="F923" s="303" t="s">
        <v>1813</v>
      </c>
      <c r="G923" s="303" t="s">
        <v>1439</v>
      </c>
      <c r="H923" s="303" t="s">
        <v>1956</v>
      </c>
      <c r="I923" s="304">
        <v>124823</v>
      </c>
      <c r="J923" s="303" t="s">
        <v>1967</v>
      </c>
      <c r="K923" s="303" t="s">
        <v>1439</v>
      </c>
      <c r="L923" s="303" t="s">
        <v>1956</v>
      </c>
      <c r="M923" s="303" t="s">
        <v>2019</v>
      </c>
      <c r="N923" s="303" t="s">
        <v>1987</v>
      </c>
      <c r="O923" s="303" t="s">
        <v>1986</v>
      </c>
      <c r="P923" s="328">
        <v>43446</v>
      </c>
      <c r="Q923" s="303" t="s">
        <v>1952</v>
      </c>
      <c r="R923" s="303">
        <f t="shared" si="18"/>
        <v>0</v>
      </c>
      <c r="S923" s="303">
        <v>0</v>
      </c>
    </row>
    <row r="924" spans="1:19" x14ac:dyDescent="0.25">
      <c r="A924" s="303" t="s">
        <v>2291</v>
      </c>
      <c r="B924" s="303" t="s">
        <v>2290</v>
      </c>
      <c r="C924" s="328">
        <v>43446</v>
      </c>
      <c r="D924" s="303" t="s">
        <v>1961</v>
      </c>
      <c r="E924" s="303" t="s">
        <v>1960</v>
      </c>
      <c r="F924" s="303" t="s">
        <v>1813</v>
      </c>
      <c r="G924" s="303" t="s">
        <v>1439</v>
      </c>
      <c r="H924" s="303" t="s">
        <v>1956</v>
      </c>
      <c r="I924" s="304">
        <v>-124823</v>
      </c>
      <c r="J924" s="303" t="s">
        <v>1967</v>
      </c>
      <c r="K924" s="303" t="s">
        <v>1439</v>
      </c>
      <c r="L924" s="303" t="s">
        <v>1956</v>
      </c>
      <c r="M924" s="303" t="s">
        <v>2019</v>
      </c>
      <c r="N924" s="303" t="s">
        <v>1987</v>
      </c>
      <c r="O924" s="303" t="s">
        <v>1986</v>
      </c>
      <c r="P924" s="328">
        <v>43446</v>
      </c>
      <c r="Q924" s="303" t="s">
        <v>1952</v>
      </c>
      <c r="R924" s="303">
        <f t="shared" si="18"/>
        <v>0</v>
      </c>
      <c r="S924" s="303">
        <v>0</v>
      </c>
    </row>
    <row r="925" spans="1:19" x14ac:dyDescent="0.25">
      <c r="A925" s="303" t="s">
        <v>2289</v>
      </c>
      <c r="B925" s="303" t="s">
        <v>2288</v>
      </c>
      <c r="C925" s="328">
        <v>43446</v>
      </c>
      <c r="D925" s="303" t="s">
        <v>1965</v>
      </c>
      <c r="E925" s="303" t="s">
        <v>1964</v>
      </c>
      <c r="F925" s="303" t="s">
        <v>1989</v>
      </c>
      <c r="G925" s="303" t="s">
        <v>1558</v>
      </c>
      <c r="H925" s="303" t="s">
        <v>1956</v>
      </c>
      <c r="I925" s="304">
        <v>2070</v>
      </c>
      <c r="J925" s="303" t="s">
        <v>1958</v>
      </c>
      <c r="K925" s="303" t="s">
        <v>1957</v>
      </c>
      <c r="L925" s="303" t="s">
        <v>1956</v>
      </c>
      <c r="M925" s="303" t="s">
        <v>2287</v>
      </c>
      <c r="N925" s="303" t="s">
        <v>1987</v>
      </c>
      <c r="O925" s="303" t="s">
        <v>1986</v>
      </c>
      <c r="P925" s="328">
        <v>43446</v>
      </c>
      <c r="Q925" s="303" t="s">
        <v>1952</v>
      </c>
      <c r="R925" s="303">
        <f t="shared" si="18"/>
        <v>1</v>
      </c>
      <c r="S925" s="303">
        <v>0</v>
      </c>
    </row>
    <row r="926" spans="1:19" x14ac:dyDescent="0.25">
      <c r="A926" s="303" t="s">
        <v>2289</v>
      </c>
      <c r="B926" s="303" t="s">
        <v>2288</v>
      </c>
      <c r="C926" s="328">
        <v>43446</v>
      </c>
      <c r="D926" s="303" t="s">
        <v>1961</v>
      </c>
      <c r="E926" s="303" t="s">
        <v>1960</v>
      </c>
      <c r="F926" s="303" t="s">
        <v>1989</v>
      </c>
      <c r="G926" s="303" t="s">
        <v>1558</v>
      </c>
      <c r="H926" s="303" t="s">
        <v>1956</v>
      </c>
      <c r="I926" s="304">
        <v>-2070</v>
      </c>
      <c r="J926" s="303" t="s">
        <v>1958</v>
      </c>
      <c r="K926" s="303" t="s">
        <v>1957</v>
      </c>
      <c r="L926" s="303" t="s">
        <v>1956</v>
      </c>
      <c r="M926" s="303" t="s">
        <v>2287</v>
      </c>
      <c r="N926" s="303" t="s">
        <v>1987</v>
      </c>
      <c r="O926" s="303" t="s">
        <v>1986</v>
      </c>
      <c r="P926" s="328">
        <v>43446</v>
      </c>
      <c r="Q926" s="303" t="s">
        <v>1952</v>
      </c>
      <c r="R926" s="303">
        <f t="shared" si="18"/>
        <v>1</v>
      </c>
      <c r="S926" s="303">
        <v>0</v>
      </c>
    </row>
    <row r="927" spans="1:19" x14ac:dyDescent="0.25">
      <c r="A927" s="303" t="s">
        <v>2286</v>
      </c>
      <c r="B927" s="303" t="s">
        <v>2285</v>
      </c>
      <c r="C927" s="328">
        <v>43446</v>
      </c>
      <c r="D927" s="303" t="s">
        <v>1965</v>
      </c>
      <c r="E927" s="303" t="s">
        <v>1964</v>
      </c>
      <c r="F927" s="303" t="s">
        <v>1989</v>
      </c>
      <c r="G927" s="303" t="s">
        <v>1558</v>
      </c>
      <c r="H927" s="303" t="s">
        <v>1956</v>
      </c>
      <c r="I927" s="304">
        <v>8809</v>
      </c>
      <c r="J927" s="303" t="s">
        <v>1967</v>
      </c>
      <c r="K927" s="303" t="s">
        <v>1558</v>
      </c>
      <c r="L927" s="303" t="s">
        <v>1956</v>
      </c>
      <c r="M927" s="303" t="s">
        <v>2284</v>
      </c>
      <c r="N927" s="303" t="s">
        <v>1987</v>
      </c>
      <c r="O927" s="303" t="s">
        <v>1986</v>
      </c>
      <c r="P927" s="328">
        <v>43446</v>
      </c>
      <c r="Q927" s="303" t="s">
        <v>1952</v>
      </c>
      <c r="R927" s="303">
        <f t="shared" si="18"/>
        <v>1</v>
      </c>
      <c r="S927" s="303">
        <v>0</v>
      </c>
    </row>
    <row r="928" spans="1:19" x14ac:dyDescent="0.25">
      <c r="A928" s="303" t="s">
        <v>2286</v>
      </c>
      <c r="B928" s="303" t="s">
        <v>2285</v>
      </c>
      <c r="C928" s="328">
        <v>43446</v>
      </c>
      <c r="D928" s="303" t="s">
        <v>1961</v>
      </c>
      <c r="E928" s="303" t="s">
        <v>1960</v>
      </c>
      <c r="F928" s="303" t="s">
        <v>1989</v>
      </c>
      <c r="G928" s="303" t="s">
        <v>1558</v>
      </c>
      <c r="H928" s="303" t="s">
        <v>1956</v>
      </c>
      <c r="I928" s="304">
        <v>-8809</v>
      </c>
      <c r="J928" s="303" t="s">
        <v>1967</v>
      </c>
      <c r="K928" s="303" t="s">
        <v>1558</v>
      </c>
      <c r="L928" s="303" t="s">
        <v>1956</v>
      </c>
      <c r="M928" s="303" t="s">
        <v>2284</v>
      </c>
      <c r="N928" s="303" t="s">
        <v>1987</v>
      </c>
      <c r="O928" s="303" t="s">
        <v>1986</v>
      </c>
      <c r="P928" s="328">
        <v>43446</v>
      </c>
      <c r="Q928" s="303" t="s">
        <v>1952</v>
      </c>
      <c r="R928" s="303">
        <f t="shared" si="18"/>
        <v>1</v>
      </c>
      <c r="S928" s="303">
        <v>0</v>
      </c>
    </row>
    <row r="929" spans="1:19" x14ac:dyDescent="0.25">
      <c r="A929" s="303" t="s">
        <v>2283</v>
      </c>
      <c r="B929" s="303" t="s">
        <v>2282</v>
      </c>
      <c r="C929" s="328">
        <v>43446</v>
      </c>
      <c r="D929" s="303" t="s">
        <v>1965</v>
      </c>
      <c r="E929" s="303" t="s">
        <v>1964</v>
      </c>
      <c r="F929" s="303" t="s">
        <v>2014</v>
      </c>
      <c r="G929" s="303" t="s">
        <v>1502</v>
      </c>
      <c r="H929" s="303" t="s">
        <v>1956</v>
      </c>
      <c r="I929" s="304">
        <v>1740</v>
      </c>
      <c r="J929" s="303" t="s">
        <v>2014</v>
      </c>
      <c r="K929" s="303" t="s">
        <v>2072</v>
      </c>
      <c r="L929" s="303" t="s">
        <v>1956</v>
      </c>
      <c r="M929" s="303" t="s">
        <v>2281</v>
      </c>
      <c r="N929" s="303" t="s">
        <v>1987</v>
      </c>
      <c r="O929" s="303" t="s">
        <v>1986</v>
      </c>
      <c r="P929" s="328">
        <v>43446</v>
      </c>
      <c r="Q929" s="303" t="s">
        <v>1952</v>
      </c>
      <c r="R929" s="303">
        <f t="shared" si="18"/>
        <v>1</v>
      </c>
      <c r="S929" s="303">
        <v>0</v>
      </c>
    </row>
    <row r="930" spans="1:19" x14ac:dyDescent="0.25">
      <c r="A930" s="303" t="s">
        <v>2283</v>
      </c>
      <c r="B930" s="303" t="s">
        <v>2282</v>
      </c>
      <c r="C930" s="328">
        <v>43446</v>
      </c>
      <c r="D930" s="303" t="s">
        <v>1961</v>
      </c>
      <c r="E930" s="303" t="s">
        <v>1960</v>
      </c>
      <c r="F930" s="303" t="s">
        <v>2014</v>
      </c>
      <c r="G930" s="303" t="s">
        <v>1502</v>
      </c>
      <c r="H930" s="303" t="s">
        <v>1956</v>
      </c>
      <c r="I930" s="304">
        <v>-1740</v>
      </c>
      <c r="J930" s="303" t="s">
        <v>2014</v>
      </c>
      <c r="K930" s="303" t="s">
        <v>2072</v>
      </c>
      <c r="L930" s="303" t="s">
        <v>1956</v>
      </c>
      <c r="M930" s="303" t="s">
        <v>2281</v>
      </c>
      <c r="N930" s="303" t="s">
        <v>1987</v>
      </c>
      <c r="O930" s="303" t="s">
        <v>1986</v>
      </c>
      <c r="P930" s="328">
        <v>43446</v>
      </c>
      <c r="Q930" s="303" t="s">
        <v>1952</v>
      </c>
      <c r="R930" s="303">
        <f t="shared" si="18"/>
        <v>1</v>
      </c>
      <c r="S930" s="303">
        <v>0</v>
      </c>
    </row>
    <row r="931" spans="1:19" x14ac:dyDescent="0.25">
      <c r="A931" s="303" t="s">
        <v>2280</v>
      </c>
      <c r="B931" s="303" t="s">
        <v>2279</v>
      </c>
      <c r="C931" s="328">
        <v>43448</v>
      </c>
      <c r="D931" s="303" t="s">
        <v>1965</v>
      </c>
      <c r="E931" s="303" t="s">
        <v>1964</v>
      </c>
      <c r="F931" s="303" t="s">
        <v>2014</v>
      </c>
      <c r="G931" s="303" t="s">
        <v>1436</v>
      </c>
      <c r="H931" s="303" t="s">
        <v>1956</v>
      </c>
      <c r="I931" s="304">
        <v>7198</v>
      </c>
      <c r="J931" s="303" t="s">
        <v>1819</v>
      </c>
      <c r="K931" s="303" t="s">
        <v>1436</v>
      </c>
      <c r="L931" s="303" t="s">
        <v>1956</v>
      </c>
      <c r="M931" s="303" t="s">
        <v>2013</v>
      </c>
      <c r="N931" s="303" t="s">
        <v>1987</v>
      </c>
      <c r="O931" s="303" t="s">
        <v>1986</v>
      </c>
      <c r="P931" s="328">
        <v>43448</v>
      </c>
      <c r="Q931" s="303" t="s">
        <v>1952</v>
      </c>
      <c r="R931" s="303">
        <f t="shared" si="18"/>
        <v>1</v>
      </c>
      <c r="S931" s="303">
        <v>0</v>
      </c>
    </row>
    <row r="932" spans="1:19" x14ac:dyDescent="0.25">
      <c r="A932" s="303" t="s">
        <v>2280</v>
      </c>
      <c r="B932" s="303" t="s">
        <v>2279</v>
      </c>
      <c r="C932" s="328">
        <v>43448</v>
      </c>
      <c r="D932" s="303" t="s">
        <v>1961</v>
      </c>
      <c r="E932" s="303" t="s">
        <v>1960</v>
      </c>
      <c r="F932" s="303" t="s">
        <v>2014</v>
      </c>
      <c r="G932" s="303" t="s">
        <v>1436</v>
      </c>
      <c r="H932" s="303" t="s">
        <v>1956</v>
      </c>
      <c r="I932" s="304">
        <v>-7198</v>
      </c>
      <c r="J932" s="303" t="s">
        <v>1819</v>
      </c>
      <c r="K932" s="303" t="s">
        <v>1436</v>
      </c>
      <c r="L932" s="303" t="s">
        <v>1956</v>
      </c>
      <c r="M932" s="303" t="s">
        <v>2013</v>
      </c>
      <c r="N932" s="303" t="s">
        <v>1987</v>
      </c>
      <c r="O932" s="303" t="s">
        <v>1986</v>
      </c>
      <c r="P932" s="328">
        <v>43448</v>
      </c>
      <c r="Q932" s="303" t="s">
        <v>1952</v>
      </c>
      <c r="R932" s="303">
        <f t="shared" si="18"/>
        <v>1</v>
      </c>
      <c r="S932" s="303">
        <v>0</v>
      </c>
    </row>
    <row r="933" spans="1:19" x14ac:dyDescent="0.25">
      <c r="A933" s="303" t="s">
        <v>2278</v>
      </c>
      <c r="B933" s="303" t="s">
        <v>2277</v>
      </c>
      <c r="C933" s="328">
        <v>43448</v>
      </c>
      <c r="D933" s="303" t="s">
        <v>1965</v>
      </c>
      <c r="E933" s="303" t="s">
        <v>1964</v>
      </c>
      <c r="F933" s="303" t="s">
        <v>2014</v>
      </c>
      <c r="G933" s="303" t="s">
        <v>1508</v>
      </c>
      <c r="H933" s="303" t="s">
        <v>1956</v>
      </c>
      <c r="I933" s="304">
        <v>972</v>
      </c>
      <c r="J933" s="303" t="s">
        <v>1958</v>
      </c>
      <c r="K933" s="303" t="s">
        <v>1957</v>
      </c>
      <c r="L933" s="303" t="s">
        <v>1956</v>
      </c>
      <c r="M933" s="303" t="s">
        <v>2276</v>
      </c>
      <c r="N933" s="303" t="s">
        <v>1987</v>
      </c>
      <c r="O933" s="303" t="s">
        <v>1986</v>
      </c>
      <c r="P933" s="328">
        <v>43448</v>
      </c>
      <c r="Q933" s="303" t="s">
        <v>1952</v>
      </c>
      <c r="R933" s="303">
        <f t="shared" si="18"/>
        <v>1</v>
      </c>
      <c r="S933" s="303">
        <v>0</v>
      </c>
    </row>
    <row r="934" spans="1:19" x14ac:dyDescent="0.25">
      <c r="A934" s="303" t="s">
        <v>2278</v>
      </c>
      <c r="B934" s="303" t="s">
        <v>2277</v>
      </c>
      <c r="C934" s="328">
        <v>43448</v>
      </c>
      <c r="D934" s="303" t="s">
        <v>1961</v>
      </c>
      <c r="E934" s="303" t="s">
        <v>1960</v>
      </c>
      <c r="F934" s="303" t="s">
        <v>2014</v>
      </c>
      <c r="G934" s="303" t="s">
        <v>1508</v>
      </c>
      <c r="H934" s="303" t="s">
        <v>1956</v>
      </c>
      <c r="I934" s="304">
        <v>-972</v>
      </c>
      <c r="J934" s="303" t="s">
        <v>1958</v>
      </c>
      <c r="K934" s="303" t="s">
        <v>1957</v>
      </c>
      <c r="L934" s="303" t="s">
        <v>1956</v>
      </c>
      <c r="M934" s="303" t="s">
        <v>2276</v>
      </c>
      <c r="N934" s="303" t="s">
        <v>1987</v>
      </c>
      <c r="O934" s="303" t="s">
        <v>1986</v>
      </c>
      <c r="P934" s="328">
        <v>43448</v>
      </c>
      <c r="Q934" s="303" t="s">
        <v>1952</v>
      </c>
      <c r="R934" s="303">
        <f t="shared" si="18"/>
        <v>1</v>
      </c>
      <c r="S934" s="303">
        <v>0</v>
      </c>
    </row>
    <row r="935" spans="1:19" x14ac:dyDescent="0.25">
      <c r="A935" s="303" t="s">
        <v>2275</v>
      </c>
      <c r="B935" s="303" t="s">
        <v>2274</v>
      </c>
      <c r="C935" s="328">
        <v>43448</v>
      </c>
      <c r="D935" s="303" t="s">
        <v>1965</v>
      </c>
      <c r="E935" s="303" t="s">
        <v>1964</v>
      </c>
      <c r="F935" s="303" t="s">
        <v>2014</v>
      </c>
      <c r="G935" s="303" t="s">
        <v>1508</v>
      </c>
      <c r="H935" s="303" t="s">
        <v>1956</v>
      </c>
      <c r="I935" s="304">
        <v>4138</v>
      </c>
      <c r="J935" s="303" t="s">
        <v>1967</v>
      </c>
      <c r="K935" s="303" t="s">
        <v>1508</v>
      </c>
      <c r="L935" s="303" t="s">
        <v>1956</v>
      </c>
      <c r="M935" s="303" t="s">
        <v>2273</v>
      </c>
      <c r="N935" s="303" t="s">
        <v>1987</v>
      </c>
      <c r="O935" s="303" t="s">
        <v>1986</v>
      </c>
      <c r="P935" s="328">
        <v>43448</v>
      </c>
      <c r="Q935" s="303" t="s">
        <v>1952</v>
      </c>
      <c r="R935" s="303">
        <f t="shared" si="18"/>
        <v>1</v>
      </c>
      <c r="S935" s="303">
        <v>0</v>
      </c>
    </row>
    <row r="936" spans="1:19" x14ac:dyDescent="0.25">
      <c r="A936" s="303" t="s">
        <v>2275</v>
      </c>
      <c r="B936" s="303" t="s">
        <v>2274</v>
      </c>
      <c r="C936" s="328">
        <v>43448</v>
      </c>
      <c r="D936" s="303" t="s">
        <v>1961</v>
      </c>
      <c r="E936" s="303" t="s">
        <v>1960</v>
      </c>
      <c r="F936" s="303" t="s">
        <v>2014</v>
      </c>
      <c r="G936" s="303" t="s">
        <v>1508</v>
      </c>
      <c r="H936" s="303" t="s">
        <v>1956</v>
      </c>
      <c r="I936" s="304">
        <v>-4138</v>
      </c>
      <c r="J936" s="303" t="s">
        <v>1967</v>
      </c>
      <c r="K936" s="303" t="s">
        <v>1508</v>
      </c>
      <c r="L936" s="303" t="s">
        <v>1956</v>
      </c>
      <c r="M936" s="303" t="s">
        <v>2273</v>
      </c>
      <c r="N936" s="303" t="s">
        <v>1987</v>
      </c>
      <c r="O936" s="303" t="s">
        <v>1986</v>
      </c>
      <c r="P936" s="328">
        <v>43448</v>
      </c>
      <c r="Q936" s="303" t="s">
        <v>1952</v>
      </c>
      <c r="R936" s="303">
        <f t="shared" si="18"/>
        <v>1</v>
      </c>
      <c r="S936" s="303">
        <v>0</v>
      </c>
    </row>
    <row r="937" spans="1:19" x14ac:dyDescent="0.25">
      <c r="A937" s="303" t="s">
        <v>2272</v>
      </c>
      <c r="B937" s="303" t="s">
        <v>2271</v>
      </c>
      <c r="C937" s="328">
        <v>43448</v>
      </c>
      <c r="D937" s="303" t="s">
        <v>1965</v>
      </c>
      <c r="E937" s="303" t="s">
        <v>1964</v>
      </c>
      <c r="F937" s="303" t="s">
        <v>1958</v>
      </c>
      <c r="G937" s="303" t="s">
        <v>1957</v>
      </c>
      <c r="H937" s="303" t="s">
        <v>1956</v>
      </c>
      <c r="I937" s="304">
        <v>1903</v>
      </c>
      <c r="J937" s="303" t="s">
        <v>1906</v>
      </c>
      <c r="K937" s="303" t="s">
        <v>1391</v>
      </c>
      <c r="L937" s="303" t="s">
        <v>1956</v>
      </c>
      <c r="M937" s="303" t="s">
        <v>2270</v>
      </c>
      <c r="N937" s="303" t="s">
        <v>1987</v>
      </c>
      <c r="O937" s="303" t="s">
        <v>1986</v>
      </c>
      <c r="P937" s="328">
        <v>43448</v>
      </c>
      <c r="Q937" s="303" t="s">
        <v>1952</v>
      </c>
      <c r="R937" s="303">
        <f t="shared" si="18"/>
        <v>0</v>
      </c>
      <c r="S937" s="303">
        <v>0</v>
      </c>
    </row>
    <row r="938" spans="1:19" x14ac:dyDescent="0.25">
      <c r="A938" s="303" t="s">
        <v>2272</v>
      </c>
      <c r="B938" s="303" t="s">
        <v>2271</v>
      </c>
      <c r="C938" s="328">
        <v>43448</v>
      </c>
      <c r="D938" s="303" t="s">
        <v>1961</v>
      </c>
      <c r="E938" s="303" t="s">
        <v>1960</v>
      </c>
      <c r="F938" s="303" t="s">
        <v>1958</v>
      </c>
      <c r="G938" s="303" t="s">
        <v>1957</v>
      </c>
      <c r="H938" s="303" t="s">
        <v>1956</v>
      </c>
      <c r="I938" s="304">
        <v>-1903</v>
      </c>
      <c r="J938" s="303" t="s">
        <v>1906</v>
      </c>
      <c r="K938" s="303" t="s">
        <v>1391</v>
      </c>
      <c r="L938" s="303" t="s">
        <v>1956</v>
      </c>
      <c r="M938" s="303" t="s">
        <v>2270</v>
      </c>
      <c r="N938" s="303" t="s">
        <v>1987</v>
      </c>
      <c r="O938" s="303" t="s">
        <v>1986</v>
      </c>
      <c r="P938" s="328">
        <v>43448</v>
      </c>
      <c r="Q938" s="303" t="s">
        <v>1952</v>
      </c>
      <c r="R938" s="303">
        <f t="shared" si="18"/>
        <v>0</v>
      </c>
      <c r="S938" s="303">
        <v>0</v>
      </c>
    </row>
    <row r="939" spans="1:19" x14ac:dyDescent="0.25">
      <c r="A939" s="303" t="s">
        <v>2269</v>
      </c>
      <c r="B939" s="303" t="s">
        <v>2268</v>
      </c>
      <c r="C939" s="328">
        <v>43448</v>
      </c>
      <c r="D939" s="303" t="s">
        <v>1965</v>
      </c>
      <c r="E939" s="303" t="s">
        <v>1964</v>
      </c>
      <c r="F939" s="303" t="s">
        <v>1967</v>
      </c>
      <c r="G939" s="303" t="s">
        <v>1391</v>
      </c>
      <c r="H939" s="303" t="s">
        <v>1956</v>
      </c>
      <c r="I939" s="304">
        <v>8097</v>
      </c>
      <c r="J939" s="303" t="s">
        <v>1906</v>
      </c>
      <c r="K939" s="303" t="s">
        <v>1391</v>
      </c>
      <c r="L939" s="303" t="s">
        <v>1956</v>
      </c>
      <c r="M939" s="303" t="s">
        <v>2267</v>
      </c>
      <c r="N939" s="303" t="s">
        <v>1987</v>
      </c>
      <c r="O939" s="303" t="s">
        <v>1986</v>
      </c>
      <c r="P939" s="328">
        <v>43448</v>
      </c>
      <c r="Q939" s="303" t="s">
        <v>1952</v>
      </c>
      <c r="R939" s="303">
        <f t="shared" si="18"/>
        <v>0</v>
      </c>
      <c r="S939" s="303">
        <v>0</v>
      </c>
    </row>
    <row r="940" spans="1:19" x14ac:dyDescent="0.25">
      <c r="A940" s="303" t="s">
        <v>2269</v>
      </c>
      <c r="B940" s="303" t="s">
        <v>2268</v>
      </c>
      <c r="C940" s="328">
        <v>43448</v>
      </c>
      <c r="D940" s="303" t="s">
        <v>1961</v>
      </c>
      <c r="E940" s="303" t="s">
        <v>1960</v>
      </c>
      <c r="F940" s="303" t="s">
        <v>1967</v>
      </c>
      <c r="G940" s="303" t="s">
        <v>1391</v>
      </c>
      <c r="H940" s="303" t="s">
        <v>1956</v>
      </c>
      <c r="I940" s="304">
        <v>-8097</v>
      </c>
      <c r="J940" s="303" t="s">
        <v>1906</v>
      </c>
      <c r="K940" s="303" t="s">
        <v>1391</v>
      </c>
      <c r="L940" s="303" t="s">
        <v>1956</v>
      </c>
      <c r="M940" s="303" t="s">
        <v>2267</v>
      </c>
      <c r="N940" s="303" t="s">
        <v>1987</v>
      </c>
      <c r="O940" s="303" t="s">
        <v>1986</v>
      </c>
      <c r="P940" s="328">
        <v>43448</v>
      </c>
      <c r="Q940" s="303" t="s">
        <v>1952</v>
      </c>
      <c r="R940" s="303">
        <f t="shared" si="18"/>
        <v>0</v>
      </c>
      <c r="S940" s="303">
        <v>0</v>
      </c>
    </row>
    <row r="941" spans="1:19" x14ac:dyDescent="0.25">
      <c r="A941" s="303" t="s">
        <v>2266</v>
      </c>
      <c r="B941" s="303" t="s">
        <v>2265</v>
      </c>
      <c r="C941" s="328">
        <v>43448</v>
      </c>
      <c r="D941" s="303" t="s">
        <v>1965</v>
      </c>
      <c r="E941" s="303" t="s">
        <v>1964</v>
      </c>
      <c r="F941" s="303" t="s">
        <v>1689</v>
      </c>
      <c r="G941" s="303" t="s">
        <v>1537</v>
      </c>
      <c r="H941" s="303" t="s">
        <v>1956</v>
      </c>
      <c r="I941" s="304">
        <v>6037</v>
      </c>
      <c r="J941" s="303" t="s">
        <v>1846</v>
      </c>
      <c r="K941" s="303" t="s">
        <v>1959</v>
      </c>
      <c r="L941" s="303" t="s">
        <v>1956</v>
      </c>
      <c r="M941" s="303" t="s">
        <v>1609</v>
      </c>
      <c r="N941" s="303" t="s">
        <v>1977</v>
      </c>
      <c r="O941" s="303" t="s">
        <v>1976</v>
      </c>
      <c r="P941" s="328">
        <v>43448</v>
      </c>
      <c r="Q941" s="303" t="s">
        <v>1952</v>
      </c>
      <c r="R941" s="303">
        <f t="shared" si="18"/>
        <v>1</v>
      </c>
      <c r="S941" s="303">
        <v>0</v>
      </c>
    </row>
    <row r="942" spans="1:19" x14ac:dyDescent="0.25">
      <c r="A942" s="303" t="s">
        <v>2266</v>
      </c>
      <c r="B942" s="303" t="s">
        <v>2265</v>
      </c>
      <c r="C942" s="328">
        <v>43448</v>
      </c>
      <c r="D942" s="303" t="s">
        <v>1961</v>
      </c>
      <c r="E942" s="303" t="s">
        <v>1960</v>
      </c>
      <c r="F942" s="303" t="s">
        <v>1689</v>
      </c>
      <c r="G942" s="303" t="s">
        <v>1537</v>
      </c>
      <c r="H942" s="303" t="s">
        <v>1956</v>
      </c>
      <c r="I942" s="304">
        <v>-6037</v>
      </c>
      <c r="J942" s="303" t="s">
        <v>1846</v>
      </c>
      <c r="K942" s="303" t="s">
        <v>1959</v>
      </c>
      <c r="L942" s="303" t="s">
        <v>1956</v>
      </c>
      <c r="M942" s="303" t="s">
        <v>1609</v>
      </c>
      <c r="N942" s="303" t="s">
        <v>1977</v>
      </c>
      <c r="O942" s="303" t="s">
        <v>1976</v>
      </c>
      <c r="P942" s="328">
        <v>43448</v>
      </c>
      <c r="Q942" s="303" t="s">
        <v>1952</v>
      </c>
      <c r="R942" s="303">
        <f t="shared" si="18"/>
        <v>1</v>
      </c>
      <c r="S942" s="303">
        <v>0</v>
      </c>
    </row>
    <row r="943" spans="1:19" x14ac:dyDescent="0.25">
      <c r="A943" s="303" t="s">
        <v>2264</v>
      </c>
      <c r="B943" s="303" t="s">
        <v>2263</v>
      </c>
      <c r="C943" s="328">
        <v>43448</v>
      </c>
      <c r="D943" s="303" t="s">
        <v>1965</v>
      </c>
      <c r="E943" s="303" t="s">
        <v>1964</v>
      </c>
      <c r="F943" s="303" t="s">
        <v>1846</v>
      </c>
      <c r="G943" s="303" t="s">
        <v>1959</v>
      </c>
      <c r="H943" s="303" t="s">
        <v>1956</v>
      </c>
      <c r="I943" s="304">
        <v>6037</v>
      </c>
      <c r="J943" s="303" t="s">
        <v>1689</v>
      </c>
      <c r="K943" s="303" t="s">
        <v>1537</v>
      </c>
      <c r="L943" s="303" t="s">
        <v>1956</v>
      </c>
      <c r="M943" s="303" t="s">
        <v>2262</v>
      </c>
      <c r="N943" s="303" t="s">
        <v>1977</v>
      </c>
      <c r="O943" s="303" t="s">
        <v>1976</v>
      </c>
      <c r="P943" s="328">
        <v>43448</v>
      </c>
      <c r="Q943" s="303" t="s">
        <v>1952</v>
      </c>
      <c r="R943" s="303">
        <f t="shared" si="18"/>
        <v>1</v>
      </c>
      <c r="S943" s="303">
        <v>0</v>
      </c>
    </row>
    <row r="944" spans="1:19" x14ac:dyDescent="0.25">
      <c r="A944" s="303" t="s">
        <v>2264</v>
      </c>
      <c r="B944" s="303" t="s">
        <v>2263</v>
      </c>
      <c r="C944" s="328">
        <v>43448</v>
      </c>
      <c r="D944" s="303" t="s">
        <v>1961</v>
      </c>
      <c r="E944" s="303" t="s">
        <v>1960</v>
      </c>
      <c r="F944" s="303" t="s">
        <v>1846</v>
      </c>
      <c r="G944" s="303" t="s">
        <v>1959</v>
      </c>
      <c r="H944" s="303" t="s">
        <v>1956</v>
      </c>
      <c r="I944" s="304">
        <v>-6037</v>
      </c>
      <c r="J944" s="303" t="s">
        <v>1689</v>
      </c>
      <c r="K944" s="303" t="s">
        <v>1537</v>
      </c>
      <c r="L944" s="303" t="s">
        <v>1956</v>
      </c>
      <c r="M944" s="303" t="s">
        <v>2262</v>
      </c>
      <c r="N944" s="303" t="s">
        <v>1977</v>
      </c>
      <c r="O944" s="303" t="s">
        <v>1976</v>
      </c>
      <c r="P944" s="328">
        <v>43448</v>
      </c>
      <c r="Q944" s="303" t="s">
        <v>1952</v>
      </c>
      <c r="R944" s="303">
        <f t="shared" si="18"/>
        <v>1</v>
      </c>
      <c r="S944" s="303">
        <v>0</v>
      </c>
    </row>
    <row r="945" spans="1:19" x14ac:dyDescent="0.25">
      <c r="A945" s="303" t="s">
        <v>2261</v>
      </c>
      <c r="B945" s="303" t="s">
        <v>2260</v>
      </c>
      <c r="C945" s="328">
        <v>43448</v>
      </c>
      <c r="D945" s="303" t="s">
        <v>1965</v>
      </c>
      <c r="E945" s="303" t="s">
        <v>1964</v>
      </c>
      <c r="F945" s="303" t="s">
        <v>1689</v>
      </c>
      <c r="G945" s="303" t="s">
        <v>1537</v>
      </c>
      <c r="H945" s="303" t="s">
        <v>1956</v>
      </c>
      <c r="I945" s="304">
        <v>6037</v>
      </c>
      <c r="J945" s="303" t="s">
        <v>1846</v>
      </c>
      <c r="K945" s="303" t="s">
        <v>1959</v>
      </c>
      <c r="L945" s="303" t="s">
        <v>1956</v>
      </c>
      <c r="M945" s="303" t="s">
        <v>2259</v>
      </c>
      <c r="N945" s="303" t="s">
        <v>1977</v>
      </c>
      <c r="O945" s="303" t="s">
        <v>1976</v>
      </c>
      <c r="P945" s="328">
        <v>43448</v>
      </c>
      <c r="Q945" s="303" t="s">
        <v>1952</v>
      </c>
      <c r="R945" s="303">
        <f t="shared" si="18"/>
        <v>1</v>
      </c>
      <c r="S945" s="303">
        <v>1</v>
      </c>
    </row>
    <row r="946" spans="1:19" x14ac:dyDescent="0.25">
      <c r="A946" s="303" t="s">
        <v>2261</v>
      </c>
      <c r="B946" s="303" t="s">
        <v>2260</v>
      </c>
      <c r="C946" s="328">
        <v>43448</v>
      </c>
      <c r="D946" s="303" t="s">
        <v>1961</v>
      </c>
      <c r="E946" s="303" t="s">
        <v>1960</v>
      </c>
      <c r="F946" s="303" t="s">
        <v>1689</v>
      </c>
      <c r="G946" s="303" t="s">
        <v>1537</v>
      </c>
      <c r="H946" s="303" t="s">
        <v>1956</v>
      </c>
      <c r="I946" s="304">
        <v>-6037</v>
      </c>
      <c r="J946" s="303" t="s">
        <v>1846</v>
      </c>
      <c r="K946" s="303" t="s">
        <v>1959</v>
      </c>
      <c r="L946" s="303" t="s">
        <v>1956</v>
      </c>
      <c r="M946" s="303" t="s">
        <v>2259</v>
      </c>
      <c r="N946" s="303" t="s">
        <v>1977</v>
      </c>
      <c r="O946" s="303" t="s">
        <v>1976</v>
      </c>
      <c r="P946" s="328">
        <v>43448</v>
      </c>
      <c r="Q946" s="303" t="s">
        <v>1952</v>
      </c>
      <c r="R946" s="303">
        <f t="shared" si="18"/>
        <v>1</v>
      </c>
      <c r="S946" s="303">
        <v>1</v>
      </c>
    </row>
    <row r="947" spans="1:19" x14ac:dyDescent="0.25">
      <c r="A947" s="303" t="s">
        <v>2258</v>
      </c>
      <c r="B947" s="303" t="s">
        <v>2257</v>
      </c>
      <c r="C947" s="328">
        <v>43451</v>
      </c>
      <c r="D947" s="303" t="s">
        <v>1965</v>
      </c>
      <c r="E947" s="303" t="s">
        <v>1964</v>
      </c>
      <c r="F947" s="303" t="s">
        <v>2014</v>
      </c>
      <c r="G947" s="303" t="s">
        <v>1430</v>
      </c>
      <c r="H947" s="303" t="s">
        <v>1956</v>
      </c>
      <c r="I947" s="304">
        <v>1875</v>
      </c>
      <c r="J947" s="303" t="s">
        <v>1826</v>
      </c>
      <c r="K947" s="303" t="s">
        <v>1430</v>
      </c>
      <c r="L947" s="303" t="s">
        <v>1956</v>
      </c>
      <c r="M947" s="303" t="s">
        <v>2013</v>
      </c>
      <c r="N947" s="303" t="s">
        <v>1987</v>
      </c>
      <c r="O947" s="303" t="s">
        <v>1986</v>
      </c>
      <c r="P947" s="328">
        <v>43451</v>
      </c>
      <c r="Q947" s="303" t="s">
        <v>1952</v>
      </c>
      <c r="R947" s="303">
        <f t="shared" si="18"/>
        <v>1</v>
      </c>
      <c r="S947" s="303">
        <v>0</v>
      </c>
    </row>
    <row r="948" spans="1:19" x14ac:dyDescent="0.25">
      <c r="A948" s="303" t="s">
        <v>2258</v>
      </c>
      <c r="B948" s="303" t="s">
        <v>2257</v>
      </c>
      <c r="C948" s="328">
        <v>43451</v>
      </c>
      <c r="D948" s="303" t="s">
        <v>1961</v>
      </c>
      <c r="E948" s="303" t="s">
        <v>1960</v>
      </c>
      <c r="F948" s="303" t="s">
        <v>2014</v>
      </c>
      <c r="G948" s="303" t="s">
        <v>1430</v>
      </c>
      <c r="H948" s="303" t="s">
        <v>1956</v>
      </c>
      <c r="I948" s="304">
        <v>-1875</v>
      </c>
      <c r="J948" s="303" t="s">
        <v>1826</v>
      </c>
      <c r="K948" s="303" t="s">
        <v>1430</v>
      </c>
      <c r="L948" s="303" t="s">
        <v>1956</v>
      </c>
      <c r="M948" s="303" t="s">
        <v>2013</v>
      </c>
      <c r="N948" s="303" t="s">
        <v>1987</v>
      </c>
      <c r="O948" s="303" t="s">
        <v>1986</v>
      </c>
      <c r="P948" s="328">
        <v>43451</v>
      </c>
      <c r="Q948" s="303" t="s">
        <v>1952</v>
      </c>
      <c r="R948" s="303">
        <f t="shared" si="18"/>
        <v>1</v>
      </c>
      <c r="S948" s="303">
        <v>0</v>
      </c>
    </row>
    <row r="949" spans="1:19" x14ac:dyDescent="0.25">
      <c r="A949" s="303" t="s">
        <v>2256</v>
      </c>
      <c r="B949" s="303" t="s">
        <v>2255</v>
      </c>
      <c r="C949" s="328">
        <v>43451</v>
      </c>
      <c r="D949" s="303" t="s">
        <v>1965</v>
      </c>
      <c r="E949" s="303" t="s">
        <v>1964</v>
      </c>
      <c r="F949" s="303" t="s">
        <v>1655</v>
      </c>
      <c r="G949" s="303" t="s">
        <v>1561</v>
      </c>
      <c r="H949" s="303" t="s">
        <v>1956</v>
      </c>
      <c r="I949" s="304">
        <v>9400</v>
      </c>
      <c r="J949" s="303" t="s">
        <v>1958</v>
      </c>
      <c r="K949" s="303" t="s">
        <v>1957</v>
      </c>
      <c r="L949" s="303" t="s">
        <v>1956</v>
      </c>
      <c r="M949" s="303" t="s">
        <v>2022</v>
      </c>
      <c r="N949" s="303" t="s">
        <v>1987</v>
      </c>
      <c r="O949" s="303" t="s">
        <v>1986</v>
      </c>
      <c r="P949" s="328">
        <v>43451</v>
      </c>
      <c r="Q949" s="303" t="s">
        <v>1952</v>
      </c>
      <c r="R949" s="303">
        <f t="shared" si="18"/>
        <v>0</v>
      </c>
      <c r="S949" s="303">
        <v>0</v>
      </c>
    </row>
    <row r="950" spans="1:19" x14ac:dyDescent="0.25">
      <c r="A950" s="303" t="s">
        <v>2256</v>
      </c>
      <c r="B950" s="303" t="s">
        <v>2255</v>
      </c>
      <c r="C950" s="328">
        <v>43451</v>
      </c>
      <c r="D950" s="303" t="s">
        <v>1961</v>
      </c>
      <c r="E950" s="303" t="s">
        <v>1960</v>
      </c>
      <c r="F950" s="303" t="s">
        <v>1655</v>
      </c>
      <c r="G950" s="303" t="s">
        <v>1561</v>
      </c>
      <c r="H950" s="303" t="s">
        <v>1956</v>
      </c>
      <c r="I950" s="304">
        <v>-9400</v>
      </c>
      <c r="J950" s="303" t="s">
        <v>1958</v>
      </c>
      <c r="K950" s="303" t="s">
        <v>1957</v>
      </c>
      <c r="L950" s="303" t="s">
        <v>1956</v>
      </c>
      <c r="M950" s="303" t="s">
        <v>2022</v>
      </c>
      <c r="N950" s="303" t="s">
        <v>1987</v>
      </c>
      <c r="O950" s="303" t="s">
        <v>1986</v>
      </c>
      <c r="P950" s="328">
        <v>43451</v>
      </c>
      <c r="Q950" s="303" t="s">
        <v>1952</v>
      </c>
      <c r="R950" s="303">
        <f t="shared" si="18"/>
        <v>0</v>
      </c>
      <c r="S950" s="303">
        <v>0</v>
      </c>
    </row>
    <row r="951" spans="1:19" x14ac:dyDescent="0.25">
      <c r="A951" s="303" t="s">
        <v>2254</v>
      </c>
      <c r="B951" s="303" t="s">
        <v>2253</v>
      </c>
      <c r="C951" s="328">
        <v>43451</v>
      </c>
      <c r="D951" s="303" t="s">
        <v>1965</v>
      </c>
      <c r="E951" s="303" t="s">
        <v>1964</v>
      </c>
      <c r="F951" s="303" t="s">
        <v>1655</v>
      </c>
      <c r="G951" s="303" t="s">
        <v>1561</v>
      </c>
      <c r="H951" s="303" t="s">
        <v>1956</v>
      </c>
      <c r="I951" s="304">
        <v>40000</v>
      </c>
      <c r="J951" s="303" t="s">
        <v>1967</v>
      </c>
      <c r="K951" s="303" t="s">
        <v>1561</v>
      </c>
      <c r="L951" s="303" t="s">
        <v>1956</v>
      </c>
      <c r="M951" s="303" t="s">
        <v>2019</v>
      </c>
      <c r="N951" s="303" t="s">
        <v>1987</v>
      </c>
      <c r="O951" s="303" t="s">
        <v>1986</v>
      </c>
      <c r="P951" s="328">
        <v>43451</v>
      </c>
      <c r="Q951" s="303" t="s">
        <v>1952</v>
      </c>
      <c r="R951" s="303">
        <f t="shared" si="18"/>
        <v>0</v>
      </c>
      <c r="S951" s="303">
        <v>0</v>
      </c>
    </row>
    <row r="952" spans="1:19" x14ac:dyDescent="0.25">
      <c r="A952" s="303" t="s">
        <v>2254</v>
      </c>
      <c r="B952" s="303" t="s">
        <v>2253</v>
      </c>
      <c r="C952" s="328">
        <v>43451</v>
      </c>
      <c r="D952" s="303" t="s">
        <v>1961</v>
      </c>
      <c r="E952" s="303" t="s">
        <v>1960</v>
      </c>
      <c r="F952" s="303" t="s">
        <v>1655</v>
      </c>
      <c r="G952" s="303" t="s">
        <v>1561</v>
      </c>
      <c r="H952" s="303" t="s">
        <v>1956</v>
      </c>
      <c r="I952" s="304">
        <v>-40000</v>
      </c>
      <c r="J952" s="303" t="s">
        <v>1967</v>
      </c>
      <c r="K952" s="303" t="s">
        <v>1561</v>
      </c>
      <c r="L952" s="303" t="s">
        <v>1956</v>
      </c>
      <c r="M952" s="303" t="s">
        <v>2019</v>
      </c>
      <c r="N952" s="303" t="s">
        <v>1987</v>
      </c>
      <c r="O952" s="303" t="s">
        <v>1986</v>
      </c>
      <c r="P952" s="328">
        <v>43451</v>
      </c>
      <c r="Q952" s="303" t="s">
        <v>1952</v>
      </c>
      <c r="R952" s="303">
        <f t="shared" si="18"/>
        <v>0</v>
      </c>
      <c r="S952" s="303">
        <v>0</v>
      </c>
    </row>
    <row r="953" spans="1:19" x14ac:dyDescent="0.25">
      <c r="A953" s="303" t="s">
        <v>2252</v>
      </c>
      <c r="B953" s="303" t="s">
        <v>2251</v>
      </c>
      <c r="C953" s="328">
        <v>43451</v>
      </c>
      <c r="D953" s="303" t="s">
        <v>1965</v>
      </c>
      <c r="E953" s="303" t="s">
        <v>1964</v>
      </c>
      <c r="F953" s="303" t="s">
        <v>1655</v>
      </c>
      <c r="G953" s="303" t="s">
        <v>1561</v>
      </c>
      <c r="H953" s="303" t="s">
        <v>1956</v>
      </c>
      <c r="I953" s="304">
        <v>4100</v>
      </c>
      <c r="J953" s="303" t="s">
        <v>2014</v>
      </c>
      <c r="K953" s="303" t="s">
        <v>1561</v>
      </c>
      <c r="L953" s="303" t="s">
        <v>1956</v>
      </c>
      <c r="M953" s="303" t="s">
        <v>2250</v>
      </c>
      <c r="N953" s="303" t="s">
        <v>1987</v>
      </c>
      <c r="O953" s="303" t="s">
        <v>1986</v>
      </c>
      <c r="P953" s="328">
        <v>43451</v>
      </c>
      <c r="Q953" s="303" t="s">
        <v>1952</v>
      </c>
      <c r="R953" s="303">
        <f t="shared" si="18"/>
        <v>1</v>
      </c>
      <c r="S953" s="303">
        <v>0</v>
      </c>
    </row>
    <row r="954" spans="1:19" x14ac:dyDescent="0.25">
      <c r="A954" s="303" t="s">
        <v>2252</v>
      </c>
      <c r="B954" s="303" t="s">
        <v>2251</v>
      </c>
      <c r="C954" s="328">
        <v>43451</v>
      </c>
      <c r="D954" s="303" t="s">
        <v>1961</v>
      </c>
      <c r="E954" s="303" t="s">
        <v>1960</v>
      </c>
      <c r="F954" s="303" t="s">
        <v>1655</v>
      </c>
      <c r="G954" s="303" t="s">
        <v>1561</v>
      </c>
      <c r="H954" s="303" t="s">
        <v>1956</v>
      </c>
      <c r="I954" s="304">
        <v>-4100</v>
      </c>
      <c r="J954" s="303" t="s">
        <v>2014</v>
      </c>
      <c r="K954" s="303" t="s">
        <v>1561</v>
      </c>
      <c r="L954" s="303" t="s">
        <v>1956</v>
      </c>
      <c r="M954" s="303" t="s">
        <v>2250</v>
      </c>
      <c r="N954" s="303" t="s">
        <v>1987</v>
      </c>
      <c r="O954" s="303" t="s">
        <v>1986</v>
      </c>
      <c r="P954" s="328">
        <v>43451</v>
      </c>
      <c r="Q954" s="303" t="s">
        <v>1952</v>
      </c>
      <c r="R954" s="303">
        <f t="shared" si="18"/>
        <v>1</v>
      </c>
      <c r="S954" s="303">
        <v>0</v>
      </c>
    </row>
    <row r="955" spans="1:19" x14ac:dyDescent="0.25">
      <c r="A955" s="303" t="s">
        <v>2249</v>
      </c>
      <c r="B955" s="303" t="s">
        <v>2248</v>
      </c>
      <c r="C955" s="328">
        <v>43451</v>
      </c>
      <c r="D955" s="303" t="s">
        <v>1965</v>
      </c>
      <c r="E955" s="303" t="s">
        <v>1964</v>
      </c>
      <c r="F955" s="303" t="s">
        <v>2014</v>
      </c>
      <c r="G955" s="303" t="s">
        <v>2123</v>
      </c>
      <c r="H955" s="303" t="s">
        <v>1956</v>
      </c>
      <c r="I955" s="304">
        <v>9000</v>
      </c>
      <c r="J955" s="303" t="s">
        <v>2014</v>
      </c>
      <c r="K955" s="303" t="s">
        <v>2054</v>
      </c>
      <c r="L955" s="303" t="s">
        <v>1956</v>
      </c>
      <c r="M955" s="303" t="s">
        <v>2247</v>
      </c>
      <c r="N955" s="303" t="s">
        <v>1987</v>
      </c>
      <c r="O955" s="303" t="s">
        <v>1986</v>
      </c>
      <c r="P955" s="328">
        <v>43451</v>
      </c>
      <c r="Q955" s="303" t="s">
        <v>1952</v>
      </c>
      <c r="R955" s="303">
        <f t="shared" si="18"/>
        <v>1</v>
      </c>
      <c r="S955" s="303">
        <v>0</v>
      </c>
    </row>
    <row r="956" spans="1:19" x14ac:dyDescent="0.25">
      <c r="A956" s="303" t="s">
        <v>2249</v>
      </c>
      <c r="B956" s="303" t="s">
        <v>2248</v>
      </c>
      <c r="C956" s="328">
        <v>43451</v>
      </c>
      <c r="D956" s="303" t="s">
        <v>1961</v>
      </c>
      <c r="E956" s="303" t="s">
        <v>1960</v>
      </c>
      <c r="F956" s="303" t="s">
        <v>2014</v>
      </c>
      <c r="G956" s="303" t="s">
        <v>2123</v>
      </c>
      <c r="H956" s="303" t="s">
        <v>1956</v>
      </c>
      <c r="I956" s="304">
        <v>-9000</v>
      </c>
      <c r="J956" s="303" t="s">
        <v>2014</v>
      </c>
      <c r="K956" s="303" t="s">
        <v>2054</v>
      </c>
      <c r="L956" s="303" t="s">
        <v>1956</v>
      </c>
      <c r="M956" s="303" t="s">
        <v>2247</v>
      </c>
      <c r="N956" s="303" t="s">
        <v>1987</v>
      </c>
      <c r="O956" s="303" t="s">
        <v>1986</v>
      </c>
      <c r="P956" s="328">
        <v>43451</v>
      </c>
      <c r="Q956" s="303" t="s">
        <v>1952</v>
      </c>
      <c r="R956" s="303">
        <f t="shared" si="18"/>
        <v>1</v>
      </c>
      <c r="S956" s="303">
        <v>0</v>
      </c>
    </row>
    <row r="957" spans="1:19" x14ac:dyDescent="0.25">
      <c r="A957" s="303" t="s">
        <v>2246</v>
      </c>
      <c r="B957" s="303" t="s">
        <v>2245</v>
      </c>
      <c r="C957" s="328">
        <v>43451</v>
      </c>
      <c r="D957" s="303" t="s">
        <v>1965</v>
      </c>
      <c r="E957" s="303" t="s">
        <v>1964</v>
      </c>
      <c r="F957" s="303" t="s">
        <v>1729</v>
      </c>
      <c r="G957" s="303" t="s">
        <v>1499</v>
      </c>
      <c r="H957" s="303" t="s">
        <v>1956</v>
      </c>
      <c r="I957" s="304">
        <v>16917</v>
      </c>
      <c r="J957" s="303" t="s">
        <v>1609</v>
      </c>
      <c r="K957" s="303" t="s">
        <v>1609</v>
      </c>
      <c r="L957" s="303" t="s">
        <v>1609</v>
      </c>
      <c r="M957" s="303" t="s">
        <v>2244</v>
      </c>
      <c r="N957" s="303" t="s">
        <v>2031</v>
      </c>
      <c r="O957" s="303" t="s">
        <v>2030</v>
      </c>
      <c r="P957" s="328">
        <v>43451</v>
      </c>
      <c r="Q957" s="303" t="s">
        <v>1952</v>
      </c>
      <c r="R957" s="303">
        <f t="shared" si="18"/>
        <v>1</v>
      </c>
      <c r="S957" s="303">
        <v>1</v>
      </c>
    </row>
    <row r="958" spans="1:19" x14ac:dyDescent="0.25">
      <c r="A958" s="303" t="s">
        <v>2243</v>
      </c>
      <c r="B958" s="303" t="s">
        <v>2242</v>
      </c>
      <c r="C958" s="328">
        <v>43451</v>
      </c>
      <c r="D958" s="303" t="s">
        <v>1965</v>
      </c>
      <c r="E958" s="303" t="s">
        <v>1964</v>
      </c>
      <c r="F958" s="303" t="s">
        <v>1924</v>
      </c>
      <c r="G958" s="303" t="s">
        <v>1373</v>
      </c>
      <c r="H958" s="303" t="s">
        <v>1956</v>
      </c>
      <c r="I958" s="304">
        <v>3035</v>
      </c>
      <c r="J958" s="303" t="s">
        <v>1918</v>
      </c>
      <c r="K958" s="303" t="s">
        <v>2183</v>
      </c>
      <c r="L958" s="303" t="s">
        <v>1956</v>
      </c>
      <c r="M958" s="303" t="s">
        <v>2241</v>
      </c>
      <c r="N958" s="303" t="s">
        <v>1987</v>
      </c>
      <c r="O958" s="303" t="s">
        <v>1986</v>
      </c>
      <c r="P958" s="328">
        <v>43451</v>
      </c>
      <c r="Q958" s="303" t="s">
        <v>1952</v>
      </c>
      <c r="R958" s="303">
        <f t="shared" si="18"/>
        <v>1</v>
      </c>
      <c r="S958" s="303">
        <v>1</v>
      </c>
    </row>
    <row r="959" spans="1:19" x14ac:dyDescent="0.25">
      <c r="A959" s="303" t="s">
        <v>2243</v>
      </c>
      <c r="B959" s="303" t="s">
        <v>2242</v>
      </c>
      <c r="C959" s="328">
        <v>43451</v>
      </c>
      <c r="D959" s="303" t="s">
        <v>1961</v>
      </c>
      <c r="E959" s="303" t="s">
        <v>1960</v>
      </c>
      <c r="F959" s="303" t="s">
        <v>1924</v>
      </c>
      <c r="G959" s="303" t="s">
        <v>1373</v>
      </c>
      <c r="H959" s="303" t="s">
        <v>1956</v>
      </c>
      <c r="I959" s="304">
        <v>-3035</v>
      </c>
      <c r="J959" s="303" t="s">
        <v>1918</v>
      </c>
      <c r="K959" s="303" t="s">
        <v>2183</v>
      </c>
      <c r="L959" s="303" t="s">
        <v>1956</v>
      </c>
      <c r="M959" s="303" t="s">
        <v>2241</v>
      </c>
      <c r="N959" s="303" t="s">
        <v>1987</v>
      </c>
      <c r="O959" s="303" t="s">
        <v>1986</v>
      </c>
      <c r="P959" s="328">
        <v>43451</v>
      </c>
      <c r="Q959" s="303" t="s">
        <v>1952</v>
      </c>
      <c r="R959" s="303">
        <f t="shared" si="18"/>
        <v>1</v>
      </c>
      <c r="S959" s="303">
        <v>1</v>
      </c>
    </row>
    <row r="960" spans="1:19" x14ac:dyDescent="0.25">
      <c r="A960" s="303" t="s">
        <v>2240</v>
      </c>
      <c r="B960" s="303" t="s">
        <v>2239</v>
      </c>
      <c r="C960" s="328">
        <v>43451</v>
      </c>
      <c r="D960" s="303" t="s">
        <v>1965</v>
      </c>
      <c r="E960" s="303" t="s">
        <v>1964</v>
      </c>
      <c r="F960" s="303" t="s">
        <v>1834</v>
      </c>
      <c r="G960" s="303" t="s">
        <v>2123</v>
      </c>
      <c r="H960" s="303" t="s">
        <v>1956</v>
      </c>
      <c r="I960" s="304">
        <v>4924</v>
      </c>
      <c r="J960" s="303" t="s">
        <v>1828</v>
      </c>
      <c r="K960" s="303" t="s">
        <v>2154</v>
      </c>
      <c r="L960" s="303" t="s">
        <v>1956</v>
      </c>
      <c r="M960" s="303" t="s">
        <v>2238</v>
      </c>
      <c r="N960" s="303" t="s">
        <v>1987</v>
      </c>
      <c r="O960" s="303" t="s">
        <v>1986</v>
      </c>
      <c r="P960" s="328">
        <v>43451</v>
      </c>
      <c r="Q960" s="303" t="s">
        <v>1952</v>
      </c>
      <c r="R960" s="303">
        <f t="shared" si="18"/>
        <v>1</v>
      </c>
      <c r="S960" s="303">
        <v>0</v>
      </c>
    </row>
    <row r="961" spans="1:19" x14ac:dyDescent="0.25">
      <c r="A961" s="303" t="s">
        <v>2240</v>
      </c>
      <c r="B961" s="303" t="s">
        <v>2239</v>
      </c>
      <c r="C961" s="328">
        <v>43451</v>
      </c>
      <c r="D961" s="303" t="s">
        <v>1961</v>
      </c>
      <c r="E961" s="303" t="s">
        <v>1960</v>
      </c>
      <c r="F961" s="303" t="s">
        <v>1834</v>
      </c>
      <c r="G961" s="303" t="s">
        <v>2123</v>
      </c>
      <c r="H961" s="303" t="s">
        <v>1956</v>
      </c>
      <c r="I961" s="304">
        <v>-4924</v>
      </c>
      <c r="J961" s="303" t="s">
        <v>1828</v>
      </c>
      <c r="K961" s="303" t="s">
        <v>2154</v>
      </c>
      <c r="L961" s="303" t="s">
        <v>1956</v>
      </c>
      <c r="M961" s="303" t="s">
        <v>2238</v>
      </c>
      <c r="N961" s="303" t="s">
        <v>1987</v>
      </c>
      <c r="O961" s="303" t="s">
        <v>1986</v>
      </c>
      <c r="P961" s="328">
        <v>43451</v>
      </c>
      <c r="Q961" s="303" t="s">
        <v>1952</v>
      </c>
      <c r="R961" s="303">
        <f t="shared" si="18"/>
        <v>1</v>
      </c>
      <c r="S961" s="303">
        <v>0</v>
      </c>
    </row>
    <row r="962" spans="1:19" x14ac:dyDescent="0.25">
      <c r="A962" s="303" t="s">
        <v>2237</v>
      </c>
      <c r="B962" s="303" t="s">
        <v>2236</v>
      </c>
      <c r="C962" s="328">
        <v>43451</v>
      </c>
      <c r="D962" s="303" t="s">
        <v>1965</v>
      </c>
      <c r="E962" s="303" t="s">
        <v>1964</v>
      </c>
      <c r="F962" s="303" t="s">
        <v>2014</v>
      </c>
      <c r="G962" s="303" t="s">
        <v>2232</v>
      </c>
      <c r="H962" s="303" t="s">
        <v>1956</v>
      </c>
      <c r="I962" s="304">
        <v>3269</v>
      </c>
      <c r="J962" s="303" t="s">
        <v>1828</v>
      </c>
      <c r="K962" s="303" t="s">
        <v>2154</v>
      </c>
      <c r="L962" s="303" t="s">
        <v>1956</v>
      </c>
      <c r="M962" s="303" t="s">
        <v>2235</v>
      </c>
      <c r="N962" s="303" t="s">
        <v>1987</v>
      </c>
      <c r="O962" s="303" t="s">
        <v>1986</v>
      </c>
      <c r="P962" s="328">
        <v>43451</v>
      </c>
      <c r="Q962" s="303" t="s">
        <v>1952</v>
      </c>
      <c r="R962" s="303">
        <f t="shared" si="18"/>
        <v>1</v>
      </c>
      <c r="S962" s="303">
        <v>0</v>
      </c>
    </row>
    <row r="963" spans="1:19" x14ac:dyDescent="0.25">
      <c r="A963" s="303" t="s">
        <v>2237</v>
      </c>
      <c r="B963" s="303" t="s">
        <v>2236</v>
      </c>
      <c r="C963" s="328">
        <v>43451</v>
      </c>
      <c r="D963" s="303" t="s">
        <v>1961</v>
      </c>
      <c r="E963" s="303" t="s">
        <v>1960</v>
      </c>
      <c r="F963" s="303" t="s">
        <v>2014</v>
      </c>
      <c r="G963" s="303" t="s">
        <v>2232</v>
      </c>
      <c r="H963" s="303" t="s">
        <v>1956</v>
      </c>
      <c r="I963" s="304">
        <v>-3269</v>
      </c>
      <c r="J963" s="303" t="s">
        <v>1828</v>
      </c>
      <c r="K963" s="303" t="s">
        <v>2154</v>
      </c>
      <c r="L963" s="303" t="s">
        <v>1956</v>
      </c>
      <c r="M963" s="303" t="s">
        <v>2235</v>
      </c>
      <c r="N963" s="303" t="s">
        <v>1987</v>
      </c>
      <c r="O963" s="303" t="s">
        <v>1986</v>
      </c>
      <c r="P963" s="328">
        <v>43451</v>
      </c>
      <c r="Q963" s="303" t="s">
        <v>1952</v>
      </c>
      <c r="R963" s="303">
        <f t="shared" ref="R963:R1026" si="19">IF(OR(M963="transfert de B vers A",M963="transfert de B vers D",M963="transfert de A vers B",M963="transfert de D vers B",M963="carryover 2017 -&gt; 2018",IF(ISERR(SEARCH("fidélité",M963)),FALSE,TRUE),M963="Fermeture STI-FORM",M963="répartition AE/AC"),0,1)</f>
        <v>1</v>
      </c>
      <c r="S963" s="303">
        <v>0</v>
      </c>
    </row>
    <row r="964" spans="1:19" x14ac:dyDescent="0.25">
      <c r="A964" s="303" t="s">
        <v>2234</v>
      </c>
      <c r="B964" s="303" t="s">
        <v>2233</v>
      </c>
      <c r="C964" s="328">
        <v>43451</v>
      </c>
      <c r="D964" s="303" t="s">
        <v>1965</v>
      </c>
      <c r="E964" s="303" t="s">
        <v>1964</v>
      </c>
      <c r="F964" s="303" t="s">
        <v>2014</v>
      </c>
      <c r="G964" s="303" t="s">
        <v>2232</v>
      </c>
      <c r="H964" s="303" t="s">
        <v>1956</v>
      </c>
      <c r="I964" s="304">
        <v>1170</v>
      </c>
      <c r="J964" s="303" t="s">
        <v>2014</v>
      </c>
      <c r="K964" s="303" t="s">
        <v>2123</v>
      </c>
      <c r="L964" s="303" t="s">
        <v>1956</v>
      </c>
      <c r="M964" s="303" t="s">
        <v>2231</v>
      </c>
      <c r="N964" s="303" t="s">
        <v>1987</v>
      </c>
      <c r="O964" s="303" t="s">
        <v>1986</v>
      </c>
      <c r="P964" s="328">
        <v>43451</v>
      </c>
      <c r="Q964" s="303" t="s">
        <v>1952</v>
      </c>
      <c r="R964" s="303">
        <f t="shared" si="19"/>
        <v>1</v>
      </c>
      <c r="S964" s="303">
        <v>0</v>
      </c>
    </row>
    <row r="965" spans="1:19" x14ac:dyDescent="0.25">
      <c r="A965" s="303" t="s">
        <v>2234</v>
      </c>
      <c r="B965" s="303" t="s">
        <v>2233</v>
      </c>
      <c r="C965" s="328">
        <v>43451</v>
      </c>
      <c r="D965" s="303" t="s">
        <v>1961</v>
      </c>
      <c r="E965" s="303" t="s">
        <v>1960</v>
      </c>
      <c r="F965" s="303" t="s">
        <v>2014</v>
      </c>
      <c r="G965" s="303" t="s">
        <v>2232</v>
      </c>
      <c r="H965" s="303" t="s">
        <v>1956</v>
      </c>
      <c r="I965" s="304">
        <v>-1170</v>
      </c>
      <c r="J965" s="303" t="s">
        <v>2014</v>
      </c>
      <c r="K965" s="303" t="s">
        <v>2123</v>
      </c>
      <c r="L965" s="303" t="s">
        <v>1956</v>
      </c>
      <c r="M965" s="303" t="s">
        <v>2231</v>
      </c>
      <c r="N965" s="303" t="s">
        <v>1987</v>
      </c>
      <c r="O965" s="303" t="s">
        <v>1986</v>
      </c>
      <c r="P965" s="328">
        <v>43451</v>
      </c>
      <c r="Q965" s="303" t="s">
        <v>1952</v>
      </c>
      <c r="R965" s="303">
        <f t="shared" si="19"/>
        <v>1</v>
      </c>
      <c r="S965" s="303">
        <v>0</v>
      </c>
    </row>
    <row r="966" spans="1:19" x14ac:dyDescent="0.25">
      <c r="A966" s="303" t="s">
        <v>2230</v>
      </c>
      <c r="B966" s="303" t="s">
        <v>2229</v>
      </c>
      <c r="C966" s="328">
        <v>43451</v>
      </c>
      <c r="D966" s="303" t="s">
        <v>1965</v>
      </c>
      <c r="E966" s="303" t="s">
        <v>1964</v>
      </c>
      <c r="F966" s="303" t="s">
        <v>2014</v>
      </c>
      <c r="G966" s="303" t="s">
        <v>2228</v>
      </c>
      <c r="H966" s="303" t="s">
        <v>1956</v>
      </c>
      <c r="I966" s="304">
        <v>2553</v>
      </c>
      <c r="J966" s="303" t="s">
        <v>2014</v>
      </c>
      <c r="K966" s="303" t="s">
        <v>2123</v>
      </c>
      <c r="L966" s="303" t="s">
        <v>1956</v>
      </c>
      <c r="M966" s="303" t="s">
        <v>2227</v>
      </c>
      <c r="N966" s="303" t="s">
        <v>1987</v>
      </c>
      <c r="O966" s="303" t="s">
        <v>1986</v>
      </c>
      <c r="P966" s="328">
        <v>43451</v>
      </c>
      <c r="Q966" s="303" t="s">
        <v>1952</v>
      </c>
      <c r="R966" s="303">
        <f t="shared" si="19"/>
        <v>1</v>
      </c>
      <c r="S966" s="303">
        <v>0</v>
      </c>
    </row>
    <row r="967" spans="1:19" x14ac:dyDescent="0.25">
      <c r="A967" s="303" t="s">
        <v>2230</v>
      </c>
      <c r="B967" s="303" t="s">
        <v>2229</v>
      </c>
      <c r="C967" s="328">
        <v>43451</v>
      </c>
      <c r="D967" s="303" t="s">
        <v>1961</v>
      </c>
      <c r="E967" s="303" t="s">
        <v>1960</v>
      </c>
      <c r="F967" s="303" t="s">
        <v>2014</v>
      </c>
      <c r="G967" s="303" t="s">
        <v>2228</v>
      </c>
      <c r="H967" s="303" t="s">
        <v>1956</v>
      </c>
      <c r="I967" s="304">
        <v>-2553</v>
      </c>
      <c r="J967" s="303" t="s">
        <v>2014</v>
      </c>
      <c r="K967" s="303" t="s">
        <v>2123</v>
      </c>
      <c r="L967" s="303" t="s">
        <v>1956</v>
      </c>
      <c r="M967" s="303" t="s">
        <v>2227</v>
      </c>
      <c r="N967" s="303" t="s">
        <v>1987</v>
      </c>
      <c r="O967" s="303" t="s">
        <v>1986</v>
      </c>
      <c r="P967" s="328">
        <v>43451</v>
      </c>
      <c r="Q967" s="303" t="s">
        <v>1952</v>
      </c>
      <c r="R967" s="303">
        <f t="shared" si="19"/>
        <v>1</v>
      </c>
      <c r="S967" s="303">
        <v>0</v>
      </c>
    </row>
    <row r="968" spans="1:19" x14ac:dyDescent="0.25">
      <c r="A968" s="303" t="s">
        <v>2226</v>
      </c>
      <c r="B968" s="303" t="s">
        <v>2225</v>
      </c>
      <c r="C968" s="328">
        <v>43451</v>
      </c>
      <c r="D968" s="303" t="s">
        <v>1965</v>
      </c>
      <c r="E968" s="303" t="s">
        <v>1964</v>
      </c>
      <c r="F968" s="303" t="s">
        <v>2224</v>
      </c>
      <c r="G968" s="303" t="s">
        <v>1508</v>
      </c>
      <c r="H968" s="303" t="s">
        <v>1956</v>
      </c>
      <c r="I968" s="304">
        <v>13000</v>
      </c>
      <c r="J968" s="303" t="s">
        <v>1619</v>
      </c>
      <c r="K968" s="303" t="s">
        <v>1600</v>
      </c>
      <c r="L968" s="303" t="s">
        <v>1956</v>
      </c>
      <c r="M968" s="303" t="s">
        <v>2223</v>
      </c>
      <c r="N968" s="303" t="s">
        <v>1987</v>
      </c>
      <c r="O968" s="303" t="s">
        <v>1986</v>
      </c>
      <c r="P968" s="328">
        <v>43451</v>
      </c>
      <c r="Q968" s="303" t="s">
        <v>1952</v>
      </c>
      <c r="R968" s="303">
        <f t="shared" si="19"/>
        <v>1</v>
      </c>
      <c r="S968" s="303">
        <v>1</v>
      </c>
    </row>
    <row r="969" spans="1:19" x14ac:dyDescent="0.25">
      <c r="A969" s="303" t="s">
        <v>2226</v>
      </c>
      <c r="B969" s="303" t="s">
        <v>2225</v>
      </c>
      <c r="C969" s="328">
        <v>43451</v>
      </c>
      <c r="D969" s="303" t="s">
        <v>1961</v>
      </c>
      <c r="E969" s="303" t="s">
        <v>1960</v>
      </c>
      <c r="F969" s="303" t="s">
        <v>2224</v>
      </c>
      <c r="G969" s="303" t="s">
        <v>1508</v>
      </c>
      <c r="H969" s="303" t="s">
        <v>1956</v>
      </c>
      <c r="I969" s="304">
        <v>-13000</v>
      </c>
      <c r="J969" s="303" t="s">
        <v>1619</v>
      </c>
      <c r="K969" s="303" t="s">
        <v>1600</v>
      </c>
      <c r="L969" s="303" t="s">
        <v>1956</v>
      </c>
      <c r="M969" s="303" t="s">
        <v>2223</v>
      </c>
      <c r="N969" s="303" t="s">
        <v>1987</v>
      </c>
      <c r="O969" s="303" t="s">
        <v>1986</v>
      </c>
      <c r="P969" s="328">
        <v>43451</v>
      </c>
      <c r="Q969" s="303" t="s">
        <v>1952</v>
      </c>
      <c r="R969" s="303">
        <f t="shared" si="19"/>
        <v>1</v>
      </c>
      <c r="S969" s="303">
        <v>1</v>
      </c>
    </row>
    <row r="970" spans="1:19" x14ac:dyDescent="0.25">
      <c r="A970" s="303" t="s">
        <v>2222</v>
      </c>
      <c r="B970" s="303" t="s">
        <v>2221</v>
      </c>
      <c r="C970" s="328">
        <v>43451</v>
      </c>
      <c r="D970" s="303" t="s">
        <v>1965</v>
      </c>
      <c r="E970" s="303" t="s">
        <v>1964</v>
      </c>
      <c r="F970" s="303" t="s">
        <v>1725</v>
      </c>
      <c r="G970" s="303" t="s">
        <v>1505</v>
      </c>
      <c r="H970" s="303" t="s">
        <v>1956</v>
      </c>
      <c r="I970" s="304">
        <v>20000</v>
      </c>
      <c r="J970" s="303" t="s">
        <v>1846</v>
      </c>
      <c r="K970" s="303" t="s">
        <v>1959</v>
      </c>
      <c r="L970" s="303" t="s">
        <v>1956</v>
      </c>
      <c r="M970" s="303" t="s">
        <v>2220</v>
      </c>
      <c r="N970" s="303" t="s">
        <v>1987</v>
      </c>
      <c r="O970" s="303" t="s">
        <v>1986</v>
      </c>
      <c r="P970" s="328">
        <v>43451</v>
      </c>
      <c r="Q970" s="303" t="s">
        <v>1952</v>
      </c>
      <c r="R970" s="303">
        <f t="shared" si="19"/>
        <v>1</v>
      </c>
      <c r="S970" s="303">
        <v>1</v>
      </c>
    </row>
    <row r="971" spans="1:19" x14ac:dyDescent="0.25">
      <c r="A971" s="303" t="s">
        <v>2222</v>
      </c>
      <c r="B971" s="303" t="s">
        <v>2221</v>
      </c>
      <c r="C971" s="328">
        <v>43451</v>
      </c>
      <c r="D971" s="303" t="s">
        <v>1961</v>
      </c>
      <c r="E971" s="303" t="s">
        <v>1960</v>
      </c>
      <c r="F971" s="303" t="s">
        <v>1725</v>
      </c>
      <c r="G971" s="303" t="s">
        <v>1505</v>
      </c>
      <c r="H971" s="303" t="s">
        <v>1956</v>
      </c>
      <c r="I971" s="304">
        <v>-20000</v>
      </c>
      <c r="J971" s="303" t="s">
        <v>1846</v>
      </c>
      <c r="K971" s="303" t="s">
        <v>1959</v>
      </c>
      <c r="L971" s="303" t="s">
        <v>1956</v>
      </c>
      <c r="M971" s="303" t="s">
        <v>2220</v>
      </c>
      <c r="N971" s="303" t="s">
        <v>1987</v>
      </c>
      <c r="O971" s="303" t="s">
        <v>1986</v>
      </c>
      <c r="P971" s="328">
        <v>43451</v>
      </c>
      <c r="Q971" s="303" t="s">
        <v>1952</v>
      </c>
      <c r="R971" s="303">
        <f t="shared" si="19"/>
        <v>1</v>
      </c>
      <c r="S971" s="303">
        <v>1</v>
      </c>
    </row>
    <row r="972" spans="1:19" x14ac:dyDescent="0.25">
      <c r="A972" s="303" t="s">
        <v>2219</v>
      </c>
      <c r="B972" s="303" t="s">
        <v>2218</v>
      </c>
      <c r="C972" s="328">
        <v>43452</v>
      </c>
      <c r="D972" s="303" t="s">
        <v>1965</v>
      </c>
      <c r="E972" s="303" t="s">
        <v>1964</v>
      </c>
      <c r="F972" s="303" t="s">
        <v>1619</v>
      </c>
      <c r="G972" s="303" t="s">
        <v>1600</v>
      </c>
      <c r="H972" s="303" t="s">
        <v>1956</v>
      </c>
      <c r="I972" s="304">
        <v>29365</v>
      </c>
      <c r="J972" s="303" t="s">
        <v>1958</v>
      </c>
      <c r="K972" s="303" t="s">
        <v>1957</v>
      </c>
      <c r="L972" s="303" t="s">
        <v>1956</v>
      </c>
      <c r="M972" s="303" t="s">
        <v>2022</v>
      </c>
      <c r="N972" s="303" t="s">
        <v>1987</v>
      </c>
      <c r="O972" s="303" t="s">
        <v>1986</v>
      </c>
      <c r="P972" s="328">
        <v>43452</v>
      </c>
      <c r="Q972" s="303" t="s">
        <v>1952</v>
      </c>
      <c r="R972" s="303">
        <f t="shared" si="19"/>
        <v>0</v>
      </c>
      <c r="S972" s="303">
        <v>0</v>
      </c>
    </row>
    <row r="973" spans="1:19" x14ac:dyDescent="0.25">
      <c r="A973" s="303" t="s">
        <v>2219</v>
      </c>
      <c r="B973" s="303" t="s">
        <v>2218</v>
      </c>
      <c r="C973" s="328">
        <v>43452</v>
      </c>
      <c r="D973" s="303" t="s">
        <v>1961</v>
      </c>
      <c r="E973" s="303" t="s">
        <v>1960</v>
      </c>
      <c r="F973" s="303" t="s">
        <v>1619</v>
      </c>
      <c r="G973" s="303" t="s">
        <v>1600</v>
      </c>
      <c r="H973" s="303" t="s">
        <v>1956</v>
      </c>
      <c r="I973" s="304">
        <v>-29365</v>
      </c>
      <c r="J973" s="303" t="s">
        <v>1958</v>
      </c>
      <c r="K973" s="303" t="s">
        <v>1957</v>
      </c>
      <c r="L973" s="303" t="s">
        <v>1956</v>
      </c>
      <c r="M973" s="303" t="s">
        <v>2022</v>
      </c>
      <c r="N973" s="303" t="s">
        <v>1987</v>
      </c>
      <c r="O973" s="303" t="s">
        <v>1986</v>
      </c>
      <c r="P973" s="328">
        <v>43452</v>
      </c>
      <c r="Q973" s="303" t="s">
        <v>1952</v>
      </c>
      <c r="R973" s="303">
        <f t="shared" si="19"/>
        <v>0</v>
      </c>
      <c r="S973" s="303">
        <v>0</v>
      </c>
    </row>
    <row r="974" spans="1:19" x14ac:dyDescent="0.25">
      <c r="A974" s="303" t="s">
        <v>2217</v>
      </c>
      <c r="B974" s="303" t="s">
        <v>2216</v>
      </c>
      <c r="C974" s="328">
        <v>43452</v>
      </c>
      <c r="D974" s="303" t="s">
        <v>1965</v>
      </c>
      <c r="E974" s="303" t="s">
        <v>1964</v>
      </c>
      <c r="F974" s="303" t="s">
        <v>1619</v>
      </c>
      <c r="G974" s="303" t="s">
        <v>1600</v>
      </c>
      <c r="H974" s="303" t="s">
        <v>1956</v>
      </c>
      <c r="I974" s="304">
        <v>124957</v>
      </c>
      <c r="J974" s="303" t="s">
        <v>1967</v>
      </c>
      <c r="K974" s="303" t="s">
        <v>1600</v>
      </c>
      <c r="L974" s="303" t="s">
        <v>1956</v>
      </c>
      <c r="M974" s="303" t="s">
        <v>2019</v>
      </c>
      <c r="N974" s="303" t="s">
        <v>1987</v>
      </c>
      <c r="O974" s="303" t="s">
        <v>1986</v>
      </c>
      <c r="P974" s="328">
        <v>43452</v>
      </c>
      <c r="Q974" s="303" t="s">
        <v>1952</v>
      </c>
      <c r="R974" s="303">
        <f t="shared" si="19"/>
        <v>0</v>
      </c>
      <c r="S974" s="303">
        <v>0</v>
      </c>
    </row>
    <row r="975" spans="1:19" x14ac:dyDescent="0.25">
      <c r="A975" s="303" t="s">
        <v>2217</v>
      </c>
      <c r="B975" s="303" t="s">
        <v>2216</v>
      </c>
      <c r="C975" s="328">
        <v>43452</v>
      </c>
      <c r="D975" s="303" t="s">
        <v>1961</v>
      </c>
      <c r="E975" s="303" t="s">
        <v>1960</v>
      </c>
      <c r="F975" s="303" t="s">
        <v>1619</v>
      </c>
      <c r="G975" s="303" t="s">
        <v>1600</v>
      </c>
      <c r="H975" s="303" t="s">
        <v>1956</v>
      </c>
      <c r="I975" s="304">
        <v>-124957</v>
      </c>
      <c r="J975" s="303" t="s">
        <v>1967</v>
      </c>
      <c r="K975" s="303" t="s">
        <v>1600</v>
      </c>
      <c r="L975" s="303" t="s">
        <v>1956</v>
      </c>
      <c r="M975" s="303" t="s">
        <v>2019</v>
      </c>
      <c r="N975" s="303" t="s">
        <v>1987</v>
      </c>
      <c r="O975" s="303" t="s">
        <v>1986</v>
      </c>
      <c r="P975" s="328">
        <v>43452</v>
      </c>
      <c r="Q975" s="303" t="s">
        <v>1952</v>
      </c>
      <c r="R975" s="303">
        <f t="shared" si="19"/>
        <v>0</v>
      </c>
      <c r="S975" s="303">
        <v>0</v>
      </c>
    </row>
    <row r="976" spans="1:19" x14ac:dyDescent="0.25">
      <c r="A976" s="303" t="s">
        <v>2215</v>
      </c>
      <c r="B976" s="303" t="s">
        <v>2214</v>
      </c>
      <c r="C976" s="328">
        <v>43452</v>
      </c>
      <c r="D976" s="303" t="s">
        <v>1965</v>
      </c>
      <c r="E976" s="303" t="s">
        <v>1964</v>
      </c>
      <c r="F976" s="303" t="s">
        <v>2014</v>
      </c>
      <c r="G976" s="303" t="s">
        <v>1957</v>
      </c>
      <c r="H976" s="303" t="s">
        <v>1956</v>
      </c>
      <c r="I976" s="304">
        <v>130</v>
      </c>
      <c r="J976" s="303" t="s">
        <v>1852</v>
      </c>
      <c r="K976" s="303" t="s">
        <v>1957</v>
      </c>
      <c r="L976" s="303" t="s">
        <v>1956</v>
      </c>
      <c r="M976" s="303" t="s">
        <v>2013</v>
      </c>
      <c r="N976" s="303" t="s">
        <v>1987</v>
      </c>
      <c r="O976" s="303" t="s">
        <v>1986</v>
      </c>
      <c r="P976" s="328">
        <v>43452</v>
      </c>
      <c r="Q976" s="303" t="s">
        <v>1952</v>
      </c>
      <c r="R976" s="303">
        <f t="shared" si="19"/>
        <v>1</v>
      </c>
      <c r="S976" s="303">
        <v>0</v>
      </c>
    </row>
    <row r="977" spans="1:19" x14ac:dyDescent="0.25">
      <c r="A977" s="303" t="s">
        <v>2215</v>
      </c>
      <c r="B977" s="303" t="s">
        <v>2214</v>
      </c>
      <c r="C977" s="328">
        <v>43452</v>
      </c>
      <c r="D977" s="303" t="s">
        <v>1961</v>
      </c>
      <c r="E977" s="303" t="s">
        <v>1960</v>
      </c>
      <c r="F977" s="303" t="s">
        <v>2014</v>
      </c>
      <c r="G977" s="303" t="s">
        <v>1957</v>
      </c>
      <c r="H977" s="303" t="s">
        <v>1956</v>
      </c>
      <c r="I977" s="304">
        <v>-130</v>
      </c>
      <c r="J977" s="303" t="s">
        <v>1852</v>
      </c>
      <c r="K977" s="303" t="s">
        <v>1957</v>
      </c>
      <c r="L977" s="303" t="s">
        <v>1956</v>
      </c>
      <c r="M977" s="303" t="s">
        <v>2013</v>
      </c>
      <c r="N977" s="303" t="s">
        <v>1987</v>
      </c>
      <c r="O977" s="303" t="s">
        <v>1986</v>
      </c>
      <c r="P977" s="328">
        <v>43452</v>
      </c>
      <c r="Q977" s="303" t="s">
        <v>1952</v>
      </c>
      <c r="R977" s="303">
        <f t="shared" si="19"/>
        <v>1</v>
      </c>
      <c r="S977" s="303">
        <v>0</v>
      </c>
    </row>
    <row r="978" spans="1:19" x14ac:dyDescent="0.25">
      <c r="A978" s="303" t="s">
        <v>2213</v>
      </c>
      <c r="B978" s="303" t="s">
        <v>2212</v>
      </c>
      <c r="C978" s="328">
        <v>43452</v>
      </c>
      <c r="D978" s="303" t="s">
        <v>1965</v>
      </c>
      <c r="E978" s="303" t="s">
        <v>1964</v>
      </c>
      <c r="F978" s="303" t="s">
        <v>1846</v>
      </c>
      <c r="G978" s="303" t="s">
        <v>1959</v>
      </c>
      <c r="H978" s="303" t="s">
        <v>1956</v>
      </c>
      <c r="I978" s="304">
        <v>145</v>
      </c>
      <c r="J978" s="303" t="s">
        <v>2211</v>
      </c>
      <c r="K978" s="303" t="s">
        <v>2210</v>
      </c>
      <c r="L978" s="303" t="s">
        <v>1956</v>
      </c>
      <c r="M978" s="303" t="s">
        <v>2209</v>
      </c>
      <c r="N978" s="303" t="s">
        <v>1987</v>
      </c>
      <c r="O978" s="303" t="s">
        <v>1986</v>
      </c>
      <c r="P978" s="328">
        <v>43452</v>
      </c>
      <c r="Q978" s="303" t="s">
        <v>1952</v>
      </c>
      <c r="R978" s="303">
        <f t="shared" si="19"/>
        <v>1</v>
      </c>
      <c r="S978" s="303">
        <v>0</v>
      </c>
    </row>
    <row r="979" spans="1:19" x14ac:dyDescent="0.25">
      <c r="A979" s="303" t="s">
        <v>2213</v>
      </c>
      <c r="B979" s="303" t="s">
        <v>2212</v>
      </c>
      <c r="C979" s="328">
        <v>43452</v>
      </c>
      <c r="D979" s="303" t="s">
        <v>1961</v>
      </c>
      <c r="E979" s="303" t="s">
        <v>1960</v>
      </c>
      <c r="F979" s="303" t="s">
        <v>1846</v>
      </c>
      <c r="G979" s="303" t="s">
        <v>1959</v>
      </c>
      <c r="H979" s="303" t="s">
        <v>1956</v>
      </c>
      <c r="I979" s="304">
        <v>-145</v>
      </c>
      <c r="J979" s="303" t="s">
        <v>2211</v>
      </c>
      <c r="K979" s="303" t="s">
        <v>2210</v>
      </c>
      <c r="L979" s="303" t="s">
        <v>1956</v>
      </c>
      <c r="M979" s="303" t="s">
        <v>2209</v>
      </c>
      <c r="N979" s="303" t="s">
        <v>1987</v>
      </c>
      <c r="O979" s="303" t="s">
        <v>1986</v>
      </c>
      <c r="P979" s="328">
        <v>43452</v>
      </c>
      <c r="Q979" s="303" t="s">
        <v>1952</v>
      </c>
      <c r="R979" s="303">
        <f t="shared" si="19"/>
        <v>1</v>
      </c>
      <c r="S979" s="303">
        <v>0</v>
      </c>
    </row>
    <row r="980" spans="1:19" x14ac:dyDescent="0.25">
      <c r="A980" s="303" t="s">
        <v>2208</v>
      </c>
      <c r="B980" s="303" t="s">
        <v>2207</v>
      </c>
      <c r="C980" s="328">
        <v>43452</v>
      </c>
      <c r="D980" s="303" t="s">
        <v>1965</v>
      </c>
      <c r="E980" s="303" t="s">
        <v>1964</v>
      </c>
      <c r="F980" s="303" t="s">
        <v>1647</v>
      </c>
      <c r="G980" s="303" t="s">
        <v>1573</v>
      </c>
      <c r="H980" s="303" t="s">
        <v>1956</v>
      </c>
      <c r="I980" s="304">
        <v>4453</v>
      </c>
      <c r="J980" s="303" t="s">
        <v>1958</v>
      </c>
      <c r="K980" s="303" t="s">
        <v>1957</v>
      </c>
      <c r="L980" s="303" t="s">
        <v>1956</v>
      </c>
      <c r="M980" s="303" t="s">
        <v>2022</v>
      </c>
      <c r="N980" s="303" t="s">
        <v>1987</v>
      </c>
      <c r="O980" s="303" t="s">
        <v>1986</v>
      </c>
      <c r="P980" s="328">
        <v>43452</v>
      </c>
      <c r="Q980" s="303" t="s">
        <v>1952</v>
      </c>
      <c r="R980" s="303">
        <f t="shared" si="19"/>
        <v>0</v>
      </c>
      <c r="S980" s="303">
        <v>0</v>
      </c>
    </row>
    <row r="981" spans="1:19" x14ac:dyDescent="0.25">
      <c r="A981" s="303" t="s">
        <v>2208</v>
      </c>
      <c r="B981" s="303" t="s">
        <v>2207</v>
      </c>
      <c r="C981" s="328">
        <v>43452</v>
      </c>
      <c r="D981" s="303" t="s">
        <v>1961</v>
      </c>
      <c r="E981" s="303" t="s">
        <v>1960</v>
      </c>
      <c r="F981" s="303" t="s">
        <v>1647</v>
      </c>
      <c r="G981" s="303" t="s">
        <v>1573</v>
      </c>
      <c r="H981" s="303" t="s">
        <v>1956</v>
      </c>
      <c r="I981" s="304">
        <v>-4453</v>
      </c>
      <c r="J981" s="303" t="s">
        <v>1958</v>
      </c>
      <c r="K981" s="303" t="s">
        <v>1957</v>
      </c>
      <c r="L981" s="303" t="s">
        <v>1956</v>
      </c>
      <c r="M981" s="303" t="s">
        <v>2022</v>
      </c>
      <c r="N981" s="303" t="s">
        <v>1987</v>
      </c>
      <c r="O981" s="303" t="s">
        <v>1986</v>
      </c>
      <c r="P981" s="328">
        <v>43452</v>
      </c>
      <c r="Q981" s="303" t="s">
        <v>1952</v>
      </c>
      <c r="R981" s="303">
        <f t="shared" si="19"/>
        <v>0</v>
      </c>
      <c r="S981" s="303">
        <v>0</v>
      </c>
    </row>
    <row r="982" spans="1:19" x14ac:dyDescent="0.25">
      <c r="A982" s="303" t="s">
        <v>2206</v>
      </c>
      <c r="B982" s="303" t="s">
        <v>2205</v>
      </c>
      <c r="C982" s="328">
        <v>43452</v>
      </c>
      <c r="D982" s="303" t="s">
        <v>1965</v>
      </c>
      <c r="E982" s="303" t="s">
        <v>1964</v>
      </c>
      <c r="F982" s="303" t="s">
        <v>1647</v>
      </c>
      <c r="G982" s="303" t="s">
        <v>1573</v>
      </c>
      <c r="H982" s="303" t="s">
        <v>1956</v>
      </c>
      <c r="I982" s="304">
        <v>18950</v>
      </c>
      <c r="J982" s="303" t="s">
        <v>1967</v>
      </c>
      <c r="K982" s="303" t="s">
        <v>1573</v>
      </c>
      <c r="L982" s="303" t="s">
        <v>1956</v>
      </c>
      <c r="M982" s="303" t="s">
        <v>2019</v>
      </c>
      <c r="N982" s="303" t="s">
        <v>1987</v>
      </c>
      <c r="O982" s="303" t="s">
        <v>1986</v>
      </c>
      <c r="P982" s="328">
        <v>43452</v>
      </c>
      <c r="Q982" s="303" t="s">
        <v>1952</v>
      </c>
      <c r="R982" s="303">
        <f t="shared" si="19"/>
        <v>0</v>
      </c>
      <c r="S982" s="303">
        <v>0</v>
      </c>
    </row>
    <row r="983" spans="1:19" x14ac:dyDescent="0.25">
      <c r="A983" s="303" t="s">
        <v>2206</v>
      </c>
      <c r="B983" s="303" t="s">
        <v>2205</v>
      </c>
      <c r="C983" s="328">
        <v>43452</v>
      </c>
      <c r="D983" s="303" t="s">
        <v>1961</v>
      </c>
      <c r="E983" s="303" t="s">
        <v>1960</v>
      </c>
      <c r="F983" s="303" t="s">
        <v>1647</v>
      </c>
      <c r="G983" s="303" t="s">
        <v>1573</v>
      </c>
      <c r="H983" s="303" t="s">
        <v>1956</v>
      </c>
      <c r="I983" s="304">
        <v>-18950</v>
      </c>
      <c r="J983" s="303" t="s">
        <v>1967</v>
      </c>
      <c r="K983" s="303" t="s">
        <v>1573</v>
      </c>
      <c r="L983" s="303" t="s">
        <v>1956</v>
      </c>
      <c r="M983" s="303" t="s">
        <v>2019</v>
      </c>
      <c r="N983" s="303" t="s">
        <v>1987</v>
      </c>
      <c r="O983" s="303" t="s">
        <v>1986</v>
      </c>
      <c r="P983" s="328">
        <v>43452</v>
      </c>
      <c r="Q983" s="303" t="s">
        <v>1952</v>
      </c>
      <c r="R983" s="303">
        <f t="shared" si="19"/>
        <v>0</v>
      </c>
      <c r="S983" s="303">
        <v>0</v>
      </c>
    </row>
    <row r="984" spans="1:19" x14ac:dyDescent="0.25">
      <c r="A984" s="303" t="s">
        <v>2204</v>
      </c>
      <c r="B984" s="303" t="s">
        <v>2203</v>
      </c>
      <c r="C984" s="328">
        <v>43452</v>
      </c>
      <c r="D984" s="303" t="s">
        <v>1965</v>
      </c>
      <c r="E984" s="303" t="s">
        <v>1964</v>
      </c>
      <c r="F984" s="303" t="s">
        <v>1967</v>
      </c>
      <c r="G984" s="303" t="s">
        <v>1959</v>
      </c>
      <c r="H984" s="303" t="s">
        <v>1956</v>
      </c>
      <c r="I984" s="304">
        <v>23430</v>
      </c>
      <c r="J984" s="303" t="s">
        <v>1967</v>
      </c>
      <c r="K984" s="303" t="s">
        <v>2197</v>
      </c>
      <c r="L984" s="303" t="s">
        <v>1956</v>
      </c>
      <c r="M984" s="303" t="s">
        <v>2196</v>
      </c>
      <c r="N984" s="303" t="s">
        <v>1987</v>
      </c>
      <c r="O984" s="303" t="s">
        <v>1986</v>
      </c>
      <c r="P984" s="328">
        <v>43452</v>
      </c>
      <c r="Q984" s="303" t="s">
        <v>1952</v>
      </c>
      <c r="R984" s="303">
        <f t="shared" si="19"/>
        <v>1</v>
      </c>
      <c r="S984" s="303">
        <v>0</v>
      </c>
    </row>
    <row r="985" spans="1:19" x14ac:dyDescent="0.25">
      <c r="A985" s="303" t="s">
        <v>2204</v>
      </c>
      <c r="B985" s="303" t="s">
        <v>2203</v>
      </c>
      <c r="C985" s="328">
        <v>43452</v>
      </c>
      <c r="D985" s="303" t="s">
        <v>1961</v>
      </c>
      <c r="E985" s="303" t="s">
        <v>1960</v>
      </c>
      <c r="F985" s="303" t="s">
        <v>1967</v>
      </c>
      <c r="G985" s="303" t="s">
        <v>1959</v>
      </c>
      <c r="H985" s="303" t="s">
        <v>1956</v>
      </c>
      <c r="I985" s="304">
        <v>-23430</v>
      </c>
      <c r="J985" s="303" t="s">
        <v>1967</v>
      </c>
      <c r="K985" s="303" t="s">
        <v>2197</v>
      </c>
      <c r="L985" s="303" t="s">
        <v>1956</v>
      </c>
      <c r="M985" s="303" t="s">
        <v>2196</v>
      </c>
      <c r="N985" s="303" t="s">
        <v>1987</v>
      </c>
      <c r="O985" s="303" t="s">
        <v>1986</v>
      </c>
      <c r="P985" s="328">
        <v>43452</v>
      </c>
      <c r="Q985" s="303" t="s">
        <v>1952</v>
      </c>
      <c r="R985" s="303">
        <f t="shared" si="19"/>
        <v>1</v>
      </c>
      <c r="S985" s="303">
        <v>0</v>
      </c>
    </row>
    <row r="986" spans="1:19" x14ac:dyDescent="0.25">
      <c r="A986" s="303" t="s">
        <v>2202</v>
      </c>
      <c r="B986" s="303" t="s">
        <v>2201</v>
      </c>
      <c r="C986" s="328">
        <v>43452</v>
      </c>
      <c r="D986" s="303" t="s">
        <v>1965</v>
      </c>
      <c r="E986" s="303" t="s">
        <v>1964</v>
      </c>
      <c r="F986" s="303" t="s">
        <v>1967</v>
      </c>
      <c r="G986" s="303" t="s">
        <v>1959</v>
      </c>
      <c r="H986" s="303" t="s">
        <v>1956</v>
      </c>
      <c r="I986" s="304">
        <v>15696</v>
      </c>
      <c r="J986" s="303" t="s">
        <v>1967</v>
      </c>
      <c r="K986" s="303" t="s">
        <v>2193</v>
      </c>
      <c r="L986" s="303" t="s">
        <v>1956</v>
      </c>
      <c r="M986" s="303" t="s">
        <v>2192</v>
      </c>
      <c r="N986" s="303" t="s">
        <v>1987</v>
      </c>
      <c r="O986" s="303" t="s">
        <v>1986</v>
      </c>
      <c r="P986" s="328">
        <v>43452</v>
      </c>
      <c r="Q986" s="303" t="s">
        <v>1952</v>
      </c>
      <c r="R986" s="303">
        <f t="shared" si="19"/>
        <v>1</v>
      </c>
      <c r="S986" s="303">
        <v>0</v>
      </c>
    </row>
    <row r="987" spans="1:19" x14ac:dyDescent="0.25">
      <c r="A987" s="303" t="s">
        <v>2202</v>
      </c>
      <c r="B987" s="303" t="s">
        <v>2201</v>
      </c>
      <c r="C987" s="328">
        <v>43452</v>
      </c>
      <c r="D987" s="303" t="s">
        <v>1961</v>
      </c>
      <c r="E987" s="303" t="s">
        <v>1960</v>
      </c>
      <c r="F987" s="303" t="s">
        <v>1967</v>
      </c>
      <c r="G987" s="303" t="s">
        <v>1959</v>
      </c>
      <c r="H987" s="303" t="s">
        <v>1956</v>
      </c>
      <c r="I987" s="304">
        <v>-15696</v>
      </c>
      <c r="J987" s="303" t="s">
        <v>1967</v>
      </c>
      <c r="K987" s="303" t="s">
        <v>2193</v>
      </c>
      <c r="L987" s="303" t="s">
        <v>1956</v>
      </c>
      <c r="M987" s="303" t="s">
        <v>2192</v>
      </c>
      <c r="N987" s="303" t="s">
        <v>1987</v>
      </c>
      <c r="O987" s="303" t="s">
        <v>1986</v>
      </c>
      <c r="P987" s="328">
        <v>43452</v>
      </c>
      <c r="Q987" s="303" t="s">
        <v>1952</v>
      </c>
      <c r="R987" s="303">
        <f t="shared" si="19"/>
        <v>1</v>
      </c>
      <c r="S987" s="303">
        <v>0</v>
      </c>
    </row>
    <row r="988" spans="1:19" x14ac:dyDescent="0.25">
      <c r="A988" s="303" t="s">
        <v>2200</v>
      </c>
      <c r="B988" s="303" t="s">
        <v>2199</v>
      </c>
      <c r="C988" s="328">
        <v>43452</v>
      </c>
      <c r="D988" s="303" t="s">
        <v>1965</v>
      </c>
      <c r="E988" s="303" t="s">
        <v>1964</v>
      </c>
      <c r="F988" s="303" t="s">
        <v>1846</v>
      </c>
      <c r="G988" s="303" t="s">
        <v>1959</v>
      </c>
      <c r="H988" s="303" t="s">
        <v>1956</v>
      </c>
      <c r="I988" s="304">
        <v>14875</v>
      </c>
      <c r="J988" s="303" t="s">
        <v>2198</v>
      </c>
      <c r="K988" s="303" t="s">
        <v>2197</v>
      </c>
      <c r="L988" s="303" t="s">
        <v>1956</v>
      </c>
      <c r="M988" s="303" t="s">
        <v>2196</v>
      </c>
      <c r="N988" s="303" t="s">
        <v>1987</v>
      </c>
      <c r="O988" s="303" t="s">
        <v>1986</v>
      </c>
      <c r="P988" s="328">
        <v>43452</v>
      </c>
      <c r="Q988" s="303" t="s">
        <v>1952</v>
      </c>
      <c r="R988" s="303">
        <f t="shared" si="19"/>
        <v>1</v>
      </c>
      <c r="S988" s="303">
        <v>0</v>
      </c>
    </row>
    <row r="989" spans="1:19" x14ac:dyDescent="0.25">
      <c r="A989" s="303" t="s">
        <v>2200</v>
      </c>
      <c r="B989" s="303" t="s">
        <v>2199</v>
      </c>
      <c r="C989" s="328">
        <v>43452</v>
      </c>
      <c r="D989" s="303" t="s">
        <v>1961</v>
      </c>
      <c r="E989" s="303" t="s">
        <v>1960</v>
      </c>
      <c r="F989" s="303" t="s">
        <v>1846</v>
      </c>
      <c r="G989" s="303" t="s">
        <v>1959</v>
      </c>
      <c r="H989" s="303" t="s">
        <v>1956</v>
      </c>
      <c r="I989" s="304">
        <v>-14875</v>
      </c>
      <c r="J989" s="303" t="s">
        <v>2198</v>
      </c>
      <c r="K989" s="303" t="s">
        <v>2197</v>
      </c>
      <c r="L989" s="303" t="s">
        <v>1956</v>
      </c>
      <c r="M989" s="303" t="s">
        <v>2196</v>
      </c>
      <c r="N989" s="303" t="s">
        <v>1987</v>
      </c>
      <c r="O989" s="303" t="s">
        <v>1986</v>
      </c>
      <c r="P989" s="328">
        <v>43452</v>
      </c>
      <c r="Q989" s="303" t="s">
        <v>1952</v>
      </c>
      <c r="R989" s="303">
        <f t="shared" si="19"/>
        <v>1</v>
      </c>
      <c r="S989" s="303">
        <v>0</v>
      </c>
    </row>
    <row r="990" spans="1:19" x14ac:dyDescent="0.25">
      <c r="A990" s="303" t="s">
        <v>2195</v>
      </c>
      <c r="B990" s="303" t="s">
        <v>2194</v>
      </c>
      <c r="C990" s="328">
        <v>43452</v>
      </c>
      <c r="D990" s="303" t="s">
        <v>1965</v>
      </c>
      <c r="E990" s="303" t="s">
        <v>1964</v>
      </c>
      <c r="F990" s="303" t="s">
        <v>1846</v>
      </c>
      <c r="G990" s="303" t="s">
        <v>1959</v>
      </c>
      <c r="H990" s="303" t="s">
        <v>1956</v>
      </c>
      <c r="I990" s="304">
        <v>8870</v>
      </c>
      <c r="J990" s="303" t="s">
        <v>1635</v>
      </c>
      <c r="K990" s="303" t="s">
        <v>2193</v>
      </c>
      <c r="L990" s="303" t="s">
        <v>1956</v>
      </c>
      <c r="M990" s="303" t="s">
        <v>2192</v>
      </c>
      <c r="N990" s="303" t="s">
        <v>1987</v>
      </c>
      <c r="O990" s="303" t="s">
        <v>1986</v>
      </c>
      <c r="P990" s="328">
        <v>43452</v>
      </c>
      <c r="Q990" s="303" t="s">
        <v>1952</v>
      </c>
      <c r="R990" s="303">
        <f t="shared" si="19"/>
        <v>1</v>
      </c>
      <c r="S990" s="303">
        <v>0</v>
      </c>
    </row>
    <row r="991" spans="1:19" x14ac:dyDescent="0.25">
      <c r="A991" s="303" t="s">
        <v>2195</v>
      </c>
      <c r="B991" s="303" t="s">
        <v>2194</v>
      </c>
      <c r="C991" s="328">
        <v>43452</v>
      </c>
      <c r="D991" s="303" t="s">
        <v>1961</v>
      </c>
      <c r="E991" s="303" t="s">
        <v>1960</v>
      </c>
      <c r="F991" s="303" t="s">
        <v>1846</v>
      </c>
      <c r="G991" s="303" t="s">
        <v>1959</v>
      </c>
      <c r="H991" s="303" t="s">
        <v>1956</v>
      </c>
      <c r="I991" s="304">
        <v>-8870</v>
      </c>
      <c r="J991" s="303" t="s">
        <v>1635</v>
      </c>
      <c r="K991" s="303" t="s">
        <v>2193</v>
      </c>
      <c r="L991" s="303" t="s">
        <v>1956</v>
      </c>
      <c r="M991" s="303" t="s">
        <v>2192</v>
      </c>
      <c r="N991" s="303" t="s">
        <v>1987</v>
      </c>
      <c r="O991" s="303" t="s">
        <v>1986</v>
      </c>
      <c r="P991" s="328">
        <v>43452</v>
      </c>
      <c r="Q991" s="303" t="s">
        <v>1952</v>
      </c>
      <c r="R991" s="303">
        <f t="shared" si="19"/>
        <v>1</v>
      </c>
      <c r="S991" s="303">
        <v>0</v>
      </c>
    </row>
    <row r="992" spans="1:19" x14ac:dyDescent="0.25">
      <c r="A992" s="303" t="s">
        <v>2191</v>
      </c>
      <c r="B992" s="303" t="s">
        <v>2190</v>
      </c>
      <c r="C992" s="328">
        <v>43453</v>
      </c>
      <c r="D992" s="303" t="s">
        <v>1965</v>
      </c>
      <c r="E992" s="303" t="s">
        <v>1964</v>
      </c>
      <c r="F992" s="303" t="s">
        <v>1989</v>
      </c>
      <c r="G992" s="303" t="s">
        <v>1529</v>
      </c>
      <c r="H992" s="303" t="s">
        <v>1956</v>
      </c>
      <c r="I992" s="304">
        <v>2218</v>
      </c>
      <c r="J992" s="303" t="s">
        <v>1697</v>
      </c>
      <c r="K992" s="303" t="s">
        <v>1529</v>
      </c>
      <c r="L992" s="303" t="s">
        <v>1956</v>
      </c>
      <c r="M992" s="303" t="s">
        <v>2189</v>
      </c>
      <c r="N992" s="303" t="s">
        <v>1987</v>
      </c>
      <c r="O992" s="303" t="s">
        <v>1986</v>
      </c>
      <c r="P992" s="328">
        <v>43453</v>
      </c>
      <c r="Q992" s="303" t="s">
        <v>1952</v>
      </c>
      <c r="R992" s="303">
        <f t="shared" si="19"/>
        <v>1</v>
      </c>
      <c r="S992" s="303">
        <v>0</v>
      </c>
    </row>
    <row r="993" spans="1:19" x14ac:dyDescent="0.25">
      <c r="A993" s="303" t="s">
        <v>2191</v>
      </c>
      <c r="B993" s="303" t="s">
        <v>2190</v>
      </c>
      <c r="C993" s="328">
        <v>43453</v>
      </c>
      <c r="D993" s="303" t="s">
        <v>1961</v>
      </c>
      <c r="E993" s="303" t="s">
        <v>1960</v>
      </c>
      <c r="F993" s="303" t="s">
        <v>1989</v>
      </c>
      <c r="G993" s="303" t="s">
        <v>1529</v>
      </c>
      <c r="H993" s="303" t="s">
        <v>1956</v>
      </c>
      <c r="I993" s="304">
        <v>-2218</v>
      </c>
      <c r="J993" s="303" t="s">
        <v>1697</v>
      </c>
      <c r="K993" s="303" t="s">
        <v>1529</v>
      </c>
      <c r="L993" s="303" t="s">
        <v>1956</v>
      </c>
      <c r="M993" s="303" t="s">
        <v>2189</v>
      </c>
      <c r="N993" s="303" t="s">
        <v>1987</v>
      </c>
      <c r="O993" s="303" t="s">
        <v>1986</v>
      </c>
      <c r="P993" s="328">
        <v>43453</v>
      </c>
      <c r="Q993" s="303" t="s">
        <v>1952</v>
      </c>
      <c r="R993" s="303">
        <f t="shared" si="19"/>
        <v>1</v>
      </c>
      <c r="S993" s="303">
        <v>0</v>
      </c>
    </row>
    <row r="994" spans="1:19" x14ac:dyDescent="0.25">
      <c r="A994" s="303" t="s">
        <v>2188</v>
      </c>
      <c r="B994" s="303" t="s">
        <v>2187</v>
      </c>
      <c r="C994" s="328">
        <v>43453</v>
      </c>
      <c r="D994" s="303" t="s">
        <v>1965</v>
      </c>
      <c r="E994" s="303" t="s">
        <v>1964</v>
      </c>
      <c r="F994" s="303" t="s">
        <v>1967</v>
      </c>
      <c r="G994" s="303" t="s">
        <v>1959</v>
      </c>
      <c r="H994" s="303" t="s">
        <v>1956</v>
      </c>
      <c r="I994" s="304">
        <v>21339</v>
      </c>
      <c r="J994" s="303" t="s">
        <v>1967</v>
      </c>
      <c r="K994" s="303" t="s">
        <v>2071</v>
      </c>
      <c r="L994" s="303" t="s">
        <v>1956</v>
      </c>
      <c r="M994" s="303" t="s">
        <v>2186</v>
      </c>
      <c r="N994" s="303" t="s">
        <v>1987</v>
      </c>
      <c r="O994" s="303" t="s">
        <v>1986</v>
      </c>
      <c r="P994" s="328">
        <v>43453</v>
      </c>
      <c r="Q994" s="303" t="s">
        <v>1952</v>
      </c>
      <c r="R994" s="303">
        <f t="shared" si="19"/>
        <v>1</v>
      </c>
      <c r="S994" s="303">
        <v>0</v>
      </c>
    </row>
    <row r="995" spans="1:19" x14ac:dyDescent="0.25">
      <c r="A995" s="303" t="s">
        <v>2188</v>
      </c>
      <c r="B995" s="303" t="s">
        <v>2187</v>
      </c>
      <c r="C995" s="328">
        <v>43453</v>
      </c>
      <c r="D995" s="303" t="s">
        <v>1961</v>
      </c>
      <c r="E995" s="303" t="s">
        <v>1960</v>
      </c>
      <c r="F995" s="303" t="s">
        <v>1967</v>
      </c>
      <c r="G995" s="303" t="s">
        <v>1959</v>
      </c>
      <c r="H995" s="303" t="s">
        <v>1956</v>
      </c>
      <c r="I995" s="304">
        <v>-21339</v>
      </c>
      <c r="J995" s="303" t="s">
        <v>1967</v>
      </c>
      <c r="K995" s="303" t="s">
        <v>2071</v>
      </c>
      <c r="L995" s="303" t="s">
        <v>1956</v>
      </c>
      <c r="M995" s="303" t="s">
        <v>2186</v>
      </c>
      <c r="N995" s="303" t="s">
        <v>1987</v>
      </c>
      <c r="O995" s="303" t="s">
        <v>1986</v>
      </c>
      <c r="P995" s="328">
        <v>43453</v>
      </c>
      <c r="Q995" s="303" t="s">
        <v>1952</v>
      </c>
      <c r="R995" s="303">
        <f t="shared" si="19"/>
        <v>1</v>
      </c>
      <c r="S995" s="303">
        <v>0</v>
      </c>
    </row>
    <row r="996" spans="1:19" x14ac:dyDescent="0.25">
      <c r="A996" s="303" t="s">
        <v>2185</v>
      </c>
      <c r="B996" s="303" t="s">
        <v>2184</v>
      </c>
      <c r="C996" s="328">
        <v>43453</v>
      </c>
      <c r="D996" s="303" t="s">
        <v>1965</v>
      </c>
      <c r="E996" s="303" t="s">
        <v>1964</v>
      </c>
      <c r="F996" s="303" t="s">
        <v>1967</v>
      </c>
      <c r="G996" s="303" t="s">
        <v>1959</v>
      </c>
      <c r="H996" s="303" t="s">
        <v>1956</v>
      </c>
      <c r="I996" s="304">
        <v>160</v>
      </c>
      <c r="J996" s="303" t="s">
        <v>1967</v>
      </c>
      <c r="K996" s="303" t="s">
        <v>2183</v>
      </c>
      <c r="L996" s="303" t="s">
        <v>1956</v>
      </c>
      <c r="M996" s="303" t="s">
        <v>2182</v>
      </c>
      <c r="N996" s="303" t="s">
        <v>1987</v>
      </c>
      <c r="O996" s="303" t="s">
        <v>1986</v>
      </c>
      <c r="P996" s="328">
        <v>43453</v>
      </c>
      <c r="Q996" s="303" t="s">
        <v>1952</v>
      </c>
      <c r="R996" s="303">
        <f t="shared" si="19"/>
        <v>1</v>
      </c>
      <c r="S996" s="303">
        <v>0</v>
      </c>
    </row>
    <row r="997" spans="1:19" x14ac:dyDescent="0.25">
      <c r="A997" s="303" t="s">
        <v>2185</v>
      </c>
      <c r="B997" s="303" t="s">
        <v>2184</v>
      </c>
      <c r="C997" s="328">
        <v>43453</v>
      </c>
      <c r="D997" s="303" t="s">
        <v>1961</v>
      </c>
      <c r="E997" s="303" t="s">
        <v>1960</v>
      </c>
      <c r="F997" s="303" t="s">
        <v>1967</v>
      </c>
      <c r="G997" s="303" t="s">
        <v>1959</v>
      </c>
      <c r="H997" s="303" t="s">
        <v>1956</v>
      </c>
      <c r="I997" s="304">
        <v>-160</v>
      </c>
      <c r="J997" s="303" t="s">
        <v>1967</v>
      </c>
      <c r="K997" s="303" t="s">
        <v>2183</v>
      </c>
      <c r="L997" s="303" t="s">
        <v>1956</v>
      </c>
      <c r="M997" s="303" t="s">
        <v>2182</v>
      </c>
      <c r="N997" s="303" t="s">
        <v>1987</v>
      </c>
      <c r="O997" s="303" t="s">
        <v>1986</v>
      </c>
      <c r="P997" s="328">
        <v>43453</v>
      </c>
      <c r="Q997" s="303" t="s">
        <v>1952</v>
      </c>
      <c r="R997" s="303">
        <f t="shared" si="19"/>
        <v>1</v>
      </c>
      <c r="S997" s="303">
        <v>0</v>
      </c>
    </row>
    <row r="998" spans="1:19" x14ac:dyDescent="0.25">
      <c r="A998" s="303" t="s">
        <v>2181</v>
      </c>
      <c r="B998" s="303" t="s">
        <v>2180</v>
      </c>
      <c r="C998" s="328">
        <v>43453</v>
      </c>
      <c r="D998" s="303" t="s">
        <v>1965</v>
      </c>
      <c r="E998" s="303" t="s">
        <v>1964</v>
      </c>
      <c r="F998" s="303" t="s">
        <v>1904</v>
      </c>
      <c r="G998" s="303" t="s">
        <v>1394</v>
      </c>
      <c r="H998" s="303" t="s">
        <v>1956</v>
      </c>
      <c r="I998" s="304">
        <v>761</v>
      </c>
      <c r="J998" s="303" t="s">
        <v>1958</v>
      </c>
      <c r="K998" s="303" t="s">
        <v>1957</v>
      </c>
      <c r="L998" s="303" t="s">
        <v>1956</v>
      </c>
      <c r="M998" s="303" t="s">
        <v>2022</v>
      </c>
      <c r="N998" s="303" t="s">
        <v>1987</v>
      </c>
      <c r="O998" s="303" t="s">
        <v>1986</v>
      </c>
      <c r="P998" s="328">
        <v>43453</v>
      </c>
      <c r="Q998" s="303" t="s">
        <v>1952</v>
      </c>
      <c r="R998" s="303">
        <f t="shared" si="19"/>
        <v>0</v>
      </c>
      <c r="S998" s="303">
        <v>0</v>
      </c>
    </row>
    <row r="999" spans="1:19" x14ac:dyDescent="0.25">
      <c r="A999" s="303" t="s">
        <v>2181</v>
      </c>
      <c r="B999" s="303" t="s">
        <v>2180</v>
      </c>
      <c r="C999" s="328">
        <v>43453</v>
      </c>
      <c r="D999" s="303" t="s">
        <v>1961</v>
      </c>
      <c r="E999" s="303" t="s">
        <v>1960</v>
      </c>
      <c r="F999" s="303" t="s">
        <v>1904</v>
      </c>
      <c r="G999" s="303" t="s">
        <v>1394</v>
      </c>
      <c r="H999" s="303" t="s">
        <v>1956</v>
      </c>
      <c r="I999" s="304">
        <v>-761</v>
      </c>
      <c r="J999" s="303" t="s">
        <v>1958</v>
      </c>
      <c r="K999" s="303" t="s">
        <v>1957</v>
      </c>
      <c r="L999" s="303" t="s">
        <v>1956</v>
      </c>
      <c r="M999" s="303" t="s">
        <v>2022</v>
      </c>
      <c r="N999" s="303" t="s">
        <v>1987</v>
      </c>
      <c r="O999" s="303" t="s">
        <v>1986</v>
      </c>
      <c r="P999" s="328">
        <v>43453</v>
      </c>
      <c r="Q999" s="303" t="s">
        <v>1952</v>
      </c>
      <c r="R999" s="303">
        <f t="shared" si="19"/>
        <v>0</v>
      </c>
      <c r="S999" s="303">
        <v>0</v>
      </c>
    </row>
    <row r="1000" spans="1:19" x14ac:dyDescent="0.25">
      <c r="A1000" s="303" t="s">
        <v>2179</v>
      </c>
      <c r="B1000" s="303" t="s">
        <v>2178</v>
      </c>
      <c r="C1000" s="328">
        <v>43453</v>
      </c>
      <c r="D1000" s="303" t="s">
        <v>1965</v>
      </c>
      <c r="E1000" s="303" t="s">
        <v>1964</v>
      </c>
      <c r="F1000" s="303" t="s">
        <v>1904</v>
      </c>
      <c r="G1000" s="303" t="s">
        <v>1394</v>
      </c>
      <c r="H1000" s="303" t="s">
        <v>1956</v>
      </c>
      <c r="I1000" s="304">
        <v>3239</v>
      </c>
      <c r="J1000" s="303" t="s">
        <v>1967</v>
      </c>
      <c r="K1000" s="303" t="s">
        <v>1394</v>
      </c>
      <c r="L1000" s="303" t="s">
        <v>1956</v>
      </c>
      <c r="M1000" s="303" t="s">
        <v>2019</v>
      </c>
      <c r="N1000" s="303" t="s">
        <v>1987</v>
      </c>
      <c r="O1000" s="303" t="s">
        <v>1986</v>
      </c>
      <c r="P1000" s="328">
        <v>43453</v>
      </c>
      <c r="Q1000" s="303" t="s">
        <v>1952</v>
      </c>
      <c r="R1000" s="303">
        <f t="shared" si="19"/>
        <v>0</v>
      </c>
      <c r="S1000" s="303">
        <v>0</v>
      </c>
    </row>
    <row r="1001" spans="1:19" x14ac:dyDescent="0.25">
      <c r="A1001" s="303" t="s">
        <v>2179</v>
      </c>
      <c r="B1001" s="303" t="s">
        <v>2178</v>
      </c>
      <c r="C1001" s="328">
        <v>43453</v>
      </c>
      <c r="D1001" s="303" t="s">
        <v>1961</v>
      </c>
      <c r="E1001" s="303" t="s">
        <v>1960</v>
      </c>
      <c r="F1001" s="303" t="s">
        <v>1904</v>
      </c>
      <c r="G1001" s="303" t="s">
        <v>1394</v>
      </c>
      <c r="H1001" s="303" t="s">
        <v>1956</v>
      </c>
      <c r="I1001" s="304">
        <v>-3239</v>
      </c>
      <c r="J1001" s="303" t="s">
        <v>1967</v>
      </c>
      <c r="K1001" s="303" t="s">
        <v>1394</v>
      </c>
      <c r="L1001" s="303" t="s">
        <v>1956</v>
      </c>
      <c r="M1001" s="303" t="s">
        <v>2019</v>
      </c>
      <c r="N1001" s="303" t="s">
        <v>1987</v>
      </c>
      <c r="O1001" s="303" t="s">
        <v>1986</v>
      </c>
      <c r="P1001" s="328">
        <v>43453</v>
      </c>
      <c r="Q1001" s="303" t="s">
        <v>1952</v>
      </c>
      <c r="R1001" s="303">
        <f t="shared" si="19"/>
        <v>0</v>
      </c>
      <c r="S1001" s="303">
        <v>0</v>
      </c>
    </row>
    <row r="1002" spans="1:19" x14ac:dyDescent="0.25">
      <c r="A1002" s="303" t="s">
        <v>2177</v>
      </c>
      <c r="B1002" s="303" t="s">
        <v>2176</v>
      </c>
      <c r="C1002" s="328">
        <v>43453</v>
      </c>
      <c r="D1002" s="303" t="s">
        <v>1965</v>
      </c>
      <c r="E1002" s="303" t="s">
        <v>1964</v>
      </c>
      <c r="F1002" s="303" t="s">
        <v>1967</v>
      </c>
      <c r="G1002" s="303" t="s">
        <v>1959</v>
      </c>
      <c r="H1002" s="303" t="s">
        <v>1956</v>
      </c>
      <c r="I1002" s="304">
        <v>22186</v>
      </c>
      <c r="J1002" s="303" t="s">
        <v>1967</v>
      </c>
      <c r="K1002" s="303" t="s">
        <v>1397</v>
      </c>
      <c r="L1002" s="303" t="s">
        <v>1956</v>
      </c>
      <c r="M1002" s="303" t="s">
        <v>2175</v>
      </c>
      <c r="N1002" s="303" t="s">
        <v>1987</v>
      </c>
      <c r="O1002" s="303" t="s">
        <v>1986</v>
      </c>
      <c r="P1002" s="328">
        <v>43453</v>
      </c>
      <c r="Q1002" s="303" t="s">
        <v>1952</v>
      </c>
      <c r="R1002" s="303">
        <f t="shared" si="19"/>
        <v>1</v>
      </c>
      <c r="S1002" s="303">
        <v>0</v>
      </c>
    </row>
    <row r="1003" spans="1:19" x14ac:dyDescent="0.25">
      <c r="A1003" s="303" t="s">
        <v>2177</v>
      </c>
      <c r="B1003" s="303" t="s">
        <v>2176</v>
      </c>
      <c r="C1003" s="328">
        <v>43453</v>
      </c>
      <c r="D1003" s="303" t="s">
        <v>1961</v>
      </c>
      <c r="E1003" s="303" t="s">
        <v>1960</v>
      </c>
      <c r="F1003" s="303" t="s">
        <v>1967</v>
      </c>
      <c r="G1003" s="303" t="s">
        <v>1959</v>
      </c>
      <c r="H1003" s="303" t="s">
        <v>1956</v>
      </c>
      <c r="I1003" s="304">
        <v>-22186</v>
      </c>
      <c r="J1003" s="303" t="s">
        <v>1967</v>
      </c>
      <c r="K1003" s="303" t="s">
        <v>1397</v>
      </c>
      <c r="L1003" s="303" t="s">
        <v>1956</v>
      </c>
      <c r="M1003" s="303" t="s">
        <v>2175</v>
      </c>
      <c r="N1003" s="303" t="s">
        <v>1987</v>
      </c>
      <c r="O1003" s="303" t="s">
        <v>1986</v>
      </c>
      <c r="P1003" s="328">
        <v>43453</v>
      </c>
      <c r="Q1003" s="303" t="s">
        <v>1952</v>
      </c>
      <c r="R1003" s="303">
        <f t="shared" si="19"/>
        <v>1</v>
      </c>
      <c r="S1003" s="303">
        <v>0</v>
      </c>
    </row>
    <row r="1004" spans="1:19" x14ac:dyDescent="0.25">
      <c r="A1004" s="303" t="s">
        <v>2174</v>
      </c>
      <c r="B1004" s="303" t="s">
        <v>2173</v>
      </c>
      <c r="C1004" s="328">
        <v>43453</v>
      </c>
      <c r="D1004" s="303" t="s">
        <v>1965</v>
      </c>
      <c r="E1004" s="303" t="s">
        <v>1964</v>
      </c>
      <c r="F1004" s="303" t="s">
        <v>1967</v>
      </c>
      <c r="G1004" s="303" t="s">
        <v>2172</v>
      </c>
      <c r="H1004" s="303" t="s">
        <v>1956</v>
      </c>
      <c r="I1004" s="304">
        <v>14552</v>
      </c>
      <c r="J1004" s="303" t="s">
        <v>1967</v>
      </c>
      <c r="K1004" s="303" t="s">
        <v>2134</v>
      </c>
      <c r="L1004" s="303" t="s">
        <v>1956</v>
      </c>
      <c r="M1004" s="303" t="s">
        <v>2171</v>
      </c>
      <c r="N1004" s="303" t="s">
        <v>1987</v>
      </c>
      <c r="O1004" s="303" t="s">
        <v>1986</v>
      </c>
      <c r="P1004" s="328">
        <v>43453</v>
      </c>
      <c r="Q1004" s="303" t="s">
        <v>1952</v>
      </c>
      <c r="R1004" s="303">
        <f t="shared" si="19"/>
        <v>0</v>
      </c>
      <c r="S1004" s="303">
        <v>0</v>
      </c>
    </row>
    <row r="1005" spans="1:19" x14ac:dyDescent="0.25">
      <c r="A1005" s="303" t="s">
        <v>2174</v>
      </c>
      <c r="B1005" s="303" t="s">
        <v>2173</v>
      </c>
      <c r="C1005" s="328">
        <v>43453</v>
      </c>
      <c r="D1005" s="303" t="s">
        <v>1961</v>
      </c>
      <c r="E1005" s="303" t="s">
        <v>1960</v>
      </c>
      <c r="F1005" s="303" t="s">
        <v>1967</v>
      </c>
      <c r="G1005" s="303" t="s">
        <v>2172</v>
      </c>
      <c r="H1005" s="303" t="s">
        <v>1956</v>
      </c>
      <c r="I1005" s="304">
        <v>-14552</v>
      </c>
      <c r="J1005" s="303" t="s">
        <v>1967</v>
      </c>
      <c r="K1005" s="303" t="s">
        <v>2134</v>
      </c>
      <c r="L1005" s="303" t="s">
        <v>1956</v>
      </c>
      <c r="M1005" s="303" t="s">
        <v>2171</v>
      </c>
      <c r="N1005" s="303" t="s">
        <v>1987</v>
      </c>
      <c r="O1005" s="303" t="s">
        <v>1986</v>
      </c>
      <c r="P1005" s="328">
        <v>43453</v>
      </c>
      <c r="Q1005" s="303" t="s">
        <v>1952</v>
      </c>
      <c r="R1005" s="303">
        <f t="shared" si="19"/>
        <v>0</v>
      </c>
      <c r="S1005" s="303">
        <v>0</v>
      </c>
    </row>
    <row r="1006" spans="1:19" x14ac:dyDescent="0.25">
      <c r="A1006" s="303" t="s">
        <v>2170</v>
      </c>
      <c r="B1006" s="303" t="s">
        <v>2169</v>
      </c>
      <c r="C1006" s="328">
        <v>43453</v>
      </c>
      <c r="D1006" s="303" t="s">
        <v>1965</v>
      </c>
      <c r="E1006" s="303" t="s">
        <v>1964</v>
      </c>
      <c r="F1006" s="303" t="s">
        <v>1967</v>
      </c>
      <c r="G1006" s="303" t="s">
        <v>2165</v>
      </c>
      <c r="H1006" s="303" t="s">
        <v>1956</v>
      </c>
      <c r="I1006" s="304">
        <v>22802</v>
      </c>
      <c r="J1006" s="303" t="s">
        <v>1967</v>
      </c>
      <c r="K1006" s="303" t="s">
        <v>1959</v>
      </c>
      <c r="L1006" s="303" t="s">
        <v>1956</v>
      </c>
      <c r="M1006" s="303" t="s">
        <v>2168</v>
      </c>
      <c r="N1006" s="303" t="s">
        <v>1987</v>
      </c>
      <c r="O1006" s="303" t="s">
        <v>1986</v>
      </c>
      <c r="P1006" s="328">
        <v>43453</v>
      </c>
      <c r="Q1006" s="303" t="s">
        <v>1952</v>
      </c>
      <c r="R1006" s="303">
        <f t="shared" si="19"/>
        <v>1</v>
      </c>
      <c r="S1006" s="303">
        <v>0</v>
      </c>
    </row>
    <row r="1007" spans="1:19" x14ac:dyDescent="0.25">
      <c r="A1007" s="303" t="s">
        <v>2170</v>
      </c>
      <c r="B1007" s="303" t="s">
        <v>2169</v>
      </c>
      <c r="C1007" s="328">
        <v>43453</v>
      </c>
      <c r="D1007" s="303" t="s">
        <v>1961</v>
      </c>
      <c r="E1007" s="303" t="s">
        <v>1960</v>
      </c>
      <c r="F1007" s="303" t="s">
        <v>1967</v>
      </c>
      <c r="G1007" s="303" t="s">
        <v>2165</v>
      </c>
      <c r="H1007" s="303" t="s">
        <v>1956</v>
      </c>
      <c r="I1007" s="304">
        <v>-22802</v>
      </c>
      <c r="J1007" s="303" t="s">
        <v>1967</v>
      </c>
      <c r="K1007" s="303" t="s">
        <v>1959</v>
      </c>
      <c r="L1007" s="303" t="s">
        <v>1956</v>
      </c>
      <c r="M1007" s="303" t="s">
        <v>2168</v>
      </c>
      <c r="N1007" s="303" t="s">
        <v>1987</v>
      </c>
      <c r="O1007" s="303" t="s">
        <v>1986</v>
      </c>
      <c r="P1007" s="328">
        <v>43453</v>
      </c>
      <c r="Q1007" s="303" t="s">
        <v>1952</v>
      </c>
      <c r="R1007" s="303">
        <f t="shared" si="19"/>
        <v>1</v>
      </c>
      <c r="S1007" s="303">
        <v>0</v>
      </c>
    </row>
    <row r="1008" spans="1:19" x14ac:dyDescent="0.25">
      <c r="A1008" s="303" t="s">
        <v>2167</v>
      </c>
      <c r="B1008" s="303" t="s">
        <v>2166</v>
      </c>
      <c r="C1008" s="328">
        <v>43453</v>
      </c>
      <c r="D1008" s="303" t="s">
        <v>1965</v>
      </c>
      <c r="E1008" s="303" t="s">
        <v>1964</v>
      </c>
      <c r="F1008" s="303" t="s">
        <v>1967</v>
      </c>
      <c r="G1008" s="303" t="s">
        <v>2165</v>
      </c>
      <c r="H1008" s="303" t="s">
        <v>1956</v>
      </c>
      <c r="I1008" s="304">
        <v>973</v>
      </c>
      <c r="J1008" s="303" t="s">
        <v>1967</v>
      </c>
      <c r="K1008" s="303" t="s">
        <v>1959</v>
      </c>
      <c r="L1008" s="303" t="s">
        <v>1956</v>
      </c>
      <c r="M1008" s="303" t="s">
        <v>2164</v>
      </c>
      <c r="N1008" s="303" t="s">
        <v>1987</v>
      </c>
      <c r="O1008" s="303" t="s">
        <v>1986</v>
      </c>
      <c r="P1008" s="328">
        <v>43453</v>
      </c>
      <c r="Q1008" s="303" t="s">
        <v>1952</v>
      </c>
      <c r="R1008" s="303">
        <f t="shared" si="19"/>
        <v>1</v>
      </c>
      <c r="S1008" s="303">
        <v>0</v>
      </c>
    </row>
    <row r="1009" spans="1:19" x14ac:dyDescent="0.25">
      <c r="A1009" s="303" t="s">
        <v>2167</v>
      </c>
      <c r="B1009" s="303" t="s">
        <v>2166</v>
      </c>
      <c r="C1009" s="328">
        <v>43453</v>
      </c>
      <c r="D1009" s="303" t="s">
        <v>1961</v>
      </c>
      <c r="E1009" s="303" t="s">
        <v>1960</v>
      </c>
      <c r="F1009" s="303" t="s">
        <v>1967</v>
      </c>
      <c r="G1009" s="303" t="s">
        <v>2165</v>
      </c>
      <c r="H1009" s="303" t="s">
        <v>1956</v>
      </c>
      <c r="I1009" s="304">
        <v>-973</v>
      </c>
      <c r="J1009" s="303" t="s">
        <v>1967</v>
      </c>
      <c r="K1009" s="303" t="s">
        <v>1959</v>
      </c>
      <c r="L1009" s="303" t="s">
        <v>1956</v>
      </c>
      <c r="M1009" s="303" t="s">
        <v>2164</v>
      </c>
      <c r="N1009" s="303" t="s">
        <v>1987</v>
      </c>
      <c r="O1009" s="303" t="s">
        <v>1986</v>
      </c>
      <c r="P1009" s="328">
        <v>43453</v>
      </c>
      <c r="Q1009" s="303" t="s">
        <v>1952</v>
      </c>
      <c r="R1009" s="303">
        <f t="shared" si="19"/>
        <v>1</v>
      </c>
      <c r="S1009" s="303">
        <v>0</v>
      </c>
    </row>
    <row r="1010" spans="1:19" x14ac:dyDescent="0.25">
      <c r="A1010" s="303" t="s">
        <v>2163</v>
      </c>
      <c r="B1010" s="303" t="s">
        <v>2162</v>
      </c>
      <c r="C1010" s="328">
        <v>43453</v>
      </c>
      <c r="D1010" s="303" t="s">
        <v>1965</v>
      </c>
      <c r="E1010" s="303" t="s">
        <v>1964</v>
      </c>
      <c r="F1010" s="303" t="s">
        <v>1967</v>
      </c>
      <c r="G1010" s="303" t="s">
        <v>1959</v>
      </c>
      <c r="H1010" s="303" t="s">
        <v>1956</v>
      </c>
      <c r="I1010" s="304">
        <v>2317</v>
      </c>
      <c r="J1010" s="303" t="s">
        <v>1967</v>
      </c>
      <c r="K1010" s="303" t="s">
        <v>2161</v>
      </c>
      <c r="L1010" s="303" t="s">
        <v>1956</v>
      </c>
      <c r="M1010" s="303" t="s">
        <v>2160</v>
      </c>
      <c r="N1010" s="303" t="s">
        <v>1987</v>
      </c>
      <c r="O1010" s="303" t="s">
        <v>1986</v>
      </c>
      <c r="P1010" s="328">
        <v>43453</v>
      </c>
      <c r="Q1010" s="303" t="s">
        <v>1952</v>
      </c>
      <c r="R1010" s="303">
        <f t="shared" si="19"/>
        <v>1</v>
      </c>
      <c r="S1010" s="303">
        <v>0</v>
      </c>
    </row>
    <row r="1011" spans="1:19" x14ac:dyDescent="0.25">
      <c r="A1011" s="303" t="s">
        <v>2163</v>
      </c>
      <c r="B1011" s="303" t="s">
        <v>2162</v>
      </c>
      <c r="C1011" s="328">
        <v>43453</v>
      </c>
      <c r="D1011" s="303" t="s">
        <v>1961</v>
      </c>
      <c r="E1011" s="303" t="s">
        <v>1960</v>
      </c>
      <c r="F1011" s="303" t="s">
        <v>1967</v>
      </c>
      <c r="G1011" s="303" t="s">
        <v>1959</v>
      </c>
      <c r="H1011" s="303" t="s">
        <v>1956</v>
      </c>
      <c r="I1011" s="304">
        <v>-2317</v>
      </c>
      <c r="J1011" s="303" t="s">
        <v>1967</v>
      </c>
      <c r="K1011" s="303" t="s">
        <v>2161</v>
      </c>
      <c r="L1011" s="303" t="s">
        <v>1956</v>
      </c>
      <c r="M1011" s="303" t="s">
        <v>2160</v>
      </c>
      <c r="N1011" s="303" t="s">
        <v>1987</v>
      </c>
      <c r="O1011" s="303" t="s">
        <v>1986</v>
      </c>
      <c r="P1011" s="328">
        <v>43453</v>
      </c>
      <c r="Q1011" s="303" t="s">
        <v>1952</v>
      </c>
      <c r="R1011" s="303">
        <f t="shared" si="19"/>
        <v>1</v>
      </c>
      <c r="S1011" s="303">
        <v>0</v>
      </c>
    </row>
    <row r="1012" spans="1:19" x14ac:dyDescent="0.25">
      <c r="A1012" s="303" t="s">
        <v>2159</v>
      </c>
      <c r="B1012" s="303" t="s">
        <v>2158</v>
      </c>
      <c r="C1012" s="328">
        <v>43453</v>
      </c>
      <c r="D1012" s="303" t="s">
        <v>1965</v>
      </c>
      <c r="E1012" s="303" t="s">
        <v>1964</v>
      </c>
      <c r="F1012" s="303" t="s">
        <v>1967</v>
      </c>
      <c r="G1012" s="303" t="s">
        <v>1959</v>
      </c>
      <c r="H1012" s="303" t="s">
        <v>1956</v>
      </c>
      <c r="I1012" s="304">
        <v>512</v>
      </c>
      <c r="J1012" s="303" t="s">
        <v>1967</v>
      </c>
      <c r="K1012" s="303" t="s">
        <v>2123</v>
      </c>
      <c r="L1012" s="303" t="s">
        <v>1956</v>
      </c>
      <c r="M1012" s="303" t="s">
        <v>2157</v>
      </c>
      <c r="N1012" s="303" t="s">
        <v>1987</v>
      </c>
      <c r="O1012" s="303" t="s">
        <v>1986</v>
      </c>
      <c r="P1012" s="328">
        <v>43453</v>
      </c>
      <c r="Q1012" s="303" t="s">
        <v>1952</v>
      </c>
      <c r="R1012" s="303">
        <f t="shared" si="19"/>
        <v>1</v>
      </c>
      <c r="S1012" s="303">
        <v>0</v>
      </c>
    </row>
    <row r="1013" spans="1:19" x14ac:dyDescent="0.25">
      <c r="A1013" s="303" t="s">
        <v>2159</v>
      </c>
      <c r="B1013" s="303" t="s">
        <v>2158</v>
      </c>
      <c r="C1013" s="328">
        <v>43453</v>
      </c>
      <c r="D1013" s="303" t="s">
        <v>1961</v>
      </c>
      <c r="E1013" s="303" t="s">
        <v>1960</v>
      </c>
      <c r="F1013" s="303" t="s">
        <v>1967</v>
      </c>
      <c r="G1013" s="303" t="s">
        <v>1959</v>
      </c>
      <c r="H1013" s="303" t="s">
        <v>1956</v>
      </c>
      <c r="I1013" s="304">
        <v>-512</v>
      </c>
      <c r="J1013" s="303" t="s">
        <v>1967</v>
      </c>
      <c r="K1013" s="303" t="s">
        <v>2123</v>
      </c>
      <c r="L1013" s="303" t="s">
        <v>1956</v>
      </c>
      <c r="M1013" s="303" t="s">
        <v>2157</v>
      </c>
      <c r="N1013" s="303" t="s">
        <v>1987</v>
      </c>
      <c r="O1013" s="303" t="s">
        <v>1986</v>
      </c>
      <c r="P1013" s="328">
        <v>43453</v>
      </c>
      <c r="Q1013" s="303" t="s">
        <v>1952</v>
      </c>
      <c r="R1013" s="303">
        <f t="shared" si="19"/>
        <v>1</v>
      </c>
      <c r="S1013" s="303">
        <v>0</v>
      </c>
    </row>
    <row r="1014" spans="1:19" x14ac:dyDescent="0.25">
      <c r="A1014" s="303" t="s">
        <v>2156</v>
      </c>
      <c r="B1014" s="303" t="s">
        <v>2155</v>
      </c>
      <c r="C1014" s="328">
        <v>43453</v>
      </c>
      <c r="D1014" s="303" t="s">
        <v>1965</v>
      </c>
      <c r="E1014" s="303" t="s">
        <v>1964</v>
      </c>
      <c r="F1014" s="303" t="s">
        <v>1967</v>
      </c>
      <c r="G1014" s="303" t="s">
        <v>1959</v>
      </c>
      <c r="H1014" s="303" t="s">
        <v>1956</v>
      </c>
      <c r="I1014" s="304">
        <v>10725</v>
      </c>
      <c r="J1014" s="303" t="s">
        <v>1967</v>
      </c>
      <c r="K1014" s="303" t="s">
        <v>2154</v>
      </c>
      <c r="L1014" s="303" t="s">
        <v>1956</v>
      </c>
      <c r="M1014" s="303" t="s">
        <v>2153</v>
      </c>
      <c r="N1014" s="303" t="s">
        <v>1987</v>
      </c>
      <c r="O1014" s="303" t="s">
        <v>1986</v>
      </c>
      <c r="P1014" s="328">
        <v>43453</v>
      </c>
      <c r="Q1014" s="303" t="s">
        <v>1952</v>
      </c>
      <c r="R1014" s="303">
        <f t="shared" si="19"/>
        <v>1</v>
      </c>
      <c r="S1014" s="303">
        <v>0</v>
      </c>
    </row>
    <row r="1015" spans="1:19" x14ac:dyDescent="0.25">
      <c r="A1015" s="303" t="s">
        <v>2156</v>
      </c>
      <c r="B1015" s="303" t="s">
        <v>2155</v>
      </c>
      <c r="C1015" s="328">
        <v>43453</v>
      </c>
      <c r="D1015" s="303" t="s">
        <v>1961</v>
      </c>
      <c r="E1015" s="303" t="s">
        <v>1960</v>
      </c>
      <c r="F1015" s="303" t="s">
        <v>1967</v>
      </c>
      <c r="G1015" s="303" t="s">
        <v>1959</v>
      </c>
      <c r="H1015" s="303" t="s">
        <v>1956</v>
      </c>
      <c r="I1015" s="304">
        <v>-10725</v>
      </c>
      <c r="J1015" s="303" t="s">
        <v>1967</v>
      </c>
      <c r="K1015" s="303" t="s">
        <v>2154</v>
      </c>
      <c r="L1015" s="303" t="s">
        <v>1956</v>
      </c>
      <c r="M1015" s="303" t="s">
        <v>2153</v>
      </c>
      <c r="N1015" s="303" t="s">
        <v>1987</v>
      </c>
      <c r="O1015" s="303" t="s">
        <v>1986</v>
      </c>
      <c r="P1015" s="328">
        <v>43453</v>
      </c>
      <c r="Q1015" s="303" t="s">
        <v>1952</v>
      </c>
      <c r="R1015" s="303">
        <f t="shared" si="19"/>
        <v>1</v>
      </c>
      <c r="S1015" s="303">
        <v>0</v>
      </c>
    </row>
    <row r="1016" spans="1:19" x14ac:dyDescent="0.25">
      <c r="A1016" s="303" t="s">
        <v>2152</v>
      </c>
      <c r="B1016" s="303" t="s">
        <v>2151</v>
      </c>
      <c r="C1016" s="328">
        <v>43453</v>
      </c>
      <c r="D1016" s="303" t="s">
        <v>1965</v>
      </c>
      <c r="E1016" s="303" t="s">
        <v>1964</v>
      </c>
      <c r="F1016" s="303" t="s">
        <v>1967</v>
      </c>
      <c r="G1016" s="303" t="s">
        <v>2150</v>
      </c>
      <c r="H1016" s="303" t="s">
        <v>1956</v>
      </c>
      <c r="I1016" s="304">
        <v>905</v>
      </c>
      <c r="J1016" s="303" t="s">
        <v>1967</v>
      </c>
      <c r="K1016" s="303" t="s">
        <v>1959</v>
      </c>
      <c r="L1016" s="303" t="s">
        <v>1956</v>
      </c>
      <c r="M1016" s="303" t="s">
        <v>2149</v>
      </c>
      <c r="N1016" s="303" t="s">
        <v>1987</v>
      </c>
      <c r="O1016" s="303" t="s">
        <v>1986</v>
      </c>
      <c r="P1016" s="328">
        <v>43453</v>
      </c>
      <c r="Q1016" s="303" t="s">
        <v>1952</v>
      </c>
      <c r="R1016" s="303">
        <f t="shared" si="19"/>
        <v>1</v>
      </c>
      <c r="S1016" s="303">
        <v>0</v>
      </c>
    </row>
    <row r="1017" spans="1:19" x14ac:dyDescent="0.25">
      <c r="A1017" s="303" t="s">
        <v>2152</v>
      </c>
      <c r="B1017" s="303" t="s">
        <v>2151</v>
      </c>
      <c r="C1017" s="328">
        <v>43453</v>
      </c>
      <c r="D1017" s="303" t="s">
        <v>1961</v>
      </c>
      <c r="E1017" s="303" t="s">
        <v>1960</v>
      </c>
      <c r="F1017" s="303" t="s">
        <v>1967</v>
      </c>
      <c r="G1017" s="303" t="s">
        <v>2150</v>
      </c>
      <c r="H1017" s="303" t="s">
        <v>1956</v>
      </c>
      <c r="I1017" s="304">
        <v>-905</v>
      </c>
      <c r="J1017" s="303" t="s">
        <v>1967</v>
      </c>
      <c r="K1017" s="303" t="s">
        <v>1959</v>
      </c>
      <c r="L1017" s="303" t="s">
        <v>1956</v>
      </c>
      <c r="M1017" s="303" t="s">
        <v>2149</v>
      </c>
      <c r="N1017" s="303" t="s">
        <v>1987</v>
      </c>
      <c r="O1017" s="303" t="s">
        <v>1986</v>
      </c>
      <c r="P1017" s="328">
        <v>43453</v>
      </c>
      <c r="Q1017" s="303" t="s">
        <v>1952</v>
      </c>
      <c r="R1017" s="303">
        <f t="shared" si="19"/>
        <v>1</v>
      </c>
      <c r="S1017" s="303">
        <v>0</v>
      </c>
    </row>
    <row r="1018" spans="1:19" x14ac:dyDescent="0.25">
      <c r="A1018" s="303" t="s">
        <v>2148</v>
      </c>
      <c r="B1018" s="303" t="s">
        <v>2147</v>
      </c>
      <c r="C1018" s="328">
        <v>43453</v>
      </c>
      <c r="D1018" s="303" t="s">
        <v>1965</v>
      </c>
      <c r="E1018" s="303" t="s">
        <v>1964</v>
      </c>
      <c r="F1018" s="303" t="s">
        <v>1967</v>
      </c>
      <c r="G1018" s="303" t="s">
        <v>1582</v>
      </c>
      <c r="H1018" s="303" t="s">
        <v>1956</v>
      </c>
      <c r="I1018" s="304">
        <v>4195</v>
      </c>
      <c r="J1018" s="303" t="s">
        <v>1967</v>
      </c>
      <c r="K1018" s="303" t="s">
        <v>2134</v>
      </c>
      <c r="L1018" s="303" t="s">
        <v>1956</v>
      </c>
      <c r="M1018" s="303" t="s">
        <v>2144</v>
      </c>
      <c r="N1018" s="303" t="s">
        <v>1987</v>
      </c>
      <c r="O1018" s="303" t="s">
        <v>1986</v>
      </c>
      <c r="P1018" s="328">
        <v>43453</v>
      </c>
      <c r="Q1018" s="303" t="s">
        <v>1952</v>
      </c>
      <c r="R1018" s="303">
        <f t="shared" si="19"/>
        <v>0</v>
      </c>
      <c r="S1018" s="303">
        <v>0</v>
      </c>
    </row>
    <row r="1019" spans="1:19" x14ac:dyDescent="0.25">
      <c r="A1019" s="303" t="s">
        <v>2148</v>
      </c>
      <c r="B1019" s="303" t="s">
        <v>2147</v>
      </c>
      <c r="C1019" s="328">
        <v>43453</v>
      </c>
      <c r="D1019" s="303" t="s">
        <v>1961</v>
      </c>
      <c r="E1019" s="303" t="s">
        <v>1960</v>
      </c>
      <c r="F1019" s="303" t="s">
        <v>1967</v>
      </c>
      <c r="G1019" s="303" t="s">
        <v>1582</v>
      </c>
      <c r="H1019" s="303" t="s">
        <v>1956</v>
      </c>
      <c r="I1019" s="304">
        <v>-4195</v>
      </c>
      <c r="J1019" s="303" t="s">
        <v>1967</v>
      </c>
      <c r="K1019" s="303" t="s">
        <v>2134</v>
      </c>
      <c r="L1019" s="303" t="s">
        <v>1956</v>
      </c>
      <c r="M1019" s="303" t="s">
        <v>2144</v>
      </c>
      <c r="N1019" s="303" t="s">
        <v>1987</v>
      </c>
      <c r="O1019" s="303" t="s">
        <v>1986</v>
      </c>
      <c r="P1019" s="328">
        <v>43453</v>
      </c>
      <c r="Q1019" s="303" t="s">
        <v>1952</v>
      </c>
      <c r="R1019" s="303">
        <f t="shared" si="19"/>
        <v>0</v>
      </c>
      <c r="S1019" s="303">
        <v>0</v>
      </c>
    </row>
    <row r="1020" spans="1:19" x14ac:dyDescent="0.25">
      <c r="A1020" s="303" t="s">
        <v>2146</v>
      </c>
      <c r="B1020" s="303" t="s">
        <v>2145</v>
      </c>
      <c r="C1020" s="328">
        <v>43453</v>
      </c>
      <c r="D1020" s="303" t="s">
        <v>1965</v>
      </c>
      <c r="E1020" s="303" t="s">
        <v>1964</v>
      </c>
      <c r="F1020" s="303" t="s">
        <v>1967</v>
      </c>
      <c r="G1020" s="303" t="s">
        <v>2036</v>
      </c>
      <c r="H1020" s="303" t="s">
        <v>1956</v>
      </c>
      <c r="I1020" s="304">
        <v>4195</v>
      </c>
      <c r="J1020" s="303" t="s">
        <v>1967</v>
      </c>
      <c r="K1020" s="303" t="s">
        <v>2134</v>
      </c>
      <c r="L1020" s="303" t="s">
        <v>1956</v>
      </c>
      <c r="M1020" s="303" t="s">
        <v>2144</v>
      </c>
      <c r="N1020" s="303" t="s">
        <v>1987</v>
      </c>
      <c r="O1020" s="303" t="s">
        <v>1986</v>
      </c>
      <c r="P1020" s="328">
        <v>43453</v>
      </c>
      <c r="Q1020" s="303" t="s">
        <v>1952</v>
      </c>
      <c r="R1020" s="303">
        <f t="shared" si="19"/>
        <v>0</v>
      </c>
      <c r="S1020" s="303">
        <v>0</v>
      </c>
    </row>
    <row r="1021" spans="1:19" x14ac:dyDescent="0.25">
      <c r="A1021" s="303" t="s">
        <v>2146</v>
      </c>
      <c r="B1021" s="303" t="s">
        <v>2145</v>
      </c>
      <c r="C1021" s="328">
        <v>43453</v>
      </c>
      <c r="D1021" s="303" t="s">
        <v>1961</v>
      </c>
      <c r="E1021" s="303" t="s">
        <v>1960</v>
      </c>
      <c r="F1021" s="303" t="s">
        <v>1967</v>
      </c>
      <c r="G1021" s="303" t="s">
        <v>2036</v>
      </c>
      <c r="H1021" s="303" t="s">
        <v>1956</v>
      </c>
      <c r="I1021" s="304">
        <v>-4195</v>
      </c>
      <c r="J1021" s="303" t="s">
        <v>1967</v>
      </c>
      <c r="K1021" s="303" t="s">
        <v>2134</v>
      </c>
      <c r="L1021" s="303" t="s">
        <v>1956</v>
      </c>
      <c r="M1021" s="303" t="s">
        <v>2144</v>
      </c>
      <c r="N1021" s="303" t="s">
        <v>1987</v>
      </c>
      <c r="O1021" s="303" t="s">
        <v>1986</v>
      </c>
      <c r="P1021" s="328">
        <v>43453</v>
      </c>
      <c r="Q1021" s="303" t="s">
        <v>1952</v>
      </c>
      <c r="R1021" s="303">
        <f t="shared" si="19"/>
        <v>0</v>
      </c>
      <c r="S1021" s="303">
        <v>0</v>
      </c>
    </row>
    <row r="1022" spans="1:19" x14ac:dyDescent="0.25">
      <c r="A1022" s="303" t="s">
        <v>2143</v>
      </c>
      <c r="B1022" s="303" t="s">
        <v>2142</v>
      </c>
      <c r="C1022" s="328">
        <v>43453</v>
      </c>
      <c r="D1022" s="303" t="s">
        <v>1965</v>
      </c>
      <c r="E1022" s="303" t="s">
        <v>1964</v>
      </c>
      <c r="F1022" s="303" t="s">
        <v>1967</v>
      </c>
      <c r="G1022" s="303" t="s">
        <v>1487</v>
      </c>
      <c r="H1022" s="303" t="s">
        <v>1956</v>
      </c>
      <c r="I1022" s="304">
        <v>1410</v>
      </c>
      <c r="J1022" s="303" t="s">
        <v>1967</v>
      </c>
      <c r="K1022" s="303" t="s">
        <v>2134</v>
      </c>
      <c r="L1022" s="303" t="s">
        <v>1956</v>
      </c>
      <c r="M1022" s="303" t="s">
        <v>2141</v>
      </c>
      <c r="N1022" s="303" t="s">
        <v>1987</v>
      </c>
      <c r="O1022" s="303" t="s">
        <v>1986</v>
      </c>
      <c r="P1022" s="328">
        <v>43453</v>
      </c>
      <c r="Q1022" s="303" t="s">
        <v>1952</v>
      </c>
      <c r="R1022" s="303">
        <f t="shared" si="19"/>
        <v>0</v>
      </c>
      <c r="S1022" s="303">
        <v>0</v>
      </c>
    </row>
    <row r="1023" spans="1:19" x14ac:dyDescent="0.25">
      <c r="A1023" s="303" t="s">
        <v>2143</v>
      </c>
      <c r="B1023" s="303" t="s">
        <v>2142</v>
      </c>
      <c r="C1023" s="328">
        <v>43453</v>
      </c>
      <c r="D1023" s="303" t="s">
        <v>1961</v>
      </c>
      <c r="E1023" s="303" t="s">
        <v>1960</v>
      </c>
      <c r="F1023" s="303" t="s">
        <v>1967</v>
      </c>
      <c r="G1023" s="303" t="s">
        <v>1487</v>
      </c>
      <c r="H1023" s="303" t="s">
        <v>1956</v>
      </c>
      <c r="I1023" s="304">
        <v>-1410</v>
      </c>
      <c r="J1023" s="303" t="s">
        <v>1967</v>
      </c>
      <c r="K1023" s="303" t="s">
        <v>2134</v>
      </c>
      <c r="L1023" s="303" t="s">
        <v>1956</v>
      </c>
      <c r="M1023" s="303" t="s">
        <v>2141</v>
      </c>
      <c r="N1023" s="303" t="s">
        <v>1987</v>
      </c>
      <c r="O1023" s="303" t="s">
        <v>1986</v>
      </c>
      <c r="P1023" s="328">
        <v>43453</v>
      </c>
      <c r="Q1023" s="303" t="s">
        <v>1952</v>
      </c>
      <c r="R1023" s="303">
        <f t="shared" si="19"/>
        <v>0</v>
      </c>
      <c r="S1023" s="303">
        <v>0</v>
      </c>
    </row>
    <row r="1024" spans="1:19" x14ac:dyDescent="0.25">
      <c r="A1024" s="303" t="s">
        <v>2140</v>
      </c>
      <c r="B1024" s="303" t="s">
        <v>2139</v>
      </c>
      <c r="C1024" s="328">
        <v>43453</v>
      </c>
      <c r="D1024" s="303" t="s">
        <v>1965</v>
      </c>
      <c r="E1024" s="303" t="s">
        <v>1964</v>
      </c>
      <c r="F1024" s="303" t="s">
        <v>1967</v>
      </c>
      <c r="G1024" s="303" t="s">
        <v>2138</v>
      </c>
      <c r="H1024" s="303" t="s">
        <v>1956</v>
      </c>
      <c r="I1024" s="304">
        <v>4707</v>
      </c>
      <c r="J1024" s="303" t="s">
        <v>1967</v>
      </c>
      <c r="K1024" s="303" t="s">
        <v>2134</v>
      </c>
      <c r="L1024" s="303" t="s">
        <v>1956</v>
      </c>
      <c r="M1024" s="303" t="s">
        <v>2133</v>
      </c>
      <c r="N1024" s="303" t="s">
        <v>1987</v>
      </c>
      <c r="O1024" s="303" t="s">
        <v>1986</v>
      </c>
      <c r="P1024" s="328">
        <v>43453</v>
      </c>
      <c r="Q1024" s="303" t="s">
        <v>1952</v>
      </c>
      <c r="R1024" s="303">
        <f t="shared" si="19"/>
        <v>0</v>
      </c>
      <c r="S1024" s="303">
        <v>0</v>
      </c>
    </row>
    <row r="1025" spans="1:19" x14ac:dyDescent="0.25">
      <c r="A1025" s="303" t="s">
        <v>2140</v>
      </c>
      <c r="B1025" s="303" t="s">
        <v>2139</v>
      </c>
      <c r="C1025" s="328">
        <v>43453</v>
      </c>
      <c r="D1025" s="303" t="s">
        <v>1961</v>
      </c>
      <c r="E1025" s="303" t="s">
        <v>1960</v>
      </c>
      <c r="F1025" s="303" t="s">
        <v>1967</v>
      </c>
      <c r="G1025" s="303" t="s">
        <v>2138</v>
      </c>
      <c r="H1025" s="303" t="s">
        <v>1956</v>
      </c>
      <c r="I1025" s="304">
        <v>-4707</v>
      </c>
      <c r="J1025" s="303" t="s">
        <v>1967</v>
      </c>
      <c r="K1025" s="303" t="s">
        <v>2134</v>
      </c>
      <c r="L1025" s="303" t="s">
        <v>1956</v>
      </c>
      <c r="M1025" s="303" t="s">
        <v>2133</v>
      </c>
      <c r="N1025" s="303" t="s">
        <v>1987</v>
      </c>
      <c r="O1025" s="303" t="s">
        <v>1986</v>
      </c>
      <c r="P1025" s="328">
        <v>43453</v>
      </c>
      <c r="Q1025" s="303" t="s">
        <v>1952</v>
      </c>
      <c r="R1025" s="303">
        <f t="shared" si="19"/>
        <v>0</v>
      </c>
      <c r="S1025" s="303">
        <v>0</v>
      </c>
    </row>
    <row r="1026" spans="1:19" x14ac:dyDescent="0.25">
      <c r="A1026" s="303" t="s">
        <v>2137</v>
      </c>
      <c r="B1026" s="303" t="s">
        <v>2136</v>
      </c>
      <c r="C1026" s="328">
        <v>43453</v>
      </c>
      <c r="D1026" s="303" t="s">
        <v>1965</v>
      </c>
      <c r="E1026" s="303" t="s">
        <v>1964</v>
      </c>
      <c r="F1026" s="303" t="s">
        <v>1967</v>
      </c>
      <c r="G1026" s="303" t="s">
        <v>2135</v>
      </c>
      <c r="H1026" s="303" t="s">
        <v>1956</v>
      </c>
      <c r="I1026" s="304">
        <v>4707</v>
      </c>
      <c r="J1026" s="303" t="s">
        <v>1967</v>
      </c>
      <c r="K1026" s="303" t="s">
        <v>2134</v>
      </c>
      <c r="L1026" s="303" t="s">
        <v>1956</v>
      </c>
      <c r="M1026" s="303" t="s">
        <v>2133</v>
      </c>
      <c r="N1026" s="303" t="s">
        <v>1987</v>
      </c>
      <c r="O1026" s="303" t="s">
        <v>1986</v>
      </c>
      <c r="P1026" s="328">
        <v>43453</v>
      </c>
      <c r="Q1026" s="303" t="s">
        <v>1952</v>
      </c>
      <c r="R1026" s="303">
        <f t="shared" si="19"/>
        <v>0</v>
      </c>
      <c r="S1026" s="303">
        <v>0</v>
      </c>
    </row>
    <row r="1027" spans="1:19" x14ac:dyDescent="0.25">
      <c r="A1027" s="303" t="s">
        <v>2137</v>
      </c>
      <c r="B1027" s="303" t="s">
        <v>2136</v>
      </c>
      <c r="C1027" s="328">
        <v>43453</v>
      </c>
      <c r="D1027" s="303" t="s">
        <v>1961</v>
      </c>
      <c r="E1027" s="303" t="s">
        <v>1960</v>
      </c>
      <c r="F1027" s="303" t="s">
        <v>1967</v>
      </c>
      <c r="G1027" s="303" t="s">
        <v>2135</v>
      </c>
      <c r="H1027" s="303" t="s">
        <v>1956</v>
      </c>
      <c r="I1027" s="304">
        <v>-4707</v>
      </c>
      <c r="J1027" s="303" t="s">
        <v>1967</v>
      </c>
      <c r="K1027" s="303" t="s">
        <v>2134</v>
      </c>
      <c r="L1027" s="303" t="s">
        <v>1956</v>
      </c>
      <c r="M1027" s="303" t="s">
        <v>2133</v>
      </c>
      <c r="N1027" s="303" t="s">
        <v>1987</v>
      </c>
      <c r="O1027" s="303" t="s">
        <v>1986</v>
      </c>
      <c r="P1027" s="328">
        <v>43453</v>
      </c>
      <c r="Q1027" s="303" t="s">
        <v>1952</v>
      </c>
      <c r="R1027" s="303">
        <f t="shared" ref="R1027:R1090" si="20">IF(OR(M1027="transfert de B vers A",M1027="transfert de B vers D",M1027="transfert de A vers B",M1027="transfert de D vers B",M1027="carryover 2017 -&gt; 2018",IF(ISERR(SEARCH("fidélité",M1027)),FALSE,TRUE),M1027="Fermeture STI-FORM",M1027="répartition AE/AC"),0,1)</f>
        <v>0</v>
      </c>
      <c r="S1027" s="303">
        <v>0</v>
      </c>
    </row>
    <row r="1028" spans="1:19" x14ac:dyDescent="0.25">
      <c r="A1028" s="303" t="s">
        <v>2132</v>
      </c>
      <c r="B1028" s="303" t="s">
        <v>2131</v>
      </c>
      <c r="C1028" s="328">
        <v>43453</v>
      </c>
      <c r="D1028" s="303" t="s">
        <v>1965</v>
      </c>
      <c r="E1028" s="303" t="s">
        <v>1964</v>
      </c>
      <c r="F1028" s="303" t="s">
        <v>1967</v>
      </c>
      <c r="G1028" s="303" t="s">
        <v>2130</v>
      </c>
      <c r="H1028" s="303" t="s">
        <v>1956</v>
      </c>
      <c r="I1028" s="304">
        <v>778</v>
      </c>
      <c r="J1028" s="303" t="s">
        <v>1967</v>
      </c>
      <c r="K1028" s="303" t="s">
        <v>1959</v>
      </c>
      <c r="L1028" s="303" t="s">
        <v>1956</v>
      </c>
      <c r="M1028" s="303" t="s">
        <v>2129</v>
      </c>
      <c r="N1028" s="303" t="s">
        <v>1987</v>
      </c>
      <c r="O1028" s="303" t="s">
        <v>1986</v>
      </c>
      <c r="P1028" s="328">
        <v>43453</v>
      </c>
      <c r="Q1028" s="303" t="s">
        <v>1952</v>
      </c>
      <c r="R1028" s="303">
        <f t="shared" si="20"/>
        <v>1</v>
      </c>
      <c r="S1028" s="303">
        <v>0</v>
      </c>
    </row>
    <row r="1029" spans="1:19" x14ac:dyDescent="0.25">
      <c r="A1029" s="303" t="s">
        <v>2132</v>
      </c>
      <c r="B1029" s="303" t="s">
        <v>2131</v>
      </c>
      <c r="C1029" s="328">
        <v>43453</v>
      </c>
      <c r="D1029" s="303" t="s">
        <v>1961</v>
      </c>
      <c r="E1029" s="303" t="s">
        <v>1960</v>
      </c>
      <c r="F1029" s="303" t="s">
        <v>1967</v>
      </c>
      <c r="G1029" s="303" t="s">
        <v>2130</v>
      </c>
      <c r="H1029" s="303" t="s">
        <v>1956</v>
      </c>
      <c r="I1029" s="304">
        <v>-778</v>
      </c>
      <c r="J1029" s="303" t="s">
        <v>1967</v>
      </c>
      <c r="K1029" s="303" t="s">
        <v>1959</v>
      </c>
      <c r="L1029" s="303" t="s">
        <v>1956</v>
      </c>
      <c r="M1029" s="303" t="s">
        <v>2129</v>
      </c>
      <c r="N1029" s="303" t="s">
        <v>1987</v>
      </c>
      <c r="O1029" s="303" t="s">
        <v>1986</v>
      </c>
      <c r="P1029" s="328">
        <v>43453</v>
      </c>
      <c r="Q1029" s="303" t="s">
        <v>1952</v>
      </c>
      <c r="R1029" s="303">
        <f t="shared" si="20"/>
        <v>1</v>
      </c>
      <c r="S1029" s="303">
        <v>0</v>
      </c>
    </row>
    <row r="1030" spans="1:19" x14ac:dyDescent="0.25">
      <c r="A1030" s="303" t="s">
        <v>2128</v>
      </c>
      <c r="B1030" s="303" t="s">
        <v>2127</v>
      </c>
      <c r="C1030" s="328">
        <v>43453</v>
      </c>
      <c r="D1030" s="303" t="s">
        <v>1965</v>
      </c>
      <c r="E1030" s="303" t="s">
        <v>1964</v>
      </c>
      <c r="F1030" s="303" t="s">
        <v>2014</v>
      </c>
      <c r="G1030" s="303" t="s">
        <v>1424</v>
      </c>
      <c r="H1030" s="303" t="s">
        <v>1956</v>
      </c>
      <c r="I1030" s="304">
        <v>209</v>
      </c>
      <c r="J1030" s="303" t="s">
        <v>2014</v>
      </c>
      <c r="K1030" s="303" t="s">
        <v>2123</v>
      </c>
      <c r="L1030" s="303" t="s">
        <v>1956</v>
      </c>
      <c r="M1030" s="303" t="s">
        <v>2126</v>
      </c>
      <c r="N1030" s="303" t="s">
        <v>1977</v>
      </c>
      <c r="O1030" s="303" t="s">
        <v>1976</v>
      </c>
      <c r="P1030" s="328">
        <v>43453</v>
      </c>
      <c r="Q1030" s="303" t="s">
        <v>1952</v>
      </c>
      <c r="R1030" s="303">
        <f t="shared" si="20"/>
        <v>1</v>
      </c>
      <c r="S1030" s="303">
        <v>0</v>
      </c>
    </row>
    <row r="1031" spans="1:19" x14ac:dyDescent="0.25">
      <c r="A1031" s="303" t="s">
        <v>2128</v>
      </c>
      <c r="B1031" s="303" t="s">
        <v>2127</v>
      </c>
      <c r="C1031" s="328">
        <v>43453</v>
      </c>
      <c r="D1031" s="303" t="s">
        <v>1961</v>
      </c>
      <c r="E1031" s="303" t="s">
        <v>1960</v>
      </c>
      <c r="F1031" s="303" t="s">
        <v>2014</v>
      </c>
      <c r="G1031" s="303" t="s">
        <v>1424</v>
      </c>
      <c r="H1031" s="303" t="s">
        <v>1956</v>
      </c>
      <c r="I1031" s="304">
        <v>-209</v>
      </c>
      <c r="J1031" s="303" t="s">
        <v>2014</v>
      </c>
      <c r="K1031" s="303" t="s">
        <v>2123</v>
      </c>
      <c r="L1031" s="303" t="s">
        <v>1956</v>
      </c>
      <c r="M1031" s="303" t="s">
        <v>2126</v>
      </c>
      <c r="N1031" s="303" t="s">
        <v>1977</v>
      </c>
      <c r="O1031" s="303" t="s">
        <v>1976</v>
      </c>
      <c r="P1031" s="328">
        <v>43453</v>
      </c>
      <c r="Q1031" s="303" t="s">
        <v>1952</v>
      </c>
      <c r="R1031" s="303">
        <f t="shared" si="20"/>
        <v>1</v>
      </c>
      <c r="S1031" s="303">
        <v>0</v>
      </c>
    </row>
    <row r="1032" spans="1:19" x14ac:dyDescent="0.25">
      <c r="A1032" s="303" t="s">
        <v>2125</v>
      </c>
      <c r="B1032" s="303" t="s">
        <v>2124</v>
      </c>
      <c r="C1032" s="328">
        <v>43453</v>
      </c>
      <c r="D1032" s="303" t="s">
        <v>1965</v>
      </c>
      <c r="E1032" s="303" t="s">
        <v>1964</v>
      </c>
      <c r="F1032" s="303" t="s">
        <v>2014</v>
      </c>
      <c r="G1032" s="303" t="s">
        <v>1436</v>
      </c>
      <c r="H1032" s="303" t="s">
        <v>1956</v>
      </c>
      <c r="I1032" s="304">
        <v>352</v>
      </c>
      <c r="J1032" s="303" t="s">
        <v>2014</v>
      </c>
      <c r="K1032" s="303" t="s">
        <v>2123</v>
      </c>
      <c r="L1032" s="303" t="s">
        <v>1956</v>
      </c>
      <c r="M1032" s="303" t="s">
        <v>2122</v>
      </c>
      <c r="N1032" s="303" t="s">
        <v>1977</v>
      </c>
      <c r="O1032" s="303" t="s">
        <v>1976</v>
      </c>
      <c r="P1032" s="328">
        <v>43453</v>
      </c>
      <c r="Q1032" s="303" t="s">
        <v>1952</v>
      </c>
      <c r="R1032" s="303">
        <f t="shared" si="20"/>
        <v>1</v>
      </c>
      <c r="S1032" s="303">
        <v>0</v>
      </c>
    </row>
    <row r="1033" spans="1:19" x14ac:dyDescent="0.25">
      <c r="A1033" s="303" t="s">
        <v>2125</v>
      </c>
      <c r="B1033" s="303" t="s">
        <v>2124</v>
      </c>
      <c r="C1033" s="328">
        <v>43453</v>
      </c>
      <c r="D1033" s="303" t="s">
        <v>1961</v>
      </c>
      <c r="E1033" s="303" t="s">
        <v>1960</v>
      </c>
      <c r="F1033" s="303" t="s">
        <v>2014</v>
      </c>
      <c r="G1033" s="303" t="s">
        <v>1436</v>
      </c>
      <c r="H1033" s="303" t="s">
        <v>1956</v>
      </c>
      <c r="I1033" s="304">
        <v>-352</v>
      </c>
      <c r="J1033" s="303" t="s">
        <v>2014</v>
      </c>
      <c r="K1033" s="303" t="s">
        <v>2123</v>
      </c>
      <c r="L1033" s="303" t="s">
        <v>1956</v>
      </c>
      <c r="M1033" s="303" t="s">
        <v>2122</v>
      </c>
      <c r="N1033" s="303" t="s">
        <v>1977</v>
      </c>
      <c r="O1033" s="303" t="s">
        <v>1976</v>
      </c>
      <c r="P1033" s="328">
        <v>43453</v>
      </c>
      <c r="Q1033" s="303" t="s">
        <v>1952</v>
      </c>
      <c r="R1033" s="303">
        <f t="shared" si="20"/>
        <v>1</v>
      </c>
      <c r="S1033" s="303">
        <v>0</v>
      </c>
    </row>
    <row r="1034" spans="1:19" x14ac:dyDescent="0.25">
      <c r="A1034" s="303" t="s">
        <v>2121</v>
      </c>
      <c r="B1034" s="303" t="s">
        <v>2120</v>
      </c>
      <c r="C1034" s="328">
        <v>43453</v>
      </c>
      <c r="D1034" s="303" t="s">
        <v>1965</v>
      </c>
      <c r="E1034" s="303" t="s">
        <v>1964</v>
      </c>
      <c r="F1034" s="303" t="s">
        <v>1967</v>
      </c>
      <c r="G1034" s="303" t="s">
        <v>1475</v>
      </c>
      <c r="H1034" s="303" t="s">
        <v>1956</v>
      </c>
      <c r="I1034" s="304">
        <v>47732</v>
      </c>
      <c r="J1034" s="303" t="s">
        <v>1967</v>
      </c>
      <c r="K1034" s="303" t="s">
        <v>1959</v>
      </c>
      <c r="L1034" s="303" t="s">
        <v>1956</v>
      </c>
      <c r="M1034" s="303" t="s">
        <v>370</v>
      </c>
      <c r="N1034" s="303" t="s">
        <v>1987</v>
      </c>
      <c r="O1034" s="303" t="s">
        <v>1986</v>
      </c>
      <c r="P1034" s="328">
        <v>43453</v>
      </c>
      <c r="Q1034" s="303" t="s">
        <v>1952</v>
      </c>
      <c r="R1034" s="303">
        <f t="shared" si="20"/>
        <v>1</v>
      </c>
      <c r="S1034" s="303">
        <v>0</v>
      </c>
    </row>
    <row r="1035" spans="1:19" x14ac:dyDescent="0.25">
      <c r="A1035" s="303" t="s">
        <v>2121</v>
      </c>
      <c r="B1035" s="303" t="s">
        <v>2120</v>
      </c>
      <c r="C1035" s="328">
        <v>43453</v>
      </c>
      <c r="D1035" s="303" t="s">
        <v>1961</v>
      </c>
      <c r="E1035" s="303" t="s">
        <v>1960</v>
      </c>
      <c r="F1035" s="303" t="s">
        <v>1967</v>
      </c>
      <c r="G1035" s="303" t="s">
        <v>1475</v>
      </c>
      <c r="H1035" s="303" t="s">
        <v>1956</v>
      </c>
      <c r="I1035" s="304">
        <v>-47732</v>
      </c>
      <c r="J1035" s="303" t="s">
        <v>1967</v>
      </c>
      <c r="K1035" s="303" t="s">
        <v>1959</v>
      </c>
      <c r="L1035" s="303" t="s">
        <v>1956</v>
      </c>
      <c r="M1035" s="303" t="s">
        <v>370</v>
      </c>
      <c r="N1035" s="303" t="s">
        <v>1987</v>
      </c>
      <c r="O1035" s="303" t="s">
        <v>1986</v>
      </c>
      <c r="P1035" s="328">
        <v>43453</v>
      </c>
      <c r="Q1035" s="303" t="s">
        <v>1952</v>
      </c>
      <c r="R1035" s="303">
        <f t="shared" si="20"/>
        <v>1</v>
      </c>
      <c r="S1035" s="303">
        <v>0</v>
      </c>
    </row>
    <row r="1036" spans="1:19" x14ac:dyDescent="0.25">
      <c r="A1036" s="303" t="s">
        <v>2119</v>
      </c>
      <c r="B1036" s="303" t="s">
        <v>2118</v>
      </c>
      <c r="C1036" s="328">
        <v>43453</v>
      </c>
      <c r="D1036" s="303" t="s">
        <v>1965</v>
      </c>
      <c r="E1036" s="303" t="s">
        <v>1964</v>
      </c>
      <c r="F1036" s="303" t="s">
        <v>1967</v>
      </c>
      <c r="G1036" s="303" t="s">
        <v>1484</v>
      </c>
      <c r="H1036" s="303" t="s">
        <v>1956</v>
      </c>
      <c r="I1036" s="304">
        <v>72486</v>
      </c>
      <c r="J1036" s="303" t="s">
        <v>1967</v>
      </c>
      <c r="K1036" s="303" t="s">
        <v>1959</v>
      </c>
      <c r="L1036" s="303" t="s">
        <v>1956</v>
      </c>
      <c r="M1036" s="303" t="s">
        <v>369</v>
      </c>
      <c r="N1036" s="303" t="s">
        <v>1987</v>
      </c>
      <c r="O1036" s="303" t="s">
        <v>1986</v>
      </c>
      <c r="P1036" s="328">
        <v>43453</v>
      </c>
      <c r="Q1036" s="303" t="s">
        <v>1952</v>
      </c>
      <c r="R1036" s="303">
        <f t="shared" si="20"/>
        <v>1</v>
      </c>
      <c r="S1036" s="303">
        <v>0</v>
      </c>
    </row>
    <row r="1037" spans="1:19" x14ac:dyDescent="0.25">
      <c r="A1037" s="303" t="s">
        <v>2119</v>
      </c>
      <c r="B1037" s="303" t="s">
        <v>2118</v>
      </c>
      <c r="C1037" s="328">
        <v>43453</v>
      </c>
      <c r="D1037" s="303" t="s">
        <v>1961</v>
      </c>
      <c r="E1037" s="303" t="s">
        <v>1960</v>
      </c>
      <c r="F1037" s="303" t="s">
        <v>1967</v>
      </c>
      <c r="G1037" s="303" t="s">
        <v>1484</v>
      </c>
      <c r="H1037" s="303" t="s">
        <v>1956</v>
      </c>
      <c r="I1037" s="304">
        <v>-72486</v>
      </c>
      <c r="J1037" s="303" t="s">
        <v>1967</v>
      </c>
      <c r="K1037" s="303" t="s">
        <v>1959</v>
      </c>
      <c r="L1037" s="303" t="s">
        <v>1956</v>
      </c>
      <c r="M1037" s="303" t="s">
        <v>369</v>
      </c>
      <c r="N1037" s="303" t="s">
        <v>1987</v>
      </c>
      <c r="O1037" s="303" t="s">
        <v>1986</v>
      </c>
      <c r="P1037" s="328">
        <v>43453</v>
      </c>
      <c r="Q1037" s="303" t="s">
        <v>1952</v>
      </c>
      <c r="R1037" s="303">
        <f t="shared" si="20"/>
        <v>1</v>
      </c>
      <c r="S1037" s="303">
        <v>0</v>
      </c>
    </row>
    <row r="1038" spans="1:19" x14ac:dyDescent="0.25">
      <c r="A1038" s="303" t="s">
        <v>2117</v>
      </c>
      <c r="B1038" s="303" t="s">
        <v>2116</v>
      </c>
      <c r="C1038" s="328">
        <v>43453</v>
      </c>
      <c r="D1038" s="303" t="s">
        <v>1965</v>
      </c>
      <c r="E1038" s="303" t="s">
        <v>1964</v>
      </c>
      <c r="F1038" s="303" t="s">
        <v>1967</v>
      </c>
      <c r="G1038" s="303" t="s">
        <v>1490</v>
      </c>
      <c r="H1038" s="303" t="s">
        <v>1956</v>
      </c>
      <c r="I1038" s="304">
        <v>316</v>
      </c>
      <c r="J1038" s="303" t="s">
        <v>1967</v>
      </c>
      <c r="K1038" s="303" t="s">
        <v>1959</v>
      </c>
      <c r="L1038" s="303" t="s">
        <v>1956</v>
      </c>
      <c r="M1038" s="303" t="s">
        <v>2115</v>
      </c>
      <c r="N1038" s="303" t="s">
        <v>1987</v>
      </c>
      <c r="O1038" s="303" t="s">
        <v>1986</v>
      </c>
      <c r="P1038" s="328">
        <v>43453</v>
      </c>
      <c r="Q1038" s="303" t="s">
        <v>1952</v>
      </c>
      <c r="R1038" s="303">
        <f t="shared" si="20"/>
        <v>1</v>
      </c>
      <c r="S1038" s="303">
        <v>0</v>
      </c>
    </row>
    <row r="1039" spans="1:19" x14ac:dyDescent="0.25">
      <c r="A1039" s="303" t="s">
        <v>2117</v>
      </c>
      <c r="B1039" s="303" t="s">
        <v>2116</v>
      </c>
      <c r="C1039" s="328">
        <v>43453</v>
      </c>
      <c r="D1039" s="303" t="s">
        <v>1961</v>
      </c>
      <c r="E1039" s="303" t="s">
        <v>1960</v>
      </c>
      <c r="F1039" s="303" t="s">
        <v>1967</v>
      </c>
      <c r="G1039" s="303" t="s">
        <v>1490</v>
      </c>
      <c r="H1039" s="303" t="s">
        <v>1956</v>
      </c>
      <c r="I1039" s="304">
        <v>-316</v>
      </c>
      <c r="J1039" s="303" t="s">
        <v>1967</v>
      </c>
      <c r="K1039" s="303" t="s">
        <v>1959</v>
      </c>
      <c r="L1039" s="303" t="s">
        <v>1956</v>
      </c>
      <c r="M1039" s="303" t="s">
        <v>2115</v>
      </c>
      <c r="N1039" s="303" t="s">
        <v>1987</v>
      </c>
      <c r="O1039" s="303" t="s">
        <v>1986</v>
      </c>
      <c r="P1039" s="328">
        <v>43453</v>
      </c>
      <c r="Q1039" s="303" t="s">
        <v>1952</v>
      </c>
      <c r="R1039" s="303">
        <f t="shared" si="20"/>
        <v>1</v>
      </c>
      <c r="S1039" s="303">
        <v>0</v>
      </c>
    </row>
    <row r="1040" spans="1:19" x14ac:dyDescent="0.25">
      <c r="A1040" s="303" t="s">
        <v>2114</v>
      </c>
      <c r="B1040" s="303" t="s">
        <v>2113</v>
      </c>
      <c r="C1040" s="328">
        <v>43453</v>
      </c>
      <c r="D1040" s="303" t="s">
        <v>1965</v>
      </c>
      <c r="E1040" s="303" t="s">
        <v>1964</v>
      </c>
      <c r="F1040" s="303" t="s">
        <v>1967</v>
      </c>
      <c r="G1040" s="303" t="s">
        <v>1959</v>
      </c>
      <c r="H1040" s="303" t="s">
        <v>1956</v>
      </c>
      <c r="I1040" s="304">
        <v>743</v>
      </c>
      <c r="J1040" s="303" t="s">
        <v>1967</v>
      </c>
      <c r="K1040" s="303" t="s">
        <v>2112</v>
      </c>
      <c r="L1040" s="303" t="s">
        <v>1956</v>
      </c>
      <c r="M1040" s="303" t="s">
        <v>2111</v>
      </c>
      <c r="N1040" s="303" t="s">
        <v>1987</v>
      </c>
      <c r="O1040" s="303" t="s">
        <v>1986</v>
      </c>
      <c r="P1040" s="328">
        <v>43453</v>
      </c>
      <c r="Q1040" s="303" t="s">
        <v>1952</v>
      </c>
      <c r="R1040" s="303">
        <f t="shared" si="20"/>
        <v>1</v>
      </c>
      <c r="S1040" s="303">
        <v>0</v>
      </c>
    </row>
    <row r="1041" spans="1:19" x14ac:dyDescent="0.25">
      <c r="A1041" s="303" t="s">
        <v>2114</v>
      </c>
      <c r="B1041" s="303" t="s">
        <v>2113</v>
      </c>
      <c r="C1041" s="328">
        <v>43453</v>
      </c>
      <c r="D1041" s="303" t="s">
        <v>1961</v>
      </c>
      <c r="E1041" s="303" t="s">
        <v>1960</v>
      </c>
      <c r="F1041" s="303" t="s">
        <v>1967</v>
      </c>
      <c r="G1041" s="303" t="s">
        <v>1959</v>
      </c>
      <c r="H1041" s="303" t="s">
        <v>1956</v>
      </c>
      <c r="I1041" s="304">
        <v>-743</v>
      </c>
      <c r="J1041" s="303" t="s">
        <v>1967</v>
      </c>
      <c r="K1041" s="303" t="s">
        <v>2112</v>
      </c>
      <c r="L1041" s="303" t="s">
        <v>1956</v>
      </c>
      <c r="M1041" s="303" t="s">
        <v>2111</v>
      </c>
      <c r="N1041" s="303" t="s">
        <v>1987</v>
      </c>
      <c r="O1041" s="303" t="s">
        <v>1986</v>
      </c>
      <c r="P1041" s="328">
        <v>43453</v>
      </c>
      <c r="Q1041" s="303" t="s">
        <v>1952</v>
      </c>
      <c r="R1041" s="303">
        <f t="shared" si="20"/>
        <v>1</v>
      </c>
      <c r="S1041" s="303">
        <v>0</v>
      </c>
    </row>
    <row r="1042" spans="1:19" x14ac:dyDescent="0.25">
      <c r="A1042" s="303" t="s">
        <v>2110</v>
      </c>
      <c r="B1042" s="303" t="s">
        <v>2109</v>
      </c>
      <c r="C1042" s="328">
        <v>43453</v>
      </c>
      <c r="D1042" s="303" t="s">
        <v>1965</v>
      </c>
      <c r="E1042" s="303" t="s">
        <v>1964</v>
      </c>
      <c r="F1042" s="303" t="s">
        <v>1967</v>
      </c>
      <c r="G1042" s="303" t="s">
        <v>1517</v>
      </c>
      <c r="H1042" s="303" t="s">
        <v>1956</v>
      </c>
      <c r="I1042" s="304">
        <v>130708</v>
      </c>
      <c r="J1042" s="303" t="s">
        <v>1967</v>
      </c>
      <c r="K1042" s="303" t="s">
        <v>1959</v>
      </c>
      <c r="L1042" s="303" t="s">
        <v>1956</v>
      </c>
      <c r="M1042" s="303" t="s">
        <v>368</v>
      </c>
      <c r="N1042" s="303" t="s">
        <v>1987</v>
      </c>
      <c r="O1042" s="303" t="s">
        <v>1986</v>
      </c>
      <c r="P1042" s="328">
        <v>43453</v>
      </c>
      <c r="Q1042" s="303" t="s">
        <v>1952</v>
      </c>
      <c r="R1042" s="303">
        <f t="shared" si="20"/>
        <v>1</v>
      </c>
      <c r="S1042" s="303">
        <v>0</v>
      </c>
    </row>
    <row r="1043" spans="1:19" x14ac:dyDescent="0.25">
      <c r="A1043" s="303" t="s">
        <v>2110</v>
      </c>
      <c r="B1043" s="303" t="s">
        <v>2109</v>
      </c>
      <c r="C1043" s="328">
        <v>43453</v>
      </c>
      <c r="D1043" s="303" t="s">
        <v>1961</v>
      </c>
      <c r="E1043" s="303" t="s">
        <v>1960</v>
      </c>
      <c r="F1043" s="303" t="s">
        <v>1967</v>
      </c>
      <c r="G1043" s="303" t="s">
        <v>1517</v>
      </c>
      <c r="H1043" s="303" t="s">
        <v>1956</v>
      </c>
      <c r="I1043" s="304">
        <v>-130708</v>
      </c>
      <c r="J1043" s="303" t="s">
        <v>1967</v>
      </c>
      <c r="K1043" s="303" t="s">
        <v>1959</v>
      </c>
      <c r="L1043" s="303" t="s">
        <v>1956</v>
      </c>
      <c r="M1043" s="303" t="s">
        <v>368</v>
      </c>
      <c r="N1043" s="303" t="s">
        <v>1987</v>
      </c>
      <c r="O1043" s="303" t="s">
        <v>1986</v>
      </c>
      <c r="P1043" s="328">
        <v>43453</v>
      </c>
      <c r="Q1043" s="303" t="s">
        <v>1952</v>
      </c>
      <c r="R1043" s="303">
        <f t="shared" si="20"/>
        <v>1</v>
      </c>
      <c r="S1043" s="303">
        <v>0</v>
      </c>
    </row>
    <row r="1044" spans="1:19" x14ac:dyDescent="0.25">
      <c r="A1044" s="303" t="s">
        <v>2108</v>
      </c>
      <c r="B1044" s="303" t="s">
        <v>2107</v>
      </c>
      <c r="C1044" s="328">
        <v>43453</v>
      </c>
      <c r="D1044" s="303" t="s">
        <v>1965</v>
      </c>
      <c r="E1044" s="303" t="s">
        <v>1964</v>
      </c>
      <c r="F1044" s="303" t="s">
        <v>1967</v>
      </c>
      <c r="G1044" s="303" t="s">
        <v>2106</v>
      </c>
      <c r="H1044" s="303" t="s">
        <v>1956</v>
      </c>
      <c r="I1044" s="304">
        <v>33892</v>
      </c>
      <c r="J1044" s="303" t="s">
        <v>1967</v>
      </c>
      <c r="K1044" s="303" t="s">
        <v>1959</v>
      </c>
      <c r="L1044" s="303" t="s">
        <v>1956</v>
      </c>
      <c r="M1044" s="303" t="s">
        <v>2105</v>
      </c>
      <c r="N1044" s="303" t="s">
        <v>1987</v>
      </c>
      <c r="O1044" s="303" t="s">
        <v>1986</v>
      </c>
      <c r="P1044" s="328">
        <v>43453</v>
      </c>
      <c r="Q1044" s="303" t="s">
        <v>1952</v>
      </c>
      <c r="R1044" s="303">
        <f t="shared" si="20"/>
        <v>1</v>
      </c>
      <c r="S1044" s="303">
        <v>0</v>
      </c>
    </row>
    <row r="1045" spans="1:19" x14ac:dyDescent="0.25">
      <c r="A1045" s="303" t="s">
        <v>2108</v>
      </c>
      <c r="B1045" s="303" t="s">
        <v>2107</v>
      </c>
      <c r="C1045" s="328">
        <v>43453</v>
      </c>
      <c r="D1045" s="303" t="s">
        <v>1961</v>
      </c>
      <c r="E1045" s="303" t="s">
        <v>1960</v>
      </c>
      <c r="F1045" s="303" t="s">
        <v>1967</v>
      </c>
      <c r="G1045" s="303" t="s">
        <v>2106</v>
      </c>
      <c r="H1045" s="303" t="s">
        <v>1956</v>
      </c>
      <c r="I1045" s="304">
        <v>-33892</v>
      </c>
      <c r="J1045" s="303" t="s">
        <v>1967</v>
      </c>
      <c r="K1045" s="303" t="s">
        <v>1959</v>
      </c>
      <c r="L1045" s="303" t="s">
        <v>1956</v>
      </c>
      <c r="M1045" s="303" t="s">
        <v>2105</v>
      </c>
      <c r="N1045" s="303" t="s">
        <v>1987</v>
      </c>
      <c r="O1045" s="303" t="s">
        <v>1986</v>
      </c>
      <c r="P1045" s="328">
        <v>43453</v>
      </c>
      <c r="Q1045" s="303" t="s">
        <v>1952</v>
      </c>
      <c r="R1045" s="303">
        <f t="shared" si="20"/>
        <v>1</v>
      </c>
      <c r="S1045" s="303">
        <v>0</v>
      </c>
    </row>
    <row r="1046" spans="1:19" x14ac:dyDescent="0.25">
      <c r="A1046" s="303" t="s">
        <v>2104</v>
      </c>
      <c r="B1046" s="303" t="s">
        <v>2103</v>
      </c>
      <c r="C1046" s="328">
        <v>43453</v>
      </c>
      <c r="D1046" s="303" t="s">
        <v>1965</v>
      </c>
      <c r="E1046" s="303" t="s">
        <v>1964</v>
      </c>
      <c r="F1046" s="303" t="s">
        <v>1967</v>
      </c>
      <c r="G1046" s="303" t="s">
        <v>1555</v>
      </c>
      <c r="H1046" s="303" t="s">
        <v>1956</v>
      </c>
      <c r="I1046" s="304">
        <v>116634</v>
      </c>
      <c r="J1046" s="303" t="s">
        <v>1967</v>
      </c>
      <c r="K1046" s="303" t="s">
        <v>1959</v>
      </c>
      <c r="L1046" s="303" t="s">
        <v>1956</v>
      </c>
      <c r="M1046" s="303" t="s">
        <v>2102</v>
      </c>
      <c r="N1046" s="303" t="s">
        <v>1987</v>
      </c>
      <c r="O1046" s="303" t="s">
        <v>1986</v>
      </c>
      <c r="P1046" s="328">
        <v>43453</v>
      </c>
      <c r="Q1046" s="303" t="s">
        <v>1952</v>
      </c>
      <c r="R1046" s="303">
        <f t="shared" si="20"/>
        <v>1</v>
      </c>
      <c r="S1046" s="303">
        <v>0</v>
      </c>
    </row>
    <row r="1047" spans="1:19" x14ac:dyDescent="0.25">
      <c r="A1047" s="303" t="s">
        <v>2104</v>
      </c>
      <c r="B1047" s="303" t="s">
        <v>2103</v>
      </c>
      <c r="C1047" s="328">
        <v>43453</v>
      </c>
      <c r="D1047" s="303" t="s">
        <v>1961</v>
      </c>
      <c r="E1047" s="303" t="s">
        <v>1960</v>
      </c>
      <c r="F1047" s="303" t="s">
        <v>1967</v>
      </c>
      <c r="G1047" s="303" t="s">
        <v>1555</v>
      </c>
      <c r="H1047" s="303" t="s">
        <v>1956</v>
      </c>
      <c r="I1047" s="304">
        <v>-116634</v>
      </c>
      <c r="J1047" s="303" t="s">
        <v>1967</v>
      </c>
      <c r="K1047" s="303" t="s">
        <v>1959</v>
      </c>
      <c r="L1047" s="303" t="s">
        <v>1956</v>
      </c>
      <c r="M1047" s="303" t="s">
        <v>2102</v>
      </c>
      <c r="N1047" s="303" t="s">
        <v>1987</v>
      </c>
      <c r="O1047" s="303" t="s">
        <v>1986</v>
      </c>
      <c r="P1047" s="328">
        <v>43453</v>
      </c>
      <c r="Q1047" s="303" t="s">
        <v>1952</v>
      </c>
      <c r="R1047" s="303">
        <f t="shared" si="20"/>
        <v>1</v>
      </c>
      <c r="S1047" s="303">
        <v>0</v>
      </c>
    </row>
    <row r="1048" spans="1:19" x14ac:dyDescent="0.25">
      <c r="A1048" s="303" t="s">
        <v>2101</v>
      </c>
      <c r="B1048" s="303" t="s">
        <v>2100</v>
      </c>
      <c r="C1048" s="328">
        <v>43453</v>
      </c>
      <c r="D1048" s="303" t="s">
        <v>1965</v>
      </c>
      <c r="E1048" s="303" t="s">
        <v>1964</v>
      </c>
      <c r="F1048" s="303" t="s">
        <v>1967</v>
      </c>
      <c r="G1048" s="303" t="s">
        <v>2036</v>
      </c>
      <c r="H1048" s="303" t="s">
        <v>1956</v>
      </c>
      <c r="I1048" s="304">
        <v>45877</v>
      </c>
      <c r="J1048" s="303" t="s">
        <v>1967</v>
      </c>
      <c r="K1048" s="303" t="s">
        <v>1959</v>
      </c>
      <c r="L1048" s="303" t="s">
        <v>1956</v>
      </c>
      <c r="M1048" s="303" t="s">
        <v>2099</v>
      </c>
      <c r="N1048" s="303" t="s">
        <v>1987</v>
      </c>
      <c r="O1048" s="303" t="s">
        <v>1986</v>
      </c>
      <c r="P1048" s="328">
        <v>43453</v>
      </c>
      <c r="Q1048" s="303" t="s">
        <v>1952</v>
      </c>
      <c r="R1048" s="303">
        <f t="shared" si="20"/>
        <v>1</v>
      </c>
      <c r="S1048" s="303">
        <v>0</v>
      </c>
    </row>
    <row r="1049" spans="1:19" x14ac:dyDescent="0.25">
      <c r="A1049" s="303" t="s">
        <v>2101</v>
      </c>
      <c r="B1049" s="303" t="s">
        <v>2100</v>
      </c>
      <c r="C1049" s="328">
        <v>43453</v>
      </c>
      <c r="D1049" s="303" t="s">
        <v>1961</v>
      </c>
      <c r="E1049" s="303" t="s">
        <v>1960</v>
      </c>
      <c r="F1049" s="303" t="s">
        <v>1967</v>
      </c>
      <c r="G1049" s="303" t="s">
        <v>2036</v>
      </c>
      <c r="H1049" s="303" t="s">
        <v>1956</v>
      </c>
      <c r="I1049" s="304">
        <v>-45877</v>
      </c>
      <c r="J1049" s="303" t="s">
        <v>1967</v>
      </c>
      <c r="K1049" s="303" t="s">
        <v>1959</v>
      </c>
      <c r="L1049" s="303" t="s">
        <v>1956</v>
      </c>
      <c r="M1049" s="303" t="s">
        <v>2099</v>
      </c>
      <c r="N1049" s="303" t="s">
        <v>1987</v>
      </c>
      <c r="O1049" s="303" t="s">
        <v>1986</v>
      </c>
      <c r="P1049" s="328">
        <v>43453</v>
      </c>
      <c r="Q1049" s="303" t="s">
        <v>1952</v>
      </c>
      <c r="R1049" s="303">
        <f t="shared" si="20"/>
        <v>1</v>
      </c>
      <c r="S1049" s="303">
        <v>0</v>
      </c>
    </row>
    <row r="1050" spans="1:19" x14ac:dyDescent="0.25">
      <c r="A1050" s="303" t="s">
        <v>2098</v>
      </c>
      <c r="B1050" s="303" t="s">
        <v>2097</v>
      </c>
      <c r="C1050" s="328">
        <v>43453</v>
      </c>
      <c r="D1050" s="303" t="s">
        <v>1965</v>
      </c>
      <c r="E1050" s="303" t="s">
        <v>1964</v>
      </c>
      <c r="F1050" s="303" t="s">
        <v>1967</v>
      </c>
      <c r="G1050" s="303" t="s">
        <v>2036</v>
      </c>
      <c r="H1050" s="303" t="s">
        <v>1956</v>
      </c>
      <c r="I1050" s="304">
        <v>13285</v>
      </c>
      <c r="J1050" s="303" t="s">
        <v>1967</v>
      </c>
      <c r="K1050" s="303" t="s">
        <v>1959</v>
      </c>
      <c r="L1050" s="303" t="s">
        <v>1956</v>
      </c>
      <c r="M1050" s="303" t="s">
        <v>2096</v>
      </c>
      <c r="N1050" s="303" t="s">
        <v>1987</v>
      </c>
      <c r="O1050" s="303" t="s">
        <v>1986</v>
      </c>
      <c r="P1050" s="328">
        <v>43453</v>
      </c>
      <c r="Q1050" s="303" t="s">
        <v>1952</v>
      </c>
      <c r="R1050" s="303">
        <f t="shared" si="20"/>
        <v>1</v>
      </c>
      <c r="S1050" s="303">
        <v>0</v>
      </c>
    </row>
    <row r="1051" spans="1:19" x14ac:dyDescent="0.25">
      <c r="A1051" s="303" t="s">
        <v>2098</v>
      </c>
      <c r="B1051" s="303" t="s">
        <v>2097</v>
      </c>
      <c r="C1051" s="328">
        <v>43453</v>
      </c>
      <c r="D1051" s="303" t="s">
        <v>1961</v>
      </c>
      <c r="E1051" s="303" t="s">
        <v>1960</v>
      </c>
      <c r="F1051" s="303" t="s">
        <v>1967</v>
      </c>
      <c r="G1051" s="303" t="s">
        <v>2036</v>
      </c>
      <c r="H1051" s="303" t="s">
        <v>1956</v>
      </c>
      <c r="I1051" s="304">
        <v>-13285</v>
      </c>
      <c r="J1051" s="303" t="s">
        <v>1967</v>
      </c>
      <c r="K1051" s="303" t="s">
        <v>1959</v>
      </c>
      <c r="L1051" s="303" t="s">
        <v>1956</v>
      </c>
      <c r="M1051" s="303" t="s">
        <v>2096</v>
      </c>
      <c r="N1051" s="303" t="s">
        <v>1987</v>
      </c>
      <c r="O1051" s="303" t="s">
        <v>1986</v>
      </c>
      <c r="P1051" s="328">
        <v>43453</v>
      </c>
      <c r="Q1051" s="303" t="s">
        <v>1952</v>
      </c>
      <c r="R1051" s="303">
        <f t="shared" si="20"/>
        <v>1</v>
      </c>
      <c r="S1051" s="303">
        <v>0</v>
      </c>
    </row>
    <row r="1052" spans="1:19" x14ac:dyDescent="0.25">
      <c r="A1052" s="303" t="s">
        <v>2095</v>
      </c>
      <c r="B1052" s="303" t="s">
        <v>2094</v>
      </c>
      <c r="C1052" s="328">
        <v>43453</v>
      </c>
      <c r="D1052" s="303" t="s">
        <v>1965</v>
      </c>
      <c r="E1052" s="303" t="s">
        <v>1964</v>
      </c>
      <c r="F1052" s="303" t="s">
        <v>1967</v>
      </c>
      <c r="G1052" s="303" t="s">
        <v>1959</v>
      </c>
      <c r="H1052" s="303" t="s">
        <v>1956</v>
      </c>
      <c r="I1052" s="304">
        <v>3000</v>
      </c>
      <c r="J1052" s="303" t="s">
        <v>1967</v>
      </c>
      <c r="K1052" s="303" t="s">
        <v>2036</v>
      </c>
      <c r="L1052" s="303" t="s">
        <v>1956</v>
      </c>
      <c r="M1052" s="303" t="s">
        <v>2093</v>
      </c>
      <c r="N1052" s="303" t="s">
        <v>1987</v>
      </c>
      <c r="O1052" s="303" t="s">
        <v>1986</v>
      </c>
      <c r="P1052" s="328">
        <v>43453</v>
      </c>
      <c r="Q1052" s="303" t="s">
        <v>1952</v>
      </c>
      <c r="R1052" s="303">
        <f t="shared" si="20"/>
        <v>1</v>
      </c>
      <c r="S1052" s="303">
        <v>0</v>
      </c>
    </row>
    <row r="1053" spans="1:19" x14ac:dyDescent="0.25">
      <c r="A1053" s="303" t="s">
        <v>2095</v>
      </c>
      <c r="B1053" s="303" t="s">
        <v>2094</v>
      </c>
      <c r="C1053" s="328">
        <v>43453</v>
      </c>
      <c r="D1053" s="303" t="s">
        <v>1961</v>
      </c>
      <c r="E1053" s="303" t="s">
        <v>1960</v>
      </c>
      <c r="F1053" s="303" t="s">
        <v>1967</v>
      </c>
      <c r="G1053" s="303" t="s">
        <v>1959</v>
      </c>
      <c r="H1053" s="303" t="s">
        <v>1956</v>
      </c>
      <c r="I1053" s="304">
        <v>-3000</v>
      </c>
      <c r="J1053" s="303" t="s">
        <v>1967</v>
      </c>
      <c r="K1053" s="303" t="s">
        <v>2036</v>
      </c>
      <c r="L1053" s="303" t="s">
        <v>1956</v>
      </c>
      <c r="M1053" s="303" t="s">
        <v>2093</v>
      </c>
      <c r="N1053" s="303" t="s">
        <v>1987</v>
      </c>
      <c r="O1053" s="303" t="s">
        <v>1986</v>
      </c>
      <c r="P1053" s="328">
        <v>43453</v>
      </c>
      <c r="Q1053" s="303" t="s">
        <v>1952</v>
      </c>
      <c r="R1053" s="303">
        <f t="shared" si="20"/>
        <v>1</v>
      </c>
      <c r="S1053" s="303">
        <v>0</v>
      </c>
    </row>
    <row r="1054" spans="1:19" x14ac:dyDescent="0.25">
      <c r="A1054" s="303" t="s">
        <v>2092</v>
      </c>
      <c r="B1054" s="303" t="s">
        <v>2091</v>
      </c>
      <c r="C1054" s="328">
        <v>43453</v>
      </c>
      <c r="D1054" s="303" t="s">
        <v>1965</v>
      </c>
      <c r="E1054" s="303" t="s">
        <v>1964</v>
      </c>
      <c r="F1054" s="303" t="s">
        <v>1967</v>
      </c>
      <c r="G1054" s="303" t="s">
        <v>1573</v>
      </c>
      <c r="H1054" s="303" t="s">
        <v>1956</v>
      </c>
      <c r="I1054" s="304">
        <v>77768</v>
      </c>
      <c r="J1054" s="303" t="s">
        <v>1967</v>
      </c>
      <c r="K1054" s="303" t="s">
        <v>1959</v>
      </c>
      <c r="L1054" s="303" t="s">
        <v>1956</v>
      </c>
      <c r="M1054" s="303" t="s">
        <v>371</v>
      </c>
      <c r="N1054" s="303" t="s">
        <v>1987</v>
      </c>
      <c r="O1054" s="303" t="s">
        <v>1986</v>
      </c>
      <c r="P1054" s="328">
        <v>43453</v>
      </c>
      <c r="Q1054" s="303" t="s">
        <v>1952</v>
      </c>
      <c r="R1054" s="303">
        <f t="shared" si="20"/>
        <v>1</v>
      </c>
      <c r="S1054" s="303">
        <v>0</v>
      </c>
    </row>
    <row r="1055" spans="1:19" x14ac:dyDescent="0.25">
      <c r="A1055" s="303" t="s">
        <v>2092</v>
      </c>
      <c r="B1055" s="303" t="s">
        <v>2091</v>
      </c>
      <c r="C1055" s="328">
        <v>43453</v>
      </c>
      <c r="D1055" s="303" t="s">
        <v>1961</v>
      </c>
      <c r="E1055" s="303" t="s">
        <v>1960</v>
      </c>
      <c r="F1055" s="303" t="s">
        <v>1967</v>
      </c>
      <c r="G1055" s="303" t="s">
        <v>1573</v>
      </c>
      <c r="H1055" s="303" t="s">
        <v>1956</v>
      </c>
      <c r="I1055" s="304">
        <v>-77768</v>
      </c>
      <c r="J1055" s="303" t="s">
        <v>1967</v>
      </c>
      <c r="K1055" s="303" t="s">
        <v>1959</v>
      </c>
      <c r="L1055" s="303" t="s">
        <v>1956</v>
      </c>
      <c r="M1055" s="303" t="s">
        <v>371</v>
      </c>
      <c r="N1055" s="303" t="s">
        <v>1987</v>
      </c>
      <c r="O1055" s="303" t="s">
        <v>1986</v>
      </c>
      <c r="P1055" s="328">
        <v>43453</v>
      </c>
      <c r="Q1055" s="303" t="s">
        <v>1952</v>
      </c>
      <c r="R1055" s="303">
        <f t="shared" si="20"/>
        <v>1</v>
      </c>
      <c r="S1055" s="303">
        <v>0</v>
      </c>
    </row>
    <row r="1056" spans="1:19" x14ac:dyDescent="0.25">
      <c r="A1056" s="303" t="s">
        <v>2090</v>
      </c>
      <c r="B1056" s="303" t="s">
        <v>2089</v>
      </c>
      <c r="C1056" s="328">
        <v>43453</v>
      </c>
      <c r="D1056" s="303" t="s">
        <v>1965</v>
      </c>
      <c r="E1056" s="303" t="s">
        <v>1964</v>
      </c>
      <c r="F1056" s="303" t="s">
        <v>1967</v>
      </c>
      <c r="G1056" s="303" t="s">
        <v>1579</v>
      </c>
      <c r="H1056" s="303" t="s">
        <v>1956</v>
      </c>
      <c r="I1056" s="304">
        <v>31435</v>
      </c>
      <c r="J1056" s="303" t="s">
        <v>1967</v>
      </c>
      <c r="K1056" s="303" t="s">
        <v>1959</v>
      </c>
      <c r="L1056" s="303" t="s">
        <v>1956</v>
      </c>
      <c r="M1056" s="303" t="s">
        <v>2088</v>
      </c>
      <c r="N1056" s="303" t="s">
        <v>1987</v>
      </c>
      <c r="O1056" s="303" t="s">
        <v>1986</v>
      </c>
      <c r="P1056" s="328">
        <v>43453</v>
      </c>
      <c r="Q1056" s="303" t="s">
        <v>1952</v>
      </c>
      <c r="R1056" s="303">
        <f t="shared" si="20"/>
        <v>1</v>
      </c>
      <c r="S1056" s="303">
        <v>0</v>
      </c>
    </row>
    <row r="1057" spans="1:19" x14ac:dyDescent="0.25">
      <c r="A1057" s="303" t="s">
        <v>2090</v>
      </c>
      <c r="B1057" s="303" t="s">
        <v>2089</v>
      </c>
      <c r="C1057" s="328">
        <v>43453</v>
      </c>
      <c r="D1057" s="303" t="s">
        <v>1961</v>
      </c>
      <c r="E1057" s="303" t="s">
        <v>1960</v>
      </c>
      <c r="F1057" s="303" t="s">
        <v>1967</v>
      </c>
      <c r="G1057" s="303" t="s">
        <v>1579</v>
      </c>
      <c r="H1057" s="303" t="s">
        <v>1956</v>
      </c>
      <c r="I1057" s="304">
        <v>-31435</v>
      </c>
      <c r="J1057" s="303" t="s">
        <v>1967</v>
      </c>
      <c r="K1057" s="303" t="s">
        <v>1959</v>
      </c>
      <c r="L1057" s="303" t="s">
        <v>1956</v>
      </c>
      <c r="M1057" s="303" t="s">
        <v>2088</v>
      </c>
      <c r="N1057" s="303" t="s">
        <v>1987</v>
      </c>
      <c r="O1057" s="303" t="s">
        <v>1986</v>
      </c>
      <c r="P1057" s="328">
        <v>43453</v>
      </c>
      <c r="Q1057" s="303" t="s">
        <v>1952</v>
      </c>
      <c r="R1057" s="303">
        <f t="shared" si="20"/>
        <v>1</v>
      </c>
      <c r="S1057" s="303">
        <v>0</v>
      </c>
    </row>
    <row r="1058" spans="1:19" x14ac:dyDescent="0.25">
      <c r="A1058" s="303" t="s">
        <v>2087</v>
      </c>
      <c r="B1058" s="303" t="s">
        <v>2086</v>
      </c>
      <c r="C1058" s="328">
        <v>43453</v>
      </c>
      <c r="D1058" s="303" t="s">
        <v>1965</v>
      </c>
      <c r="E1058" s="303" t="s">
        <v>1964</v>
      </c>
      <c r="F1058" s="303" t="s">
        <v>1613</v>
      </c>
      <c r="G1058" s="303" t="s">
        <v>1606</v>
      </c>
      <c r="H1058" s="303" t="s">
        <v>1956</v>
      </c>
      <c r="I1058" s="304">
        <v>1734</v>
      </c>
      <c r="J1058" s="303" t="s">
        <v>1958</v>
      </c>
      <c r="K1058" s="303" t="s">
        <v>1957</v>
      </c>
      <c r="L1058" s="303" t="s">
        <v>1956</v>
      </c>
      <c r="M1058" s="303" t="s">
        <v>2022</v>
      </c>
      <c r="N1058" s="303" t="s">
        <v>1987</v>
      </c>
      <c r="O1058" s="303" t="s">
        <v>1986</v>
      </c>
      <c r="P1058" s="328">
        <v>43453</v>
      </c>
      <c r="Q1058" s="303" t="s">
        <v>1952</v>
      </c>
      <c r="R1058" s="303">
        <f t="shared" si="20"/>
        <v>0</v>
      </c>
      <c r="S1058" s="303">
        <v>0</v>
      </c>
    </row>
    <row r="1059" spans="1:19" x14ac:dyDescent="0.25">
      <c r="A1059" s="303" t="s">
        <v>2087</v>
      </c>
      <c r="B1059" s="303" t="s">
        <v>2086</v>
      </c>
      <c r="C1059" s="328">
        <v>43453</v>
      </c>
      <c r="D1059" s="303" t="s">
        <v>1961</v>
      </c>
      <c r="E1059" s="303" t="s">
        <v>1960</v>
      </c>
      <c r="F1059" s="303" t="s">
        <v>1613</v>
      </c>
      <c r="G1059" s="303" t="s">
        <v>1606</v>
      </c>
      <c r="H1059" s="303" t="s">
        <v>1956</v>
      </c>
      <c r="I1059" s="304">
        <v>-1734</v>
      </c>
      <c r="J1059" s="303" t="s">
        <v>1958</v>
      </c>
      <c r="K1059" s="303" t="s">
        <v>1957</v>
      </c>
      <c r="L1059" s="303" t="s">
        <v>1956</v>
      </c>
      <c r="M1059" s="303" t="s">
        <v>2022</v>
      </c>
      <c r="N1059" s="303" t="s">
        <v>1987</v>
      </c>
      <c r="O1059" s="303" t="s">
        <v>1986</v>
      </c>
      <c r="P1059" s="328">
        <v>43453</v>
      </c>
      <c r="Q1059" s="303" t="s">
        <v>1952</v>
      </c>
      <c r="R1059" s="303">
        <f t="shared" si="20"/>
        <v>0</v>
      </c>
      <c r="S1059" s="303">
        <v>0</v>
      </c>
    </row>
    <row r="1060" spans="1:19" x14ac:dyDescent="0.25">
      <c r="A1060" s="303" t="s">
        <v>2085</v>
      </c>
      <c r="B1060" s="303" t="s">
        <v>2084</v>
      </c>
      <c r="C1060" s="328">
        <v>43453</v>
      </c>
      <c r="D1060" s="303" t="s">
        <v>1965</v>
      </c>
      <c r="E1060" s="303" t="s">
        <v>1964</v>
      </c>
      <c r="F1060" s="303" t="s">
        <v>1613</v>
      </c>
      <c r="G1060" s="303" t="s">
        <v>1606</v>
      </c>
      <c r="H1060" s="303" t="s">
        <v>1956</v>
      </c>
      <c r="I1060" s="304">
        <v>7377</v>
      </c>
      <c r="J1060" s="303" t="s">
        <v>1967</v>
      </c>
      <c r="K1060" s="303" t="s">
        <v>1606</v>
      </c>
      <c r="L1060" s="303" t="s">
        <v>1956</v>
      </c>
      <c r="M1060" s="303" t="s">
        <v>2019</v>
      </c>
      <c r="N1060" s="303" t="s">
        <v>1987</v>
      </c>
      <c r="O1060" s="303" t="s">
        <v>1986</v>
      </c>
      <c r="P1060" s="328">
        <v>43453</v>
      </c>
      <c r="Q1060" s="303" t="s">
        <v>1952</v>
      </c>
      <c r="R1060" s="303">
        <f t="shared" si="20"/>
        <v>0</v>
      </c>
      <c r="S1060" s="303">
        <v>0</v>
      </c>
    </row>
    <row r="1061" spans="1:19" x14ac:dyDescent="0.25">
      <c r="A1061" s="303" t="s">
        <v>2085</v>
      </c>
      <c r="B1061" s="303" t="s">
        <v>2084</v>
      </c>
      <c r="C1061" s="328">
        <v>43453</v>
      </c>
      <c r="D1061" s="303" t="s">
        <v>1961</v>
      </c>
      <c r="E1061" s="303" t="s">
        <v>1960</v>
      </c>
      <c r="F1061" s="303" t="s">
        <v>1613</v>
      </c>
      <c r="G1061" s="303" t="s">
        <v>1606</v>
      </c>
      <c r="H1061" s="303" t="s">
        <v>1956</v>
      </c>
      <c r="I1061" s="304">
        <v>-7377</v>
      </c>
      <c r="J1061" s="303" t="s">
        <v>1967</v>
      </c>
      <c r="K1061" s="303" t="s">
        <v>1606</v>
      </c>
      <c r="L1061" s="303" t="s">
        <v>1956</v>
      </c>
      <c r="M1061" s="303" t="s">
        <v>2019</v>
      </c>
      <c r="N1061" s="303" t="s">
        <v>1987</v>
      </c>
      <c r="O1061" s="303" t="s">
        <v>1986</v>
      </c>
      <c r="P1061" s="328">
        <v>43453</v>
      </c>
      <c r="Q1061" s="303" t="s">
        <v>1952</v>
      </c>
      <c r="R1061" s="303">
        <f t="shared" si="20"/>
        <v>0</v>
      </c>
      <c r="S1061" s="303">
        <v>0</v>
      </c>
    </row>
    <row r="1062" spans="1:19" x14ac:dyDescent="0.25">
      <c r="A1062" s="303" t="s">
        <v>2083</v>
      </c>
      <c r="B1062" s="303" t="s">
        <v>2082</v>
      </c>
      <c r="C1062" s="328">
        <v>43453</v>
      </c>
      <c r="D1062" s="303" t="s">
        <v>1965</v>
      </c>
      <c r="E1062" s="303" t="s">
        <v>1964</v>
      </c>
      <c r="F1062" s="303" t="s">
        <v>1967</v>
      </c>
      <c r="G1062" s="303" t="s">
        <v>2081</v>
      </c>
      <c r="H1062" s="303" t="s">
        <v>1956</v>
      </c>
      <c r="I1062" s="304">
        <v>3242</v>
      </c>
      <c r="J1062" s="303" t="s">
        <v>1967</v>
      </c>
      <c r="K1062" s="303" t="s">
        <v>1959</v>
      </c>
      <c r="L1062" s="303" t="s">
        <v>1956</v>
      </c>
      <c r="M1062" s="303" t="s">
        <v>2080</v>
      </c>
      <c r="N1062" s="303" t="s">
        <v>1987</v>
      </c>
      <c r="O1062" s="303" t="s">
        <v>1986</v>
      </c>
      <c r="P1062" s="328">
        <v>43453</v>
      </c>
      <c r="Q1062" s="303" t="s">
        <v>1952</v>
      </c>
      <c r="R1062" s="303">
        <f t="shared" si="20"/>
        <v>1</v>
      </c>
      <c r="S1062" s="303">
        <v>0</v>
      </c>
    </row>
    <row r="1063" spans="1:19" x14ac:dyDescent="0.25">
      <c r="A1063" s="303" t="s">
        <v>2083</v>
      </c>
      <c r="B1063" s="303" t="s">
        <v>2082</v>
      </c>
      <c r="C1063" s="328">
        <v>43453</v>
      </c>
      <c r="D1063" s="303" t="s">
        <v>1961</v>
      </c>
      <c r="E1063" s="303" t="s">
        <v>1960</v>
      </c>
      <c r="F1063" s="303" t="s">
        <v>1967</v>
      </c>
      <c r="G1063" s="303" t="s">
        <v>2081</v>
      </c>
      <c r="H1063" s="303" t="s">
        <v>1956</v>
      </c>
      <c r="I1063" s="304">
        <v>-3242</v>
      </c>
      <c r="J1063" s="303" t="s">
        <v>1967</v>
      </c>
      <c r="K1063" s="303" t="s">
        <v>1959</v>
      </c>
      <c r="L1063" s="303" t="s">
        <v>1956</v>
      </c>
      <c r="M1063" s="303" t="s">
        <v>2080</v>
      </c>
      <c r="N1063" s="303" t="s">
        <v>1987</v>
      </c>
      <c r="O1063" s="303" t="s">
        <v>1986</v>
      </c>
      <c r="P1063" s="328">
        <v>43453</v>
      </c>
      <c r="Q1063" s="303" t="s">
        <v>1952</v>
      </c>
      <c r="R1063" s="303">
        <f t="shared" si="20"/>
        <v>1</v>
      </c>
      <c r="S1063" s="303">
        <v>0</v>
      </c>
    </row>
    <row r="1064" spans="1:19" x14ac:dyDescent="0.25">
      <c r="A1064" s="303" t="s">
        <v>2079</v>
      </c>
      <c r="B1064" s="303" t="s">
        <v>2078</v>
      </c>
      <c r="C1064" s="328">
        <v>43453</v>
      </c>
      <c r="D1064" s="303" t="s">
        <v>1965</v>
      </c>
      <c r="E1064" s="303" t="s">
        <v>1964</v>
      </c>
      <c r="F1064" s="303" t="s">
        <v>2014</v>
      </c>
      <c r="G1064" s="303" t="s">
        <v>1558</v>
      </c>
      <c r="H1064" s="303" t="s">
        <v>1956</v>
      </c>
      <c r="I1064" s="304">
        <v>166</v>
      </c>
      <c r="J1064" s="303" t="s">
        <v>1657</v>
      </c>
      <c r="K1064" s="303" t="s">
        <v>1558</v>
      </c>
      <c r="L1064" s="303" t="s">
        <v>1956</v>
      </c>
      <c r="M1064" s="303" t="s">
        <v>2013</v>
      </c>
      <c r="N1064" s="303" t="s">
        <v>1987</v>
      </c>
      <c r="O1064" s="303" t="s">
        <v>1986</v>
      </c>
      <c r="P1064" s="328">
        <v>43453</v>
      </c>
      <c r="Q1064" s="303" t="s">
        <v>1952</v>
      </c>
      <c r="R1064" s="303">
        <f t="shared" si="20"/>
        <v>1</v>
      </c>
      <c r="S1064" s="303">
        <v>0</v>
      </c>
    </row>
    <row r="1065" spans="1:19" x14ac:dyDescent="0.25">
      <c r="A1065" s="303" t="s">
        <v>2079</v>
      </c>
      <c r="B1065" s="303" t="s">
        <v>2078</v>
      </c>
      <c r="C1065" s="328">
        <v>43453</v>
      </c>
      <c r="D1065" s="303" t="s">
        <v>1961</v>
      </c>
      <c r="E1065" s="303" t="s">
        <v>1960</v>
      </c>
      <c r="F1065" s="303" t="s">
        <v>2014</v>
      </c>
      <c r="G1065" s="303" t="s">
        <v>1558</v>
      </c>
      <c r="H1065" s="303" t="s">
        <v>1956</v>
      </c>
      <c r="I1065" s="304">
        <v>-166</v>
      </c>
      <c r="J1065" s="303" t="s">
        <v>1657</v>
      </c>
      <c r="K1065" s="303" t="s">
        <v>1558</v>
      </c>
      <c r="L1065" s="303" t="s">
        <v>1956</v>
      </c>
      <c r="M1065" s="303" t="s">
        <v>2013</v>
      </c>
      <c r="N1065" s="303" t="s">
        <v>1987</v>
      </c>
      <c r="O1065" s="303" t="s">
        <v>1986</v>
      </c>
      <c r="P1065" s="328">
        <v>43453</v>
      </c>
      <c r="Q1065" s="303" t="s">
        <v>1952</v>
      </c>
      <c r="R1065" s="303">
        <f t="shared" si="20"/>
        <v>1</v>
      </c>
      <c r="S1065" s="303">
        <v>0</v>
      </c>
    </row>
    <row r="1066" spans="1:19" x14ac:dyDescent="0.25">
      <c r="A1066" s="303" t="s">
        <v>2077</v>
      </c>
      <c r="B1066" s="303" t="s">
        <v>2076</v>
      </c>
      <c r="C1066" s="328">
        <v>43454</v>
      </c>
      <c r="D1066" s="303" t="s">
        <v>1965</v>
      </c>
      <c r="E1066" s="303" t="s">
        <v>1964</v>
      </c>
      <c r="F1066" s="303" t="s">
        <v>1713</v>
      </c>
      <c r="G1066" s="303" t="s">
        <v>1517</v>
      </c>
      <c r="H1066" s="303" t="s">
        <v>1956</v>
      </c>
      <c r="I1066" s="304">
        <v>8333</v>
      </c>
      <c r="J1066" s="303" t="s">
        <v>1846</v>
      </c>
      <c r="K1066" s="303" t="s">
        <v>1959</v>
      </c>
      <c r="L1066" s="303" t="s">
        <v>1956</v>
      </c>
      <c r="M1066" s="303" t="s">
        <v>2075</v>
      </c>
      <c r="N1066" s="303" t="s">
        <v>1987</v>
      </c>
      <c r="O1066" s="303" t="s">
        <v>1986</v>
      </c>
      <c r="P1066" s="328">
        <v>43454</v>
      </c>
      <c r="Q1066" s="303" t="s">
        <v>1952</v>
      </c>
      <c r="R1066" s="303">
        <f t="shared" si="20"/>
        <v>1</v>
      </c>
      <c r="S1066" s="303">
        <v>1</v>
      </c>
    </row>
    <row r="1067" spans="1:19" x14ac:dyDescent="0.25">
      <c r="A1067" s="303" t="s">
        <v>2077</v>
      </c>
      <c r="B1067" s="303" t="s">
        <v>2076</v>
      </c>
      <c r="C1067" s="328">
        <v>43454</v>
      </c>
      <c r="D1067" s="303" t="s">
        <v>1961</v>
      </c>
      <c r="E1067" s="303" t="s">
        <v>1960</v>
      </c>
      <c r="F1067" s="303" t="s">
        <v>1713</v>
      </c>
      <c r="G1067" s="303" t="s">
        <v>1517</v>
      </c>
      <c r="H1067" s="303" t="s">
        <v>1956</v>
      </c>
      <c r="I1067" s="304">
        <v>-8333</v>
      </c>
      <c r="J1067" s="303" t="s">
        <v>1846</v>
      </c>
      <c r="K1067" s="303" t="s">
        <v>1959</v>
      </c>
      <c r="L1067" s="303" t="s">
        <v>1956</v>
      </c>
      <c r="M1067" s="303" t="s">
        <v>2075</v>
      </c>
      <c r="N1067" s="303" t="s">
        <v>1987</v>
      </c>
      <c r="O1067" s="303" t="s">
        <v>1986</v>
      </c>
      <c r="P1067" s="328">
        <v>43454</v>
      </c>
      <c r="Q1067" s="303" t="s">
        <v>1952</v>
      </c>
      <c r="R1067" s="303">
        <f t="shared" si="20"/>
        <v>1</v>
      </c>
      <c r="S1067" s="303">
        <v>1</v>
      </c>
    </row>
    <row r="1068" spans="1:19" x14ac:dyDescent="0.25">
      <c r="A1068" s="303" t="s">
        <v>2074</v>
      </c>
      <c r="B1068" s="303" t="s">
        <v>2073</v>
      </c>
      <c r="C1068" s="328">
        <v>43454</v>
      </c>
      <c r="D1068" s="303" t="s">
        <v>1965</v>
      </c>
      <c r="E1068" s="303" t="s">
        <v>1964</v>
      </c>
      <c r="F1068" s="303" t="s">
        <v>2014</v>
      </c>
      <c r="G1068" s="303" t="s">
        <v>2072</v>
      </c>
      <c r="H1068" s="303" t="s">
        <v>1956</v>
      </c>
      <c r="I1068" s="304">
        <v>550</v>
      </c>
      <c r="J1068" s="303" t="s">
        <v>2014</v>
      </c>
      <c r="K1068" s="303" t="s">
        <v>2071</v>
      </c>
      <c r="L1068" s="303" t="s">
        <v>1956</v>
      </c>
      <c r="M1068" s="303" t="s">
        <v>2070</v>
      </c>
      <c r="N1068" s="303" t="s">
        <v>1987</v>
      </c>
      <c r="O1068" s="303" t="s">
        <v>1986</v>
      </c>
      <c r="P1068" s="328">
        <v>43454</v>
      </c>
      <c r="Q1068" s="303" t="s">
        <v>1952</v>
      </c>
      <c r="R1068" s="303">
        <f t="shared" si="20"/>
        <v>1</v>
      </c>
      <c r="S1068" s="303">
        <v>0</v>
      </c>
    </row>
    <row r="1069" spans="1:19" x14ac:dyDescent="0.25">
      <c r="A1069" s="303" t="s">
        <v>2074</v>
      </c>
      <c r="B1069" s="303" t="s">
        <v>2073</v>
      </c>
      <c r="C1069" s="328">
        <v>43454</v>
      </c>
      <c r="D1069" s="303" t="s">
        <v>1961</v>
      </c>
      <c r="E1069" s="303" t="s">
        <v>1960</v>
      </c>
      <c r="F1069" s="303" t="s">
        <v>2014</v>
      </c>
      <c r="G1069" s="303" t="s">
        <v>2072</v>
      </c>
      <c r="H1069" s="303" t="s">
        <v>1956</v>
      </c>
      <c r="I1069" s="304">
        <v>-550</v>
      </c>
      <c r="J1069" s="303" t="s">
        <v>2014</v>
      </c>
      <c r="K1069" s="303" t="s">
        <v>2071</v>
      </c>
      <c r="L1069" s="303" t="s">
        <v>1956</v>
      </c>
      <c r="M1069" s="303" t="s">
        <v>2070</v>
      </c>
      <c r="N1069" s="303" t="s">
        <v>1987</v>
      </c>
      <c r="O1069" s="303" t="s">
        <v>1986</v>
      </c>
      <c r="P1069" s="328">
        <v>43454</v>
      </c>
      <c r="Q1069" s="303" t="s">
        <v>1952</v>
      </c>
      <c r="R1069" s="303">
        <f t="shared" si="20"/>
        <v>1</v>
      </c>
      <c r="S1069" s="303">
        <v>0</v>
      </c>
    </row>
    <row r="1070" spans="1:19" x14ac:dyDescent="0.25">
      <c r="A1070" s="303" t="s">
        <v>2069</v>
      </c>
      <c r="B1070" s="303" t="s">
        <v>2068</v>
      </c>
      <c r="C1070" s="328">
        <v>43454</v>
      </c>
      <c r="D1070" s="303" t="s">
        <v>1965</v>
      </c>
      <c r="E1070" s="303" t="s">
        <v>1964</v>
      </c>
      <c r="F1070" s="303" t="s">
        <v>2014</v>
      </c>
      <c r="G1070" s="303" t="s">
        <v>1517</v>
      </c>
      <c r="H1070" s="303" t="s">
        <v>1956</v>
      </c>
      <c r="I1070" s="304">
        <v>809</v>
      </c>
      <c r="J1070" s="303" t="s">
        <v>1713</v>
      </c>
      <c r="K1070" s="303" t="s">
        <v>1517</v>
      </c>
      <c r="L1070" s="303" t="s">
        <v>1956</v>
      </c>
      <c r="M1070" s="303" t="s">
        <v>2013</v>
      </c>
      <c r="N1070" s="303" t="s">
        <v>1987</v>
      </c>
      <c r="O1070" s="303" t="s">
        <v>1986</v>
      </c>
      <c r="P1070" s="328">
        <v>43454</v>
      </c>
      <c r="Q1070" s="303" t="s">
        <v>1952</v>
      </c>
      <c r="R1070" s="303">
        <f t="shared" si="20"/>
        <v>1</v>
      </c>
      <c r="S1070" s="303">
        <v>0</v>
      </c>
    </row>
    <row r="1071" spans="1:19" x14ac:dyDescent="0.25">
      <c r="A1071" s="303" t="s">
        <v>2069</v>
      </c>
      <c r="B1071" s="303" t="s">
        <v>2068</v>
      </c>
      <c r="C1071" s="328">
        <v>43454</v>
      </c>
      <c r="D1071" s="303" t="s">
        <v>1961</v>
      </c>
      <c r="E1071" s="303" t="s">
        <v>1960</v>
      </c>
      <c r="F1071" s="303" t="s">
        <v>2014</v>
      </c>
      <c r="G1071" s="303" t="s">
        <v>1517</v>
      </c>
      <c r="H1071" s="303" t="s">
        <v>1956</v>
      </c>
      <c r="I1071" s="304">
        <v>-809</v>
      </c>
      <c r="J1071" s="303" t="s">
        <v>1713</v>
      </c>
      <c r="K1071" s="303" t="s">
        <v>1517</v>
      </c>
      <c r="L1071" s="303" t="s">
        <v>1956</v>
      </c>
      <c r="M1071" s="303" t="s">
        <v>2013</v>
      </c>
      <c r="N1071" s="303" t="s">
        <v>1987</v>
      </c>
      <c r="O1071" s="303" t="s">
        <v>1986</v>
      </c>
      <c r="P1071" s="328">
        <v>43454</v>
      </c>
      <c r="Q1071" s="303" t="s">
        <v>1952</v>
      </c>
      <c r="R1071" s="303">
        <f t="shared" si="20"/>
        <v>1</v>
      </c>
      <c r="S1071" s="303">
        <v>0</v>
      </c>
    </row>
    <row r="1072" spans="1:19" x14ac:dyDescent="0.25">
      <c r="A1072" s="303" t="s">
        <v>2067</v>
      </c>
      <c r="B1072" s="303" t="s">
        <v>2066</v>
      </c>
      <c r="C1072" s="328">
        <v>43454</v>
      </c>
      <c r="D1072" s="303" t="s">
        <v>1965</v>
      </c>
      <c r="E1072" s="303" t="s">
        <v>1964</v>
      </c>
      <c r="F1072" s="303" t="s">
        <v>2014</v>
      </c>
      <c r="G1072" s="303" t="s">
        <v>1579</v>
      </c>
      <c r="H1072" s="303" t="s">
        <v>1956</v>
      </c>
      <c r="I1072" s="304">
        <v>5278</v>
      </c>
      <c r="J1072" s="303" t="s">
        <v>2014</v>
      </c>
      <c r="K1072" s="303" t="s">
        <v>2054</v>
      </c>
      <c r="L1072" s="303" t="s">
        <v>1956</v>
      </c>
      <c r="M1072" s="303" t="s">
        <v>2053</v>
      </c>
      <c r="N1072" s="303" t="s">
        <v>1987</v>
      </c>
      <c r="O1072" s="303" t="s">
        <v>1986</v>
      </c>
      <c r="P1072" s="328">
        <v>43454</v>
      </c>
      <c r="Q1072" s="303" t="s">
        <v>1952</v>
      </c>
      <c r="R1072" s="303">
        <f t="shared" si="20"/>
        <v>1</v>
      </c>
      <c r="S1072" s="303">
        <v>0</v>
      </c>
    </row>
    <row r="1073" spans="1:19" x14ac:dyDescent="0.25">
      <c r="A1073" s="303" t="s">
        <v>2067</v>
      </c>
      <c r="B1073" s="303" t="s">
        <v>2066</v>
      </c>
      <c r="C1073" s="328">
        <v>43454</v>
      </c>
      <c r="D1073" s="303" t="s">
        <v>1961</v>
      </c>
      <c r="E1073" s="303" t="s">
        <v>1960</v>
      </c>
      <c r="F1073" s="303" t="s">
        <v>2014</v>
      </c>
      <c r="G1073" s="303" t="s">
        <v>1579</v>
      </c>
      <c r="H1073" s="303" t="s">
        <v>1956</v>
      </c>
      <c r="I1073" s="304">
        <v>-5278</v>
      </c>
      <c r="J1073" s="303" t="s">
        <v>2014</v>
      </c>
      <c r="K1073" s="303" t="s">
        <v>2054</v>
      </c>
      <c r="L1073" s="303" t="s">
        <v>1956</v>
      </c>
      <c r="M1073" s="303" t="s">
        <v>2053</v>
      </c>
      <c r="N1073" s="303" t="s">
        <v>1987</v>
      </c>
      <c r="O1073" s="303" t="s">
        <v>1986</v>
      </c>
      <c r="P1073" s="328">
        <v>43454</v>
      </c>
      <c r="Q1073" s="303" t="s">
        <v>1952</v>
      </c>
      <c r="R1073" s="303">
        <f t="shared" si="20"/>
        <v>1</v>
      </c>
      <c r="S1073" s="303">
        <v>0</v>
      </c>
    </row>
    <row r="1074" spans="1:19" x14ac:dyDescent="0.25">
      <c r="A1074" s="303" t="s">
        <v>2065</v>
      </c>
      <c r="B1074" s="303" t="s">
        <v>2064</v>
      </c>
      <c r="C1074" s="328">
        <v>43454</v>
      </c>
      <c r="D1074" s="303" t="s">
        <v>1965</v>
      </c>
      <c r="E1074" s="303" t="s">
        <v>1964</v>
      </c>
      <c r="F1074" s="303" t="s">
        <v>2014</v>
      </c>
      <c r="G1074" s="303" t="s">
        <v>1573</v>
      </c>
      <c r="H1074" s="303" t="s">
        <v>1956</v>
      </c>
      <c r="I1074" s="304">
        <v>1472</v>
      </c>
      <c r="J1074" s="303" t="s">
        <v>2014</v>
      </c>
      <c r="K1074" s="303" t="s">
        <v>2054</v>
      </c>
      <c r="L1074" s="303" t="s">
        <v>1956</v>
      </c>
      <c r="M1074" s="303" t="s">
        <v>2053</v>
      </c>
      <c r="N1074" s="303" t="s">
        <v>1987</v>
      </c>
      <c r="O1074" s="303" t="s">
        <v>1986</v>
      </c>
      <c r="P1074" s="328">
        <v>43454</v>
      </c>
      <c r="Q1074" s="303" t="s">
        <v>1952</v>
      </c>
      <c r="R1074" s="303">
        <f t="shared" si="20"/>
        <v>1</v>
      </c>
      <c r="S1074" s="303">
        <v>0</v>
      </c>
    </row>
    <row r="1075" spans="1:19" x14ac:dyDescent="0.25">
      <c r="A1075" s="303" t="s">
        <v>2065</v>
      </c>
      <c r="B1075" s="303" t="s">
        <v>2064</v>
      </c>
      <c r="C1075" s="328">
        <v>43454</v>
      </c>
      <c r="D1075" s="303" t="s">
        <v>1961</v>
      </c>
      <c r="E1075" s="303" t="s">
        <v>1960</v>
      </c>
      <c r="F1075" s="303" t="s">
        <v>2014</v>
      </c>
      <c r="G1075" s="303" t="s">
        <v>1573</v>
      </c>
      <c r="H1075" s="303" t="s">
        <v>1956</v>
      </c>
      <c r="I1075" s="304">
        <v>-1472</v>
      </c>
      <c r="J1075" s="303" t="s">
        <v>2014</v>
      </c>
      <c r="K1075" s="303" t="s">
        <v>2054</v>
      </c>
      <c r="L1075" s="303" t="s">
        <v>1956</v>
      </c>
      <c r="M1075" s="303" t="s">
        <v>2053</v>
      </c>
      <c r="N1075" s="303" t="s">
        <v>1987</v>
      </c>
      <c r="O1075" s="303" t="s">
        <v>1986</v>
      </c>
      <c r="P1075" s="328">
        <v>43454</v>
      </c>
      <c r="Q1075" s="303" t="s">
        <v>1952</v>
      </c>
      <c r="R1075" s="303">
        <f t="shared" si="20"/>
        <v>1</v>
      </c>
      <c r="S1075" s="303">
        <v>0</v>
      </c>
    </row>
    <row r="1076" spans="1:19" x14ac:dyDescent="0.25">
      <c r="A1076" s="303" t="s">
        <v>2063</v>
      </c>
      <c r="B1076" s="303" t="s">
        <v>2062</v>
      </c>
      <c r="C1076" s="328">
        <v>43454</v>
      </c>
      <c r="D1076" s="303" t="s">
        <v>1965</v>
      </c>
      <c r="E1076" s="303" t="s">
        <v>1964</v>
      </c>
      <c r="F1076" s="303" t="s">
        <v>2014</v>
      </c>
      <c r="G1076" s="303" t="s">
        <v>2061</v>
      </c>
      <c r="H1076" s="303" t="s">
        <v>1956</v>
      </c>
      <c r="I1076" s="304">
        <v>7163</v>
      </c>
      <c r="J1076" s="303" t="s">
        <v>2014</v>
      </c>
      <c r="K1076" s="303" t="s">
        <v>2054</v>
      </c>
      <c r="L1076" s="303" t="s">
        <v>1956</v>
      </c>
      <c r="M1076" s="303" t="s">
        <v>2053</v>
      </c>
      <c r="N1076" s="303" t="s">
        <v>1987</v>
      </c>
      <c r="O1076" s="303" t="s">
        <v>1986</v>
      </c>
      <c r="P1076" s="328">
        <v>43454</v>
      </c>
      <c r="Q1076" s="303" t="s">
        <v>1952</v>
      </c>
      <c r="R1076" s="303">
        <f t="shared" si="20"/>
        <v>1</v>
      </c>
      <c r="S1076" s="303">
        <v>0</v>
      </c>
    </row>
    <row r="1077" spans="1:19" x14ac:dyDescent="0.25">
      <c r="A1077" s="303" t="s">
        <v>2063</v>
      </c>
      <c r="B1077" s="303" t="s">
        <v>2062</v>
      </c>
      <c r="C1077" s="328">
        <v>43454</v>
      </c>
      <c r="D1077" s="303" t="s">
        <v>1961</v>
      </c>
      <c r="E1077" s="303" t="s">
        <v>1960</v>
      </c>
      <c r="F1077" s="303" t="s">
        <v>2014</v>
      </c>
      <c r="G1077" s="303" t="s">
        <v>2061</v>
      </c>
      <c r="H1077" s="303" t="s">
        <v>1956</v>
      </c>
      <c r="I1077" s="304">
        <v>-7163</v>
      </c>
      <c r="J1077" s="303" t="s">
        <v>2014</v>
      </c>
      <c r="K1077" s="303" t="s">
        <v>2054</v>
      </c>
      <c r="L1077" s="303" t="s">
        <v>1956</v>
      </c>
      <c r="M1077" s="303" t="s">
        <v>2053</v>
      </c>
      <c r="N1077" s="303" t="s">
        <v>1987</v>
      </c>
      <c r="O1077" s="303" t="s">
        <v>1986</v>
      </c>
      <c r="P1077" s="328">
        <v>43454</v>
      </c>
      <c r="Q1077" s="303" t="s">
        <v>1952</v>
      </c>
      <c r="R1077" s="303">
        <f t="shared" si="20"/>
        <v>1</v>
      </c>
      <c r="S1077" s="303">
        <v>0</v>
      </c>
    </row>
    <row r="1078" spans="1:19" x14ac:dyDescent="0.25">
      <c r="A1078" s="303" t="s">
        <v>2060</v>
      </c>
      <c r="B1078" s="303" t="s">
        <v>2059</v>
      </c>
      <c r="C1078" s="328">
        <v>43454</v>
      </c>
      <c r="D1078" s="303" t="s">
        <v>1965</v>
      </c>
      <c r="E1078" s="303" t="s">
        <v>1964</v>
      </c>
      <c r="F1078" s="303" t="s">
        <v>2014</v>
      </c>
      <c r="G1078" s="303" t="s">
        <v>1439</v>
      </c>
      <c r="H1078" s="303" t="s">
        <v>1956</v>
      </c>
      <c r="I1078" s="304">
        <v>2188</v>
      </c>
      <c r="J1078" s="303" t="s">
        <v>2014</v>
      </c>
      <c r="K1078" s="303" t="s">
        <v>2054</v>
      </c>
      <c r="L1078" s="303" t="s">
        <v>1956</v>
      </c>
      <c r="M1078" s="303" t="s">
        <v>2053</v>
      </c>
      <c r="N1078" s="303" t="s">
        <v>1987</v>
      </c>
      <c r="O1078" s="303" t="s">
        <v>1986</v>
      </c>
      <c r="P1078" s="328">
        <v>43454</v>
      </c>
      <c r="Q1078" s="303" t="s">
        <v>1952</v>
      </c>
      <c r="R1078" s="303">
        <f t="shared" si="20"/>
        <v>1</v>
      </c>
      <c r="S1078" s="303">
        <v>0</v>
      </c>
    </row>
    <row r="1079" spans="1:19" x14ac:dyDescent="0.25">
      <c r="A1079" s="303" t="s">
        <v>2060</v>
      </c>
      <c r="B1079" s="303" t="s">
        <v>2059</v>
      </c>
      <c r="C1079" s="328">
        <v>43454</v>
      </c>
      <c r="D1079" s="303" t="s">
        <v>1961</v>
      </c>
      <c r="E1079" s="303" t="s">
        <v>1960</v>
      </c>
      <c r="F1079" s="303" t="s">
        <v>2014</v>
      </c>
      <c r="G1079" s="303" t="s">
        <v>1439</v>
      </c>
      <c r="H1079" s="303" t="s">
        <v>1956</v>
      </c>
      <c r="I1079" s="304">
        <v>-2188</v>
      </c>
      <c r="J1079" s="303" t="s">
        <v>2014</v>
      </c>
      <c r="K1079" s="303" t="s">
        <v>2054</v>
      </c>
      <c r="L1079" s="303" t="s">
        <v>1956</v>
      </c>
      <c r="M1079" s="303" t="s">
        <v>2053</v>
      </c>
      <c r="N1079" s="303" t="s">
        <v>1987</v>
      </c>
      <c r="O1079" s="303" t="s">
        <v>1986</v>
      </c>
      <c r="P1079" s="328">
        <v>43454</v>
      </c>
      <c r="Q1079" s="303" t="s">
        <v>1952</v>
      </c>
      <c r="R1079" s="303">
        <f t="shared" si="20"/>
        <v>1</v>
      </c>
      <c r="S1079" s="303">
        <v>0</v>
      </c>
    </row>
    <row r="1080" spans="1:19" x14ac:dyDescent="0.25">
      <c r="A1080" s="303" t="s">
        <v>2058</v>
      </c>
      <c r="B1080" s="303" t="s">
        <v>2057</v>
      </c>
      <c r="C1080" s="328">
        <v>43454</v>
      </c>
      <c r="D1080" s="303" t="s">
        <v>1965</v>
      </c>
      <c r="E1080" s="303" t="s">
        <v>1964</v>
      </c>
      <c r="F1080" s="303" t="s">
        <v>2014</v>
      </c>
      <c r="G1080" s="303" t="s">
        <v>1427</v>
      </c>
      <c r="H1080" s="303" t="s">
        <v>1956</v>
      </c>
      <c r="I1080" s="304">
        <v>2968</v>
      </c>
      <c r="J1080" s="303" t="s">
        <v>2014</v>
      </c>
      <c r="K1080" s="303" t="s">
        <v>2054</v>
      </c>
      <c r="L1080" s="303" t="s">
        <v>1956</v>
      </c>
      <c r="M1080" s="303" t="s">
        <v>2053</v>
      </c>
      <c r="N1080" s="303" t="s">
        <v>1987</v>
      </c>
      <c r="O1080" s="303" t="s">
        <v>1986</v>
      </c>
      <c r="P1080" s="328">
        <v>43454</v>
      </c>
      <c r="Q1080" s="303" t="s">
        <v>1952</v>
      </c>
      <c r="R1080" s="303">
        <f t="shared" si="20"/>
        <v>1</v>
      </c>
      <c r="S1080" s="303">
        <v>0</v>
      </c>
    </row>
    <row r="1081" spans="1:19" x14ac:dyDescent="0.25">
      <c r="A1081" s="303" t="s">
        <v>2058</v>
      </c>
      <c r="B1081" s="303" t="s">
        <v>2057</v>
      </c>
      <c r="C1081" s="328">
        <v>43454</v>
      </c>
      <c r="D1081" s="303" t="s">
        <v>1961</v>
      </c>
      <c r="E1081" s="303" t="s">
        <v>1960</v>
      </c>
      <c r="F1081" s="303" t="s">
        <v>2014</v>
      </c>
      <c r="G1081" s="303" t="s">
        <v>1427</v>
      </c>
      <c r="H1081" s="303" t="s">
        <v>1956</v>
      </c>
      <c r="I1081" s="304">
        <v>-2968</v>
      </c>
      <c r="J1081" s="303" t="s">
        <v>2014</v>
      </c>
      <c r="K1081" s="303" t="s">
        <v>2054</v>
      </c>
      <c r="L1081" s="303" t="s">
        <v>1956</v>
      </c>
      <c r="M1081" s="303" t="s">
        <v>2053</v>
      </c>
      <c r="N1081" s="303" t="s">
        <v>1987</v>
      </c>
      <c r="O1081" s="303" t="s">
        <v>1986</v>
      </c>
      <c r="P1081" s="328">
        <v>43454</v>
      </c>
      <c r="Q1081" s="303" t="s">
        <v>1952</v>
      </c>
      <c r="R1081" s="303">
        <f t="shared" si="20"/>
        <v>1</v>
      </c>
      <c r="S1081" s="303">
        <v>0</v>
      </c>
    </row>
    <row r="1082" spans="1:19" x14ac:dyDescent="0.25">
      <c r="A1082" s="303" t="s">
        <v>2056</v>
      </c>
      <c r="B1082" s="303" t="s">
        <v>2055</v>
      </c>
      <c r="C1082" s="328">
        <v>43454</v>
      </c>
      <c r="D1082" s="303" t="s">
        <v>1965</v>
      </c>
      <c r="E1082" s="303" t="s">
        <v>1964</v>
      </c>
      <c r="F1082" s="303" t="s">
        <v>2014</v>
      </c>
      <c r="G1082" s="303" t="s">
        <v>1406</v>
      </c>
      <c r="H1082" s="303" t="s">
        <v>1956</v>
      </c>
      <c r="I1082" s="304">
        <v>599</v>
      </c>
      <c r="J1082" s="303" t="s">
        <v>2014</v>
      </c>
      <c r="K1082" s="303" t="s">
        <v>2054</v>
      </c>
      <c r="L1082" s="303" t="s">
        <v>1956</v>
      </c>
      <c r="M1082" s="303" t="s">
        <v>2053</v>
      </c>
      <c r="N1082" s="303" t="s">
        <v>1987</v>
      </c>
      <c r="O1082" s="303" t="s">
        <v>1986</v>
      </c>
      <c r="P1082" s="328">
        <v>43454</v>
      </c>
      <c r="Q1082" s="303" t="s">
        <v>1952</v>
      </c>
      <c r="R1082" s="303">
        <f t="shared" si="20"/>
        <v>1</v>
      </c>
      <c r="S1082" s="303">
        <v>0</v>
      </c>
    </row>
    <row r="1083" spans="1:19" x14ac:dyDescent="0.25">
      <c r="A1083" s="303" t="s">
        <v>2056</v>
      </c>
      <c r="B1083" s="303" t="s">
        <v>2055</v>
      </c>
      <c r="C1083" s="328">
        <v>43454</v>
      </c>
      <c r="D1083" s="303" t="s">
        <v>1961</v>
      </c>
      <c r="E1083" s="303" t="s">
        <v>1960</v>
      </c>
      <c r="F1083" s="303" t="s">
        <v>2014</v>
      </c>
      <c r="G1083" s="303" t="s">
        <v>1406</v>
      </c>
      <c r="H1083" s="303" t="s">
        <v>1956</v>
      </c>
      <c r="I1083" s="304">
        <v>-599</v>
      </c>
      <c r="J1083" s="303" t="s">
        <v>2014</v>
      </c>
      <c r="K1083" s="303" t="s">
        <v>2054</v>
      </c>
      <c r="L1083" s="303" t="s">
        <v>1956</v>
      </c>
      <c r="M1083" s="303" t="s">
        <v>2053</v>
      </c>
      <c r="N1083" s="303" t="s">
        <v>1987</v>
      </c>
      <c r="O1083" s="303" t="s">
        <v>1986</v>
      </c>
      <c r="P1083" s="328">
        <v>43454</v>
      </c>
      <c r="Q1083" s="303" t="s">
        <v>1952</v>
      </c>
      <c r="R1083" s="303">
        <f t="shared" si="20"/>
        <v>1</v>
      </c>
      <c r="S1083" s="303">
        <v>0</v>
      </c>
    </row>
    <row r="1084" spans="1:19" x14ac:dyDescent="0.25">
      <c r="A1084" s="303" t="s">
        <v>2052</v>
      </c>
      <c r="B1084" s="303" t="s">
        <v>2051</v>
      </c>
      <c r="C1084" s="328">
        <v>43454</v>
      </c>
      <c r="D1084" s="303" t="s">
        <v>1965</v>
      </c>
      <c r="E1084" s="303" t="s">
        <v>1964</v>
      </c>
      <c r="F1084" s="303" t="s">
        <v>1631</v>
      </c>
      <c r="G1084" s="303" t="s">
        <v>1585</v>
      </c>
      <c r="H1084" s="303" t="s">
        <v>1956</v>
      </c>
      <c r="I1084" s="304">
        <v>1351</v>
      </c>
      <c r="J1084" s="303" t="s">
        <v>1958</v>
      </c>
      <c r="K1084" s="303" t="s">
        <v>1957</v>
      </c>
      <c r="L1084" s="303" t="s">
        <v>1956</v>
      </c>
      <c r="M1084" s="303" t="s">
        <v>2022</v>
      </c>
      <c r="N1084" s="303" t="s">
        <v>1987</v>
      </c>
      <c r="O1084" s="303" t="s">
        <v>1986</v>
      </c>
      <c r="P1084" s="328">
        <v>43454</v>
      </c>
      <c r="Q1084" s="303" t="s">
        <v>1952</v>
      </c>
      <c r="R1084" s="303">
        <f t="shared" si="20"/>
        <v>0</v>
      </c>
      <c r="S1084" s="303">
        <v>0</v>
      </c>
    </row>
    <row r="1085" spans="1:19" x14ac:dyDescent="0.25">
      <c r="A1085" s="303" t="s">
        <v>2052</v>
      </c>
      <c r="B1085" s="303" t="s">
        <v>2051</v>
      </c>
      <c r="C1085" s="328">
        <v>43454</v>
      </c>
      <c r="D1085" s="303" t="s">
        <v>1961</v>
      </c>
      <c r="E1085" s="303" t="s">
        <v>1960</v>
      </c>
      <c r="F1085" s="303" t="s">
        <v>1631</v>
      </c>
      <c r="G1085" s="303" t="s">
        <v>1585</v>
      </c>
      <c r="H1085" s="303" t="s">
        <v>1956</v>
      </c>
      <c r="I1085" s="304">
        <v>-1351</v>
      </c>
      <c r="J1085" s="303" t="s">
        <v>1958</v>
      </c>
      <c r="K1085" s="303" t="s">
        <v>1957</v>
      </c>
      <c r="L1085" s="303" t="s">
        <v>1956</v>
      </c>
      <c r="M1085" s="303" t="s">
        <v>2022</v>
      </c>
      <c r="N1085" s="303" t="s">
        <v>1987</v>
      </c>
      <c r="O1085" s="303" t="s">
        <v>1986</v>
      </c>
      <c r="P1085" s="328">
        <v>43454</v>
      </c>
      <c r="Q1085" s="303" t="s">
        <v>1952</v>
      </c>
      <c r="R1085" s="303">
        <f t="shared" si="20"/>
        <v>0</v>
      </c>
      <c r="S1085" s="303">
        <v>0</v>
      </c>
    </row>
    <row r="1086" spans="1:19" x14ac:dyDescent="0.25">
      <c r="A1086" s="303" t="s">
        <v>2050</v>
      </c>
      <c r="B1086" s="303" t="s">
        <v>2049</v>
      </c>
      <c r="C1086" s="328">
        <v>43454</v>
      </c>
      <c r="D1086" s="303" t="s">
        <v>1965</v>
      </c>
      <c r="E1086" s="303" t="s">
        <v>1964</v>
      </c>
      <c r="F1086" s="303" t="s">
        <v>1631</v>
      </c>
      <c r="G1086" s="303" t="s">
        <v>1585</v>
      </c>
      <c r="H1086" s="303" t="s">
        <v>1956</v>
      </c>
      <c r="I1086" s="304">
        <v>5750</v>
      </c>
      <c r="J1086" s="303" t="s">
        <v>1967</v>
      </c>
      <c r="K1086" s="303" t="s">
        <v>1585</v>
      </c>
      <c r="L1086" s="303" t="s">
        <v>1956</v>
      </c>
      <c r="M1086" s="303" t="s">
        <v>2019</v>
      </c>
      <c r="N1086" s="303" t="s">
        <v>1987</v>
      </c>
      <c r="O1086" s="303" t="s">
        <v>1986</v>
      </c>
      <c r="P1086" s="328">
        <v>43454</v>
      </c>
      <c r="Q1086" s="303" t="s">
        <v>1952</v>
      </c>
      <c r="R1086" s="303">
        <f t="shared" si="20"/>
        <v>0</v>
      </c>
      <c r="S1086" s="303">
        <v>0</v>
      </c>
    </row>
    <row r="1087" spans="1:19" x14ac:dyDescent="0.25">
      <c r="A1087" s="303" t="s">
        <v>2050</v>
      </c>
      <c r="B1087" s="303" t="s">
        <v>2049</v>
      </c>
      <c r="C1087" s="328">
        <v>43454</v>
      </c>
      <c r="D1087" s="303" t="s">
        <v>1961</v>
      </c>
      <c r="E1087" s="303" t="s">
        <v>1960</v>
      </c>
      <c r="F1087" s="303" t="s">
        <v>1631</v>
      </c>
      <c r="G1087" s="303" t="s">
        <v>1585</v>
      </c>
      <c r="H1087" s="303" t="s">
        <v>1956</v>
      </c>
      <c r="I1087" s="304">
        <v>-5750</v>
      </c>
      <c r="J1087" s="303" t="s">
        <v>1967</v>
      </c>
      <c r="K1087" s="303" t="s">
        <v>1585</v>
      </c>
      <c r="L1087" s="303" t="s">
        <v>1956</v>
      </c>
      <c r="M1087" s="303" t="s">
        <v>2019</v>
      </c>
      <c r="N1087" s="303" t="s">
        <v>1987</v>
      </c>
      <c r="O1087" s="303" t="s">
        <v>1986</v>
      </c>
      <c r="P1087" s="328">
        <v>43454</v>
      </c>
      <c r="Q1087" s="303" t="s">
        <v>1952</v>
      </c>
      <c r="R1087" s="303">
        <f t="shared" si="20"/>
        <v>0</v>
      </c>
      <c r="S1087" s="303">
        <v>0</v>
      </c>
    </row>
    <row r="1088" spans="1:19" x14ac:dyDescent="0.25">
      <c r="A1088" s="303" t="s">
        <v>2048</v>
      </c>
      <c r="B1088" s="303" t="s">
        <v>2047</v>
      </c>
      <c r="C1088" s="328">
        <v>43454</v>
      </c>
      <c r="D1088" s="303" t="s">
        <v>1965</v>
      </c>
      <c r="E1088" s="303" t="s">
        <v>1964</v>
      </c>
      <c r="F1088" s="303" t="s">
        <v>1655</v>
      </c>
      <c r="G1088" s="303" t="s">
        <v>1561</v>
      </c>
      <c r="H1088" s="303" t="s">
        <v>1956</v>
      </c>
      <c r="I1088" s="304">
        <v>689</v>
      </c>
      <c r="J1088" s="303" t="s">
        <v>2014</v>
      </c>
      <c r="K1088" s="303" t="s">
        <v>1561</v>
      </c>
      <c r="L1088" s="303" t="s">
        <v>1956</v>
      </c>
      <c r="M1088" s="303" t="s">
        <v>2044</v>
      </c>
      <c r="N1088" s="303" t="s">
        <v>1987</v>
      </c>
      <c r="O1088" s="303" t="s">
        <v>1986</v>
      </c>
      <c r="P1088" s="328">
        <v>43454</v>
      </c>
      <c r="Q1088" s="303" t="s">
        <v>1952</v>
      </c>
      <c r="R1088" s="303">
        <f t="shared" si="20"/>
        <v>1</v>
      </c>
      <c r="S1088" s="303">
        <v>0</v>
      </c>
    </row>
    <row r="1089" spans="1:19" x14ac:dyDescent="0.25">
      <c r="A1089" s="303" t="s">
        <v>2048</v>
      </c>
      <c r="B1089" s="303" t="s">
        <v>2047</v>
      </c>
      <c r="C1089" s="328">
        <v>43454</v>
      </c>
      <c r="D1089" s="303" t="s">
        <v>1961</v>
      </c>
      <c r="E1089" s="303" t="s">
        <v>1960</v>
      </c>
      <c r="F1089" s="303" t="s">
        <v>1655</v>
      </c>
      <c r="G1089" s="303" t="s">
        <v>1561</v>
      </c>
      <c r="H1089" s="303" t="s">
        <v>1956</v>
      </c>
      <c r="I1089" s="304">
        <v>-689</v>
      </c>
      <c r="J1089" s="303" t="s">
        <v>2014</v>
      </c>
      <c r="K1089" s="303" t="s">
        <v>1561</v>
      </c>
      <c r="L1089" s="303" t="s">
        <v>1956</v>
      </c>
      <c r="M1089" s="303" t="s">
        <v>2044</v>
      </c>
      <c r="N1089" s="303" t="s">
        <v>1987</v>
      </c>
      <c r="O1089" s="303" t="s">
        <v>1986</v>
      </c>
      <c r="P1089" s="328">
        <v>43454</v>
      </c>
      <c r="Q1089" s="303" t="s">
        <v>1952</v>
      </c>
      <c r="R1089" s="303">
        <f t="shared" si="20"/>
        <v>1</v>
      </c>
      <c r="S1089" s="303">
        <v>0</v>
      </c>
    </row>
    <row r="1090" spans="1:19" x14ac:dyDescent="0.25">
      <c r="A1090" s="303" t="s">
        <v>2046</v>
      </c>
      <c r="B1090" s="303" t="s">
        <v>2045</v>
      </c>
      <c r="C1090" s="328">
        <v>43454</v>
      </c>
      <c r="D1090" s="303" t="s">
        <v>1965</v>
      </c>
      <c r="E1090" s="303" t="s">
        <v>1964</v>
      </c>
      <c r="F1090" s="303" t="s">
        <v>1894</v>
      </c>
      <c r="G1090" s="303" t="s">
        <v>1403</v>
      </c>
      <c r="H1090" s="303" t="s">
        <v>1956</v>
      </c>
      <c r="I1090" s="304">
        <v>980</v>
      </c>
      <c r="J1090" s="303" t="s">
        <v>2014</v>
      </c>
      <c r="K1090" s="303" t="s">
        <v>1403</v>
      </c>
      <c r="L1090" s="303" t="s">
        <v>1956</v>
      </c>
      <c r="M1090" s="303" t="s">
        <v>2044</v>
      </c>
      <c r="N1090" s="303" t="s">
        <v>1987</v>
      </c>
      <c r="O1090" s="303" t="s">
        <v>1986</v>
      </c>
      <c r="P1090" s="328">
        <v>43454</v>
      </c>
      <c r="Q1090" s="303" t="s">
        <v>1952</v>
      </c>
      <c r="R1090" s="303">
        <f t="shared" si="20"/>
        <v>1</v>
      </c>
      <c r="S1090" s="303">
        <v>0</v>
      </c>
    </row>
    <row r="1091" spans="1:19" x14ac:dyDescent="0.25">
      <c r="A1091" s="303" t="s">
        <v>2046</v>
      </c>
      <c r="B1091" s="303" t="s">
        <v>2045</v>
      </c>
      <c r="C1091" s="328">
        <v>43454</v>
      </c>
      <c r="D1091" s="303" t="s">
        <v>1961</v>
      </c>
      <c r="E1091" s="303" t="s">
        <v>1960</v>
      </c>
      <c r="F1091" s="303" t="s">
        <v>1894</v>
      </c>
      <c r="G1091" s="303" t="s">
        <v>1403</v>
      </c>
      <c r="H1091" s="303" t="s">
        <v>1956</v>
      </c>
      <c r="I1091" s="304">
        <v>-980</v>
      </c>
      <c r="J1091" s="303" t="s">
        <v>2014</v>
      </c>
      <c r="K1091" s="303" t="s">
        <v>1403</v>
      </c>
      <c r="L1091" s="303" t="s">
        <v>1956</v>
      </c>
      <c r="M1091" s="303" t="s">
        <v>2044</v>
      </c>
      <c r="N1091" s="303" t="s">
        <v>1987</v>
      </c>
      <c r="O1091" s="303" t="s">
        <v>1986</v>
      </c>
      <c r="P1091" s="328">
        <v>43454</v>
      </c>
      <c r="Q1091" s="303" t="s">
        <v>1952</v>
      </c>
      <c r="R1091" s="303">
        <f t="shared" ref="R1091:R1136" si="21">IF(OR(M1091="transfert de B vers A",M1091="transfert de B vers D",M1091="transfert de A vers B",M1091="transfert de D vers B",M1091="carryover 2017 -&gt; 2018",IF(ISERR(SEARCH("fidélité",M1091)),FALSE,TRUE),M1091="Fermeture STI-FORM",M1091="répartition AE/AC"),0,1)</f>
        <v>1</v>
      </c>
      <c r="S1091" s="303">
        <v>0</v>
      </c>
    </row>
    <row r="1092" spans="1:19" x14ac:dyDescent="0.25">
      <c r="A1092" s="303" t="s">
        <v>2043</v>
      </c>
      <c r="B1092" s="303" t="s">
        <v>2042</v>
      </c>
      <c r="C1092" s="328">
        <v>43454</v>
      </c>
      <c r="D1092" s="303" t="s">
        <v>1965</v>
      </c>
      <c r="E1092" s="303" t="s">
        <v>1964</v>
      </c>
      <c r="F1092" s="303" t="s">
        <v>1989</v>
      </c>
      <c r="G1092" s="303" t="s">
        <v>2036</v>
      </c>
      <c r="H1092" s="303" t="s">
        <v>1956</v>
      </c>
      <c r="I1092" s="304">
        <v>8000</v>
      </c>
      <c r="J1092" s="303" t="s">
        <v>1671</v>
      </c>
      <c r="K1092" s="303" t="s">
        <v>2036</v>
      </c>
      <c r="L1092" s="303" t="s">
        <v>1956</v>
      </c>
      <c r="M1092" s="303" t="s">
        <v>1988</v>
      </c>
      <c r="N1092" s="303" t="s">
        <v>1987</v>
      </c>
      <c r="O1092" s="303" t="s">
        <v>1986</v>
      </c>
      <c r="P1092" s="328">
        <v>43454</v>
      </c>
      <c r="Q1092" s="303" t="s">
        <v>1952</v>
      </c>
      <c r="R1092" s="303">
        <f t="shared" si="21"/>
        <v>1</v>
      </c>
      <c r="S1092" s="303">
        <v>0</v>
      </c>
    </row>
    <row r="1093" spans="1:19" x14ac:dyDescent="0.25">
      <c r="A1093" s="303" t="s">
        <v>2043</v>
      </c>
      <c r="B1093" s="303" t="s">
        <v>2042</v>
      </c>
      <c r="C1093" s="328">
        <v>43454</v>
      </c>
      <c r="D1093" s="303" t="s">
        <v>1961</v>
      </c>
      <c r="E1093" s="303" t="s">
        <v>1960</v>
      </c>
      <c r="F1093" s="303" t="s">
        <v>1989</v>
      </c>
      <c r="G1093" s="303" t="s">
        <v>2036</v>
      </c>
      <c r="H1093" s="303" t="s">
        <v>1956</v>
      </c>
      <c r="I1093" s="304">
        <v>-8000</v>
      </c>
      <c r="J1093" s="303" t="s">
        <v>1671</v>
      </c>
      <c r="K1093" s="303" t="s">
        <v>2036</v>
      </c>
      <c r="L1093" s="303" t="s">
        <v>1956</v>
      </c>
      <c r="M1093" s="303" t="s">
        <v>1988</v>
      </c>
      <c r="N1093" s="303" t="s">
        <v>1987</v>
      </c>
      <c r="O1093" s="303" t="s">
        <v>1986</v>
      </c>
      <c r="P1093" s="328">
        <v>43454</v>
      </c>
      <c r="Q1093" s="303" t="s">
        <v>1952</v>
      </c>
      <c r="R1093" s="303">
        <f t="shared" si="21"/>
        <v>1</v>
      </c>
      <c r="S1093" s="303">
        <v>0</v>
      </c>
    </row>
    <row r="1094" spans="1:19" x14ac:dyDescent="0.25">
      <c r="A1094" s="303" t="s">
        <v>2041</v>
      </c>
      <c r="B1094" s="303" t="s">
        <v>2040</v>
      </c>
      <c r="C1094" s="328">
        <v>43454</v>
      </c>
      <c r="D1094" s="303" t="s">
        <v>1965</v>
      </c>
      <c r="E1094" s="303" t="s">
        <v>1964</v>
      </c>
      <c r="F1094" s="303" t="s">
        <v>1989</v>
      </c>
      <c r="G1094" s="303" t="s">
        <v>1573</v>
      </c>
      <c r="H1094" s="303" t="s">
        <v>1956</v>
      </c>
      <c r="I1094" s="304">
        <v>4352</v>
      </c>
      <c r="J1094" s="303" t="s">
        <v>1671</v>
      </c>
      <c r="K1094" s="303" t="s">
        <v>2036</v>
      </c>
      <c r="L1094" s="303" t="s">
        <v>1956</v>
      </c>
      <c r="M1094" s="303" t="s">
        <v>2039</v>
      </c>
      <c r="N1094" s="303" t="s">
        <v>1987</v>
      </c>
      <c r="O1094" s="303" t="s">
        <v>1986</v>
      </c>
      <c r="P1094" s="328">
        <v>43454</v>
      </c>
      <c r="Q1094" s="303" t="s">
        <v>1952</v>
      </c>
      <c r="R1094" s="303">
        <f t="shared" si="21"/>
        <v>1</v>
      </c>
      <c r="S1094" s="303">
        <v>0</v>
      </c>
    </row>
    <row r="1095" spans="1:19" x14ac:dyDescent="0.25">
      <c r="A1095" s="303" t="s">
        <v>2041</v>
      </c>
      <c r="B1095" s="303" t="s">
        <v>2040</v>
      </c>
      <c r="C1095" s="328">
        <v>43454</v>
      </c>
      <c r="D1095" s="303" t="s">
        <v>1961</v>
      </c>
      <c r="E1095" s="303" t="s">
        <v>1960</v>
      </c>
      <c r="F1095" s="303" t="s">
        <v>1989</v>
      </c>
      <c r="G1095" s="303" t="s">
        <v>1573</v>
      </c>
      <c r="H1095" s="303" t="s">
        <v>1956</v>
      </c>
      <c r="I1095" s="304">
        <v>-4352</v>
      </c>
      <c r="J1095" s="303" t="s">
        <v>1671</v>
      </c>
      <c r="K1095" s="303" t="s">
        <v>2036</v>
      </c>
      <c r="L1095" s="303" t="s">
        <v>1956</v>
      </c>
      <c r="M1095" s="303" t="s">
        <v>2039</v>
      </c>
      <c r="N1095" s="303" t="s">
        <v>1987</v>
      </c>
      <c r="O1095" s="303" t="s">
        <v>1986</v>
      </c>
      <c r="P1095" s="328">
        <v>43454</v>
      </c>
      <c r="Q1095" s="303" t="s">
        <v>1952</v>
      </c>
      <c r="R1095" s="303">
        <f t="shared" si="21"/>
        <v>1</v>
      </c>
      <c r="S1095" s="303">
        <v>0</v>
      </c>
    </row>
    <row r="1096" spans="1:19" x14ac:dyDescent="0.25">
      <c r="A1096" s="303" t="s">
        <v>2038</v>
      </c>
      <c r="B1096" s="303" t="s">
        <v>2037</v>
      </c>
      <c r="C1096" s="328">
        <v>43455</v>
      </c>
      <c r="D1096" s="303" t="s">
        <v>1965</v>
      </c>
      <c r="E1096" s="303" t="s">
        <v>1964</v>
      </c>
      <c r="F1096" s="303" t="s">
        <v>1967</v>
      </c>
      <c r="G1096" s="303" t="s">
        <v>1959</v>
      </c>
      <c r="H1096" s="303" t="s">
        <v>1956</v>
      </c>
      <c r="I1096" s="304">
        <v>45877</v>
      </c>
      <c r="J1096" s="303" t="s">
        <v>1967</v>
      </c>
      <c r="K1096" s="303" t="s">
        <v>2036</v>
      </c>
      <c r="L1096" s="303" t="s">
        <v>1956</v>
      </c>
      <c r="M1096" s="303" t="s">
        <v>2035</v>
      </c>
      <c r="N1096" s="303" t="s">
        <v>1987</v>
      </c>
      <c r="O1096" s="303" t="s">
        <v>1986</v>
      </c>
      <c r="P1096" s="328">
        <v>43455</v>
      </c>
      <c r="Q1096" s="303" t="s">
        <v>1952</v>
      </c>
      <c r="R1096" s="303">
        <f t="shared" si="21"/>
        <v>1</v>
      </c>
      <c r="S1096" s="303">
        <v>0</v>
      </c>
    </row>
    <row r="1097" spans="1:19" x14ac:dyDescent="0.25">
      <c r="A1097" s="303" t="s">
        <v>2038</v>
      </c>
      <c r="B1097" s="303" t="s">
        <v>2037</v>
      </c>
      <c r="C1097" s="328">
        <v>43455</v>
      </c>
      <c r="D1097" s="303" t="s">
        <v>1961</v>
      </c>
      <c r="E1097" s="303" t="s">
        <v>1960</v>
      </c>
      <c r="F1097" s="303" t="s">
        <v>1967</v>
      </c>
      <c r="G1097" s="303" t="s">
        <v>1959</v>
      </c>
      <c r="H1097" s="303" t="s">
        <v>1956</v>
      </c>
      <c r="I1097" s="304">
        <v>-45877</v>
      </c>
      <c r="J1097" s="303" t="s">
        <v>1967</v>
      </c>
      <c r="K1097" s="303" t="s">
        <v>2036</v>
      </c>
      <c r="L1097" s="303" t="s">
        <v>1956</v>
      </c>
      <c r="M1097" s="303" t="s">
        <v>2035</v>
      </c>
      <c r="N1097" s="303" t="s">
        <v>1987</v>
      </c>
      <c r="O1097" s="303" t="s">
        <v>1986</v>
      </c>
      <c r="P1097" s="328">
        <v>43455</v>
      </c>
      <c r="Q1097" s="303" t="s">
        <v>1952</v>
      </c>
      <c r="R1097" s="303">
        <f t="shared" si="21"/>
        <v>1</v>
      </c>
      <c r="S1097" s="303">
        <v>0</v>
      </c>
    </row>
    <row r="1098" spans="1:19" x14ac:dyDescent="0.25">
      <c r="A1098" s="303" t="s">
        <v>2034</v>
      </c>
      <c r="B1098" s="303" t="s">
        <v>2033</v>
      </c>
      <c r="C1098" s="328">
        <v>43458</v>
      </c>
      <c r="D1098" s="303" t="s">
        <v>1965</v>
      </c>
      <c r="E1098" s="303" t="s">
        <v>1964</v>
      </c>
      <c r="F1098" s="303" t="s">
        <v>1623</v>
      </c>
      <c r="G1098" s="303" t="s">
        <v>1594</v>
      </c>
      <c r="H1098" s="303" t="s">
        <v>1956</v>
      </c>
      <c r="I1098" s="304">
        <v>18313</v>
      </c>
      <c r="J1098" s="303" t="s">
        <v>1609</v>
      </c>
      <c r="K1098" s="303" t="s">
        <v>1609</v>
      </c>
      <c r="L1098" s="303" t="s">
        <v>1609</v>
      </c>
      <c r="M1098" s="303" t="s">
        <v>2032</v>
      </c>
      <c r="N1098" s="303" t="s">
        <v>2031</v>
      </c>
      <c r="O1098" s="303" t="s">
        <v>2030</v>
      </c>
      <c r="P1098" s="328">
        <v>43458</v>
      </c>
      <c r="Q1098" s="303" t="s">
        <v>1952</v>
      </c>
      <c r="R1098" s="303">
        <f t="shared" si="21"/>
        <v>1</v>
      </c>
      <c r="S1098" s="303">
        <v>1</v>
      </c>
    </row>
    <row r="1099" spans="1:19" x14ac:dyDescent="0.25">
      <c r="A1099" s="303" t="s">
        <v>2029</v>
      </c>
      <c r="B1099" s="303" t="s">
        <v>2028</v>
      </c>
      <c r="C1099" s="328">
        <v>43468</v>
      </c>
      <c r="D1099" s="303" t="s">
        <v>1965</v>
      </c>
      <c r="E1099" s="303" t="s">
        <v>1964</v>
      </c>
      <c r="F1099" s="303" t="s">
        <v>2014</v>
      </c>
      <c r="G1099" s="303" t="s">
        <v>2027</v>
      </c>
      <c r="H1099" s="303" t="s">
        <v>1956</v>
      </c>
      <c r="I1099" s="304">
        <v>1068</v>
      </c>
      <c r="J1099" s="303" t="s">
        <v>1900</v>
      </c>
      <c r="K1099" s="303" t="s">
        <v>2027</v>
      </c>
      <c r="L1099" s="303" t="s">
        <v>1956</v>
      </c>
      <c r="M1099" s="303" t="s">
        <v>2013</v>
      </c>
      <c r="N1099" s="303" t="s">
        <v>1987</v>
      </c>
      <c r="O1099" s="303" t="s">
        <v>1986</v>
      </c>
      <c r="P1099" s="328">
        <v>43468</v>
      </c>
      <c r="Q1099" s="303" t="s">
        <v>1952</v>
      </c>
      <c r="R1099" s="303">
        <f t="shared" si="21"/>
        <v>1</v>
      </c>
      <c r="S1099" s="303">
        <v>0</v>
      </c>
    </row>
    <row r="1100" spans="1:19" x14ac:dyDescent="0.25">
      <c r="A1100" s="303" t="s">
        <v>2029</v>
      </c>
      <c r="B1100" s="303" t="s">
        <v>2028</v>
      </c>
      <c r="C1100" s="328">
        <v>43468</v>
      </c>
      <c r="D1100" s="303" t="s">
        <v>1961</v>
      </c>
      <c r="E1100" s="303" t="s">
        <v>1960</v>
      </c>
      <c r="F1100" s="303" t="s">
        <v>2014</v>
      </c>
      <c r="G1100" s="303" t="s">
        <v>2027</v>
      </c>
      <c r="H1100" s="303" t="s">
        <v>1956</v>
      </c>
      <c r="I1100" s="304">
        <v>-1068</v>
      </c>
      <c r="J1100" s="303" t="s">
        <v>1900</v>
      </c>
      <c r="K1100" s="303" t="s">
        <v>2027</v>
      </c>
      <c r="L1100" s="303" t="s">
        <v>1956</v>
      </c>
      <c r="M1100" s="303" t="s">
        <v>2013</v>
      </c>
      <c r="N1100" s="303" t="s">
        <v>1987</v>
      </c>
      <c r="O1100" s="303" t="s">
        <v>1986</v>
      </c>
      <c r="P1100" s="328">
        <v>43468</v>
      </c>
      <c r="Q1100" s="303" t="s">
        <v>1952</v>
      </c>
      <c r="R1100" s="303">
        <f t="shared" si="21"/>
        <v>1</v>
      </c>
      <c r="S1100" s="303">
        <v>0</v>
      </c>
    </row>
    <row r="1101" spans="1:19" x14ac:dyDescent="0.25">
      <c r="A1101" s="303" t="s">
        <v>2026</v>
      </c>
      <c r="B1101" s="303" t="s">
        <v>2025</v>
      </c>
      <c r="C1101" s="328">
        <v>43468</v>
      </c>
      <c r="D1101" s="303" t="s">
        <v>1965</v>
      </c>
      <c r="E1101" s="303" t="s">
        <v>1964</v>
      </c>
      <c r="F1101" s="303" t="s">
        <v>2014</v>
      </c>
      <c r="G1101" s="303" t="s">
        <v>1418</v>
      </c>
      <c r="H1101" s="303" t="s">
        <v>1956</v>
      </c>
      <c r="I1101" s="304">
        <v>208</v>
      </c>
      <c r="J1101" s="303" t="s">
        <v>1870</v>
      </c>
      <c r="K1101" s="303" t="s">
        <v>1418</v>
      </c>
      <c r="L1101" s="303" t="s">
        <v>1956</v>
      </c>
      <c r="M1101" s="303" t="s">
        <v>2013</v>
      </c>
      <c r="N1101" s="303" t="s">
        <v>1987</v>
      </c>
      <c r="O1101" s="303" t="s">
        <v>1986</v>
      </c>
      <c r="P1101" s="328">
        <v>43468</v>
      </c>
      <c r="Q1101" s="303" t="s">
        <v>1952</v>
      </c>
      <c r="R1101" s="303">
        <f t="shared" si="21"/>
        <v>1</v>
      </c>
      <c r="S1101" s="303">
        <v>0</v>
      </c>
    </row>
    <row r="1102" spans="1:19" x14ac:dyDescent="0.25">
      <c r="A1102" s="303" t="s">
        <v>2026</v>
      </c>
      <c r="B1102" s="303" t="s">
        <v>2025</v>
      </c>
      <c r="C1102" s="328">
        <v>43468</v>
      </c>
      <c r="D1102" s="303" t="s">
        <v>1961</v>
      </c>
      <c r="E1102" s="303" t="s">
        <v>1960</v>
      </c>
      <c r="F1102" s="303" t="s">
        <v>2014</v>
      </c>
      <c r="G1102" s="303" t="s">
        <v>1418</v>
      </c>
      <c r="H1102" s="303" t="s">
        <v>1956</v>
      </c>
      <c r="I1102" s="304">
        <v>-208</v>
      </c>
      <c r="J1102" s="303" t="s">
        <v>1870</v>
      </c>
      <c r="K1102" s="303" t="s">
        <v>1418</v>
      </c>
      <c r="L1102" s="303" t="s">
        <v>1956</v>
      </c>
      <c r="M1102" s="303" t="s">
        <v>2013</v>
      </c>
      <c r="N1102" s="303" t="s">
        <v>1987</v>
      </c>
      <c r="O1102" s="303" t="s">
        <v>1986</v>
      </c>
      <c r="P1102" s="328">
        <v>43468</v>
      </c>
      <c r="Q1102" s="303" t="s">
        <v>1952</v>
      </c>
      <c r="R1102" s="303">
        <f t="shared" si="21"/>
        <v>1</v>
      </c>
      <c r="S1102" s="303">
        <v>0</v>
      </c>
    </row>
    <row r="1103" spans="1:19" x14ac:dyDescent="0.25">
      <c r="A1103" s="303" t="s">
        <v>2024</v>
      </c>
      <c r="B1103" s="303" t="s">
        <v>2023</v>
      </c>
      <c r="C1103" s="328">
        <v>43468</v>
      </c>
      <c r="D1103" s="303" t="s">
        <v>1965</v>
      </c>
      <c r="E1103" s="303" t="s">
        <v>1964</v>
      </c>
      <c r="F1103" s="303" t="s">
        <v>1755</v>
      </c>
      <c r="G1103" s="303" t="s">
        <v>1472</v>
      </c>
      <c r="H1103" s="303" t="s">
        <v>1956</v>
      </c>
      <c r="I1103" s="304">
        <v>34867</v>
      </c>
      <c r="J1103" s="303" t="s">
        <v>1958</v>
      </c>
      <c r="K1103" s="303" t="s">
        <v>1957</v>
      </c>
      <c r="L1103" s="303" t="s">
        <v>1956</v>
      </c>
      <c r="M1103" s="303" t="s">
        <v>2022</v>
      </c>
      <c r="N1103" s="303" t="s">
        <v>1987</v>
      </c>
      <c r="O1103" s="303" t="s">
        <v>1986</v>
      </c>
      <c r="P1103" s="328">
        <v>43468</v>
      </c>
      <c r="Q1103" s="303" t="s">
        <v>1952</v>
      </c>
      <c r="R1103" s="303">
        <f t="shared" si="21"/>
        <v>0</v>
      </c>
      <c r="S1103" s="303">
        <v>0</v>
      </c>
    </row>
    <row r="1104" spans="1:19" x14ac:dyDescent="0.25">
      <c r="A1104" s="303" t="s">
        <v>2024</v>
      </c>
      <c r="B1104" s="303" t="s">
        <v>2023</v>
      </c>
      <c r="C1104" s="328">
        <v>43468</v>
      </c>
      <c r="D1104" s="303" t="s">
        <v>1961</v>
      </c>
      <c r="E1104" s="303" t="s">
        <v>1960</v>
      </c>
      <c r="F1104" s="303" t="s">
        <v>1755</v>
      </c>
      <c r="G1104" s="303" t="s">
        <v>1472</v>
      </c>
      <c r="H1104" s="303" t="s">
        <v>1956</v>
      </c>
      <c r="I1104" s="304">
        <v>-34867</v>
      </c>
      <c r="J1104" s="303" t="s">
        <v>1958</v>
      </c>
      <c r="K1104" s="303" t="s">
        <v>1957</v>
      </c>
      <c r="L1104" s="303" t="s">
        <v>1956</v>
      </c>
      <c r="M1104" s="303" t="s">
        <v>2022</v>
      </c>
      <c r="N1104" s="303" t="s">
        <v>1987</v>
      </c>
      <c r="O1104" s="303" t="s">
        <v>1986</v>
      </c>
      <c r="P1104" s="328">
        <v>43468</v>
      </c>
      <c r="Q1104" s="303" t="s">
        <v>1952</v>
      </c>
      <c r="R1104" s="303">
        <f t="shared" si="21"/>
        <v>0</v>
      </c>
      <c r="S1104" s="303">
        <v>0</v>
      </c>
    </row>
    <row r="1105" spans="1:19" x14ac:dyDescent="0.25">
      <c r="A1105" s="303" t="s">
        <v>2021</v>
      </c>
      <c r="B1105" s="303" t="s">
        <v>2020</v>
      </c>
      <c r="C1105" s="328">
        <v>43468</v>
      </c>
      <c r="D1105" s="303" t="s">
        <v>1965</v>
      </c>
      <c r="E1105" s="303" t="s">
        <v>1964</v>
      </c>
      <c r="F1105" s="303" t="s">
        <v>1755</v>
      </c>
      <c r="G1105" s="303" t="s">
        <v>1472</v>
      </c>
      <c r="H1105" s="303" t="s">
        <v>1956</v>
      </c>
      <c r="I1105" s="304">
        <v>148371</v>
      </c>
      <c r="J1105" s="303" t="s">
        <v>1967</v>
      </c>
      <c r="K1105" s="303" t="s">
        <v>1472</v>
      </c>
      <c r="L1105" s="303" t="s">
        <v>1956</v>
      </c>
      <c r="M1105" s="303" t="s">
        <v>2019</v>
      </c>
      <c r="N1105" s="303" t="s">
        <v>1987</v>
      </c>
      <c r="O1105" s="303" t="s">
        <v>1986</v>
      </c>
      <c r="P1105" s="328">
        <v>43468</v>
      </c>
      <c r="Q1105" s="303" t="s">
        <v>1952</v>
      </c>
      <c r="R1105" s="303">
        <f t="shared" si="21"/>
        <v>0</v>
      </c>
      <c r="S1105" s="303">
        <v>0</v>
      </c>
    </row>
    <row r="1106" spans="1:19" x14ac:dyDescent="0.25">
      <c r="A1106" s="303" t="s">
        <v>2021</v>
      </c>
      <c r="B1106" s="303" t="s">
        <v>2020</v>
      </c>
      <c r="C1106" s="328">
        <v>43468</v>
      </c>
      <c r="D1106" s="303" t="s">
        <v>1961</v>
      </c>
      <c r="E1106" s="303" t="s">
        <v>1960</v>
      </c>
      <c r="F1106" s="303" t="s">
        <v>1755</v>
      </c>
      <c r="G1106" s="303" t="s">
        <v>1472</v>
      </c>
      <c r="H1106" s="303" t="s">
        <v>1956</v>
      </c>
      <c r="I1106" s="304">
        <v>-148371</v>
      </c>
      <c r="J1106" s="303" t="s">
        <v>1967</v>
      </c>
      <c r="K1106" s="303" t="s">
        <v>1472</v>
      </c>
      <c r="L1106" s="303" t="s">
        <v>1956</v>
      </c>
      <c r="M1106" s="303" t="s">
        <v>2019</v>
      </c>
      <c r="N1106" s="303" t="s">
        <v>1987</v>
      </c>
      <c r="O1106" s="303" t="s">
        <v>1986</v>
      </c>
      <c r="P1106" s="328">
        <v>43468</v>
      </c>
      <c r="Q1106" s="303" t="s">
        <v>1952</v>
      </c>
      <c r="R1106" s="303">
        <f t="shared" si="21"/>
        <v>0</v>
      </c>
      <c r="S1106" s="303">
        <v>0</v>
      </c>
    </row>
    <row r="1107" spans="1:19" x14ac:dyDescent="0.25">
      <c r="A1107" s="303" t="s">
        <v>2018</v>
      </c>
      <c r="B1107" s="303" t="s">
        <v>2017</v>
      </c>
      <c r="C1107" s="328">
        <v>43468</v>
      </c>
      <c r="D1107" s="303" t="s">
        <v>1965</v>
      </c>
      <c r="E1107" s="303" t="s">
        <v>1964</v>
      </c>
      <c r="F1107" s="303" t="s">
        <v>2014</v>
      </c>
      <c r="G1107" s="303" t="s">
        <v>1472</v>
      </c>
      <c r="H1107" s="303" t="s">
        <v>1956</v>
      </c>
      <c r="I1107" s="304">
        <v>1042</v>
      </c>
      <c r="J1107" s="303" t="s">
        <v>1755</v>
      </c>
      <c r="K1107" s="303" t="s">
        <v>1472</v>
      </c>
      <c r="L1107" s="303" t="s">
        <v>1956</v>
      </c>
      <c r="M1107" s="303" t="s">
        <v>2013</v>
      </c>
      <c r="N1107" s="303" t="s">
        <v>1987</v>
      </c>
      <c r="O1107" s="303" t="s">
        <v>1986</v>
      </c>
      <c r="P1107" s="328">
        <v>43468</v>
      </c>
      <c r="Q1107" s="303" t="s">
        <v>1952</v>
      </c>
      <c r="R1107" s="303">
        <f t="shared" si="21"/>
        <v>1</v>
      </c>
      <c r="S1107" s="303">
        <v>0</v>
      </c>
    </row>
    <row r="1108" spans="1:19" x14ac:dyDescent="0.25">
      <c r="A1108" s="303" t="s">
        <v>2018</v>
      </c>
      <c r="B1108" s="303" t="s">
        <v>2017</v>
      </c>
      <c r="C1108" s="328">
        <v>43468</v>
      </c>
      <c r="D1108" s="303" t="s">
        <v>1961</v>
      </c>
      <c r="E1108" s="303" t="s">
        <v>1960</v>
      </c>
      <c r="F1108" s="303" t="s">
        <v>2014</v>
      </c>
      <c r="G1108" s="303" t="s">
        <v>1472</v>
      </c>
      <c r="H1108" s="303" t="s">
        <v>1956</v>
      </c>
      <c r="I1108" s="304">
        <v>-1042</v>
      </c>
      <c r="J1108" s="303" t="s">
        <v>1755</v>
      </c>
      <c r="K1108" s="303" t="s">
        <v>1472</v>
      </c>
      <c r="L1108" s="303" t="s">
        <v>1956</v>
      </c>
      <c r="M1108" s="303" t="s">
        <v>2013</v>
      </c>
      <c r="N1108" s="303" t="s">
        <v>1987</v>
      </c>
      <c r="O1108" s="303" t="s">
        <v>1986</v>
      </c>
      <c r="P1108" s="328">
        <v>43468</v>
      </c>
      <c r="Q1108" s="303" t="s">
        <v>1952</v>
      </c>
      <c r="R1108" s="303">
        <f t="shared" si="21"/>
        <v>1</v>
      </c>
      <c r="S1108" s="303">
        <v>0</v>
      </c>
    </row>
    <row r="1109" spans="1:19" x14ac:dyDescent="0.25">
      <c r="A1109" s="303" t="s">
        <v>2016</v>
      </c>
      <c r="B1109" s="303" t="s">
        <v>2015</v>
      </c>
      <c r="C1109" s="328">
        <v>43468</v>
      </c>
      <c r="D1109" s="303" t="s">
        <v>1965</v>
      </c>
      <c r="E1109" s="303" t="s">
        <v>1964</v>
      </c>
      <c r="F1109" s="303" t="s">
        <v>2014</v>
      </c>
      <c r="G1109" s="303" t="s">
        <v>1508</v>
      </c>
      <c r="H1109" s="303" t="s">
        <v>1956</v>
      </c>
      <c r="I1109" s="304">
        <v>548</v>
      </c>
      <c r="J1109" s="303" t="s">
        <v>1723</v>
      </c>
      <c r="K1109" s="303" t="s">
        <v>1508</v>
      </c>
      <c r="L1109" s="303" t="s">
        <v>1956</v>
      </c>
      <c r="M1109" s="303" t="s">
        <v>2013</v>
      </c>
      <c r="N1109" s="303" t="s">
        <v>1987</v>
      </c>
      <c r="O1109" s="303" t="s">
        <v>1986</v>
      </c>
      <c r="P1109" s="328">
        <v>43468</v>
      </c>
      <c r="Q1109" s="303" t="s">
        <v>1952</v>
      </c>
      <c r="R1109" s="303">
        <f t="shared" si="21"/>
        <v>1</v>
      </c>
      <c r="S1109" s="303">
        <v>0</v>
      </c>
    </row>
    <row r="1110" spans="1:19" x14ac:dyDescent="0.25">
      <c r="A1110" s="303" t="s">
        <v>2016</v>
      </c>
      <c r="B1110" s="303" t="s">
        <v>2015</v>
      </c>
      <c r="C1110" s="328">
        <v>43468</v>
      </c>
      <c r="D1110" s="303" t="s">
        <v>1961</v>
      </c>
      <c r="E1110" s="303" t="s">
        <v>1960</v>
      </c>
      <c r="F1110" s="303" t="s">
        <v>2014</v>
      </c>
      <c r="G1110" s="303" t="s">
        <v>1508</v>
      </c>
      <c r="H1110" s="303" t="s">
        <v>1956</v>
      </c>
      <c r="I1110" s="304">
        <v>-548</v>
      </c>
      <c r="J1110" s="303" t="s">
        <v>1723</v>
      </c>
      <c r="K1110" s="303" t="s">
        <v>1508</v>
      </c>
      <c r="L1110" s="303" t="s">
        <v>1956</v>
      </c>
      <c r="M1110" s="303" t="s">
        <v>2013</v>
      </c>
      <c r="N1110" s="303" t="s">
        <v>1987</v>
      </c>
      <c r="O1110" s="303" t="s">
        <v>1986</v>
      </c>
      <c r="P1110" s="328">
        <v>43468</v>
      </c>
      <c r="Q1110" s="303" t="s">
        <v>1952</v>
      </c>
      <c r="R1110" s="303">
        <f t="shared" si="21"/>
        <v>1</v>
      </c>
      <c r="S1110" s="303">
        <v>0</v>
      </c>
    </row>
    <row r="1111" spans="1:19" x14ac:dyDescent="0.25">
      <c r="A1111" s="303" t="s">
        <v>2012</v>
      </c>
      <c r="B1111" s="303" t="s">
        <v>2011</v>
      </c>
      <c r="C1111" s="328">
        <v>43468</v>
      </c>
      <c r="D1111" s="303" t="s">
        <v>1961</v>
      </c>
      <c r="E1111" s="303" t="s">
        <v>1960</v>
      </c>
      <c r="F1111" s="303" t="s">
        <v>1609</v>
      </c>
      <c r="G1111" s="303" t="s">
        <v>1609</v>
      </c>
      <c r="H1111" s="303" t="s">
        <v>1609</v>
      </c>
      <c r="I1111" s="304">
        <v>-53315</v>
      </c>
      <c r="J1111" s="303" t="s">
        <v>1967</v>
      </c>
      <c r="K1111" s="303" t="s">
        <v>1959</v>
      </c>
      <c r="L1111" s="303" t="s">
        <v>1956</v>
      </c>
      <c r="M1111" s="303" t="s">
        <v>2008</v>
      </c>
      <c r="N1111" s="303" t="s">
        <v>1977</v>
      </c>
      <c r="O1111" s="303" t="s">
        <v>1976</v>
      </c>
      <c r="P1111" s="328">
        <v>43468</v>
      </c>
      <c r="Q1111" s="303" t="s">
        <v>1952</v>
      </c>
      <c r="R1111" s="303">
        <f t="shared" si="21"/>
        <v>1</v>
      </c>
      <c r="S1111" s="303">
        <v>0</v>
      </c>
    </row>
    <row r="1112" spans="1:19" x14ac:dyDescent="0.25">
      <c r="A1112" s="303" t="s">
        <v>2010</v>
      </c>
      <c r="B1112" s="303" t="s">
        <v>2009</v>
      </c>
      <c r="C1112" s="328">
        <v>43468</v>
      </c>
      <c r="D1112" s="303" t="s">
        <v>1961</v>
      </c>
      <c r="E1112" s="303" t="s">
        <v>1960</v>
      </c>
      <c r="F1112" s="303" t="s">
        <v>1609</v>
      </c>
      <c r="G1112" s="303" t="s">
        <v>1609</v>
      </c>
      <c r="H1112" s="303" t="s">
        <v>1609</v>
      </c>
      <c r="I1112" s="304">
        <v>-12529</v>
      </c>
      <c r="J1112" s="303" t="s">
        <v>1958</v>
      </c>
      <c r="K1112" s="303" t="s">
        <v>1957</v>
      </c>
      <c r="L1112" s="303" t="s">
        <v>1956</v>
      </c>
      <c r="M1112" s="303" t="s">
        <v>2008</v>
      </c>
      <c r="N1112" s="303" t="s">
        <v>1977</v>
      </c>
      <c r="O1112" s="303" t="s">
        <v>1976</v>
      </c>
      <c r="P1112" s="328">
        <v>43468</v>
      </c>
      <c r="Q1112" s="303" t="s">
        <v>1952</v>
      </c>
      <c r="R1112" s="303">
        <f t="shared" si="21"/>
        <v>1</v>
      </c>
      <c r="S1112" s="303">
        <v>0</v>
      </c>
    </row>
    <row r="1113" spans="1:19" x14ac:dyDescent="0.25">
      <c r="A1113" s="303" t="s">
        <v>2007</v>
      </c>
      <c r="B1113" s="303" t="s">
        <v>2006</v>
      </c>
      <c r="C1113" s="328">
        <v>43468</v>
      </c>
      <c r="D1113" s="303" t="s">
        <v>1961</v>
      </c>
      <c r="E1113" s="303" t="s">
        <v>1960</v>
      </c>
      <c r="F1113" s="303" t="s">
        <v>1609</v>
      </c>
      <c r="G1113" s="303" t="s">
        <v>1609</v>
      </c>
      <c r="H1113" s="303" t="s">
        <v>1609</v>
      </c>
      <c r="I1113" s="304">
        <v>-19028</v>
      </c>
      <c r="J1113" s="303" t="s">
        <v>1958</v>
      </c>
      <c r="K1113" s="303" t="s">
        <v>1957</v>
      </c>
      <c r="L1113" s="303" t="s">
        <v>1956</v>
      </c>
      <c r="M1113" s="303" t="s">
        <v>2003</v>
      </c>
      <c r="N1113" s="303" t="s">
        <v>1977</v>
      </c>
      <c r="O1113" s="303" t="s">
        <v>1976</v>
      </c>
      <c r="P1113" s="328">
        <v>43468</v>
      </c>
      <c r="Q1113" s="303" t="s">
        <v>1952</v>
      </c>
      <c r="R1113" s="303">
        <f t="shared" si="21"/>
        <v>1</v>
      </c>
      <c r="S1113" s="303">
        <v>0</v>
      </c>
    </row>
    <row r="1114" spans="1:19" x14ac:dyDescent="0.25">
      <c r="A1114" s="303" t="s">
        <v>2005</v>
      </c>
      <c r="B1114" s="303" t="s">
        <v>2004</v>
      </c>
      <c r="C1114" s="328">
        <v>43468</v>
      </c>
      <c r="D1114" s="303" t="s">
        <v>1961</v>
      </c>
      <c r="E1114" s="303" t="s">
        <v>1960</v>
      </c>
      <c r="F1114" s="303" t="s">
        <v>1609</v>
      </c>
      <c r="G1114" s="303" t="s">
        <v>1609</v>
      </c>
      <c r="H1114" s="303" t="s">
        <v>1609</v>
      </c>
      <c r="I1114" s="304">
        <v>-80972</v>
      </c>
      <c r="J1114" s="303" t="s">
        <v>1967</v>
      </c>
      <c r="K1114" s="303" t="s">
        <v>1959</v>
      </c>
      <c r="L1114" s="303" t="s">
        <v>1956</v>
      </c>
      <c r="M1114" s="303" t="s">
        <v>2003</v>
      </c>
      <c r="N1114" s="303" t="s">
        <v>1977</v>
      </c>
      <c r="O1114" s="303" t="s">
        <v>1976</v>
      </c>
      <c r="P1114" s="328">
        <v>43468</v>
      </c>
      <c r="Q1114" s="303" t="s">
        <v>1952</v>
      </c>
      <c r="R1114" s="303">
        <f t="shared" si="21"/>
        <v>1</v>
      </c>
      <c r="S1114" s="303">
        <v>0</v>
      </c>
    </row>
    <row r="1115" spans="1:19" x14ac:dyDescent="0.25">
      <c r="A1115" s="303" t="s">
        <v>2002</v>
      </c>
      <c r="B1115" s="303" t="s">
        <v>2001</v>
      </c>
      <c r="C1115" s="328">
        <v>43468</v>
      </c>
      <c r="D1115" s="303" t="s">
        <v>1965</v>
      </c>
      <c r="E1115" s="303" t="s">
        <v>1964</v>
      </c>
      <c r="F1115" s="303" t="s">
        <v>1958</v>
      </c>
      <c r="G1115" s="303" t="s">
        <v>1576</v>
      </c>
      <c r="H1115" s="303" t="s">
        <v>1956</v>
      </c>
      <c r="I1115" s="304">
        <v>1192</v>
      </c>
      <c r="J1115" s="303" t="s">
        <v>1609</v>
      </c>
      <c r="K1115" s="303" t="s">
        <v>1609</v>
      </c>
      <c r="L1115" s="303" t="s">
        <v>1609</v>
      </c>
      <c r="M1115" s="303" t="s">
        <v>2000</v>
      </c>
      <c r="N1115" s="303" t="s">
        <v>1996</v>
      </c>
      <c r="O1115" s="303" t="s">
        <v>1995</v>
      </c>
      <c r="P1115" s="328">
        <v>43468</v>
      </c>
      <c r="Q1115" s="303" t="s">
        <v>1952</v>
      </c>
      <c r="R1115" s="303">
        <f t="shared" si="21"/>
        <v>1</v>
      </c>
      <c r="S1115" s="303">
        <v>1</v>
      </c>
    </row>
    <row r="1116" spans="1:19" x14ac:dyDescent="0.25">
      <c r="A1116" s="303" t="s">
        <v>1999</v>
      </c>
      <c r="B1116" s="303" t="s">
        <v>1998</v>
      </c>
      <c r="C1116" s="328">
        <v>43468</v>
      </c>
      <c r="D1116" s="303" t="s">
        <v>1965</v>
      </c>
      <c r="E1116" s="303" t="s">
        <v>1964</v>
      </c>
      <c r="F1116" s="303" t="s">
        <v>1967</v>
      </c>
      <c r="G1116" s="303" t="s">
        <v>1576</v>
      </c>
      <c r="H1116" s="303" t="s">
        <v>1956</v>
      </c>
      <c r="I1116" s="304">
        <v>5072</v>
      </c>
      <c r="J1116" s="303" t="s">
        <v>1609</v>
      </c>
      <c r="K1116" s="303" t="s">
        <v>1609</v>
      </c>
      <c r="L1116" s="303" t="s">
        <v>1609</v>
      </c>
      <c r="M1116" s="303" t="s">
        <v>1997</v>
      </c>
      <c r="N1116" s="303" t="s">
        <v>1996</v>
      </c>
      <c r="O1116" s="303" t="s">
        <v>1995</v>
      </c>
      <c r="P1116" s="328">
        <v>43468</v>
      </c>
      <c r="Q1116" s="303" t="s">
        <v>1952</v>
      </c>
      <c r="R1116" s="303">
        <f t="shared" si="21"/>
        <v>1</v>
      </c>
      <c r="S1116" s="303">
        <v>0</v>
      </c>
    </row>
    <row r="1117" spans="1:19" x14ac:dyDescent="0.25">
      <c r="A1117" s="303" t="s">
        <v>1994</v>
      </c>
      <c r="B1117" s="303" t="s">
        <v>1993</v>
      </c>
      <c r="C1117" s="328">
        <v>43472</v>
      </c>
      <c r="D1117" s="303" t="s">
        <v>1965</v>
      </c>
      <c r="E1117" s="303" t="s">
        <v>1964</v>
      </c>
      <c r="F1117" s="303" t="s">
        <v>1989</v>
      </c>
      <c r="G1117" s="303" t="s">
        <v>1481</v>
      </c>
      <c r="H1117" s="303" t="s">
        <v>1956</v>
      </c>
      <c r="I1117" s="304">
        <v>5500</v>
      </c>
      <c r="J1117" s="303" t="s">
        <v>1745</v>
      </c>
      <c r="K1117" s="303" t="s">
        <v>1478</v>
      </c>
      <c r="L1117" s="303" t="s">
        <v>1956</v>
      </c>
      <c r="M1117" s="303" t="s">
        <v>1992</v>
      </c>
      <c r="N1117" s="303" t="s">
        <v>1987</v>
      </c>
      <c r="O1117" s="303" t="s">
        <v>1986</v>
      </c>
      <c r="P1117" s="328">
        <v>43472</v>
      </c>
      <c r="Q1117" s="303" t="s">
        <v>1952</v>
      </c>
      <c r="R1117" s="303">
        <f t="shared" si="21"/>
        <v>1</v>
      </c>
      <c r="S1117" s="303">
        <v>0</v>
      </c>
    </row>
    <row r="1118" spans="1:19" x14ac:dyDescent="0.25">
      <c r="A1118" s="303" t="s">
        <v>1994</v>
      </c>
      <c r="B1118" s="303" t="s">
        <v>1993</v>
      </c>
      <c r="C1118" s="328">
        <v>43472</v>
      </c>
      <c r="D1118" s="303" t="s">
        <v>1961</v>
      </c>
      <c r="E1118" s="303" t="s">
        <v>1960</v>
      </c>
      <c r="F1118" s="303" t="s">
        <v>1989</v>
      </c>
      <c r="G1118" s="303" t="s">
        <v>1481</v>
      </c>
      <c r="H1118" s="303" t="s">
        <v>1956</v>
      </c>
      <c r="I1118" s="304">
        <v>-5500</v>
      </c>
      <c r="J1118" s="303" t="s">
        <v>1745</v>
      </c>
      <c r="K1118" s="303" t="s">
        <v>1478</v>
      </c>
      <c r="L1118" s="303" t="s">
        <v>1956</v>
      </c>
      <c r="M1118" s="303" t="s">
        <v>1992</v>
      </c>
      <c r="N1118" s="303" t="s">
        <v>1987</v>
      </c>
      <c r="O1118" s="303" t="s">
        <v>1986</v>
      </c>
      <c r="P1118" s="328">
        <v>43472</v>
      </c>
      <c r="Q1118" s="303" t="s">
        <v>1952</v>
      </c>
      <c r="R1118" s="303">
        <f t="shared" si="21"/>
        <v>1</v>
      </c>
      <c r="S1118" s="303">
        <v>0</v>
      </c>
    </row>
    <row r="1119" spans="1:19" x14ac:dyDescent="0.25">
      <c r="A1119" s="303" t="s">
        <v>1991</v>
      </c>
      <c r="B1119" s="303" t="s">
        <v>1990</v>
      </c>
      <c r="C1119" s="328">
        <v>43472</v>
      </c>
      <c r="D1119" s="303" t="s">
        <v>1965</v>
      </c>
      <c r="E1119" s="303" t="s">
        <v>1964</v>
      </c>
      <c r="F1119" s="303" t="s">
        <v>1989</v>
      </c>
      <c r="G1119" s="303" t="s">
        <v>1481</v>
      </c>
      <c r="H1119" s="303" t="s">
        <v>1956</v>
      </c>
      <c r="I1119" s="304">
        <v>1400</v>
      </c>
      <c r="J1119" s="303" t="s">
        <v>1743</v>
      </c>
      <c r="K1119" s="303" t="s">
        <v>1481</v>
      </c>
      <c r="L1119" s="303" t="s">
        <v>1956</v>
      </c>
      <c r="M1119" s="303" t="s">
        <v>1988</v>
      </c>
      <c r="N1119" s="303" t="s">
        <v>1987</v>
      </c>
      <c r="O1119" s="303" t="s">
        <v>1986</v>
      </c>
      <c r="P1119" s="328">
        <v>43472</v>
      </c>
      <c r="Q1119" s="303" t="s">
        <v>1952</v>
      </c>
      <c r="R1119" s="303">
        <f t="shared" si="21"/>
        <v>1</v>
      </c>
      <c r="S1119" s="303">
        <v>0</v>
      </c>
    </row>
    <row r="1120" spans="1:19" x14ac:dyDescent="0.25">
      <c r="A1120" s="303" t="s">
        <v>1991</v>
      </c>
      <c r="B1120" s="303" t="s">
        <v>1990</v>
      </c>
      <c r="C1120" s="328">
        <v>43472</v>
      </c>
      <c r="D1120" s="303" t="s">
        <v>1961</v>
      </c>
      <c r="E1120" s="303" t="s">
        <v>1960</v>
      </c>
      <c r="F1120" s="303" t="s">
        <v>1989</v>
      </c>
      <c r="G1120" s="303" t="s">
        <v>1481</v>
      </c>
      <c r="H1120" s="303" t="s">
        <v>1956</v>
      </c>
      <c r="I1120" s="304">
        <v>-1400</v>
      </c>
      <c r="J1120" s="303" t="s">
        <v>1743</v>
      </c>
      <c r="K1120" s="303" t="s">
        <v>1481</v>
      </c>
      <c r="L1120" s="303" t="s">
        <v>1956</v>
      </c>
      <c r="M1120" s="303" t="s">
        <v>1988</v>
      </c>
      <c r="N1120" s="303" t="s">
        <v>1987</v>
      </c>
      <c r="O1120" s="303" t="s">
        <v>1986</v>
      </c>
      <c r="P1120" s="328">
        <v>43472</v>
      </c>
      <c r="Q1120" s="303" t="s">
        <v>1952</v>
      </c>
      <c r="R1120" s="303">
        <f t="shared" si="21"/>
        <v>1</v>
      </c>
      <c r="S1120" s="303">
        <v>0</v>
      </c>
    </row>
    <row r="1121" spans="1:19" x14ac:dyDescent="0.25">
      <c r="A1121" s="303" t="s">
        <v>1985</v>
      </c>
      <c r="B1121" s="303" t="s">
        <v>1984</v>
      </c>
      <c r="C1121" s="328">
        <v>43473</v>
      </c>
      <c r="D1121" s="303" t="s">
        <v>1965</v>
      </c>
      <c r="E1121" s="303" t="s">
        <v>1964</v>
      </c>
      <c r="F1121" s="303" t="s">
        <v>1846</v>
      </c>
      <c r="G1121" s="303" t="s">
        <v>1959</v>
      </c>
      <c r="H1121" s="303" t="s">
        <v>1956</v>
      </c>
      <c r="I1121" s="304">
        <v>343100</v>
      </c>
      <c r="J1121" s="303" t="s">
        <v>1958</v>
      </c>
      <c r="K1121" s="303" t="s">
        <v>1957</v>
      </c>
      <c r="L1121" s="303" t="s">
        <v>1956</v>
      </c>
      <c r="M1121" s="303" t="s">
        <v>1955</v>
      </c>
      <c r="N1121" s="303" t="s">
        <v>1977</v>
      </c>
      <c r="O1121" s="303" t="s">
        <v>1976</v>
      </c>
      <c r="P1121" s="328">
        <v>43473</v>
      </c>
      <c r="Q1121" s="303" t="s">
        <v>1952</v>
      </c>
      <c r="R1121" s="303">
        <f t="shared" si="21"/>
        <v>1</v>
      </c>
      <c r="S1121" s="303">
        <v>0</v>
      </c>
    </row>
    <row r="1122" spans="1:19" x14ac:dyDescent="0.25">
      <c r="A1122" s="303" t="s">
        <v>1985</v>
      </c>
      <c r="B1122" s="303" t="s">
        <v>1984</v>
      </c>
      <c r="C1122" s="328">
        <v>43473</v>
      </c>
      <c r="D1122" s="303" t="s">
        <v>1961</v>
      </c>
      <c r="E1122" s="303" t="s">
        <v>1960</v>
      </c>
      <c r="F1122" s="303" t="s">
        <v>1846</v>
      </c>
      <c r="G1122" s="303" t="s">
        <v>1959</v>
      </c>
      <c r="H1122" s="303" t="s">
        <v>1956</v>
      </c>
      <c r="I1122" s="304">
        <v>-343100</v>
      </c>
      <c r="J1122" s="303" t="s">
        <v>1958</v>
      </c>
      <c r="K1122" s="303" t="s">
        <v>1957</v>
      </c>
      <c r="L1122" s="303" t="s">
        <v>1956</v>
      </c>
      <c r="M1122" s="303" t="s">
        <v>1955</v>
      </c>
      <c r="N1122" s="303" t="s">
        <v>1977</v>
      </c>
      <c r="O1122" s="303" t="s">
        <v>1976</v>
      </c>
      <c r="P1122" s="328">
        <v>43473</v>
      </c>
      <c r="Q1122" s="303" t="s">
        <v>1952</v>
      </c>
      <c r="R1122" s="303">
        <f t="shared" si="21"/>
        <v>1</v>
      </c>
      <c r="S1122" s="303">
        <v>0</v>
      </c>
    </row>
    <row r="1123" spans="1:19" x14ac:dyDescent="0.25">
      <c r="A1123" s="303" t="s">
        <v>1983</v>
      </c>
      <c r="B1123" s="303" t="s">
        <v>1982</v>
      </c>
      <c r="C1123" s="328">
        <v>43473</v>
      </c>
      <c r="D1123" s="303" t="s">
        <v>1965</v>
      </c>
      <c r="E1123" s="303" t="s">
        <v>1964</v>
      </c>
      <c r="F1123" s="303" t="s">
        <v>1846</v>
      </c>
      <c r="G1123" s="303" t="s">
        <v>1959</v>
      </c>
      <c r="H1123" s="303" t="s">
        <v>1956</v>
      </c>
      <c r="I1123" s="304">
        <v>460002</v>
      </c>
      <c r="J1123" s="303" t="s">
        <v>1967</v>
      </c>
      <c r="K1123" s="303" t="s">
        <v>1959</v>
      </c>
      <c r="L1123" s="303" t="s">
        <v>1956</v>
      </c>
      <c r="M1123" s="303" t="s">
        <v>1973</v>
      </c>
      <c r="N1123" s="303" t="s">
        <v>1977</v>
      </c>
      <c r="O1123" s="303" t="s">
        <v>1976</v>
      </c>
      <c r="P1123" s="328">
        <v>43473</v>
      </c>
      <c r="Q1123" s="303" t="s">
        <v>1952</v>
      </c>
      <c r="R1123" s="303">
        <f t="shared" si="21"/>
        <v>1</v>
      </c>
      <c r="S1123" s="303">
        <v>0</v>
      </c>
    </row>
    <row r="1124" spans="1:19" x14ac:dyDescent="0.25">
      <c r="A1124" s="303" t="s">
        <v>1983</v>
      </c>
      <c r="B1124" s="303" t="s">
        <v>1982</v>
      </c>
      <c r="C1124" s="328">
        <v>43473</v>
      </c>
      <c r="D1124" s="303" t="s">
        <v>1961</v>
      </c>
      <c r="E1124" s="303" t="s">
        <v>1960</v>
      </c>
      <c r="F1124" s="303" t="s">
        <v>1846</v>
      </c>
      <c r="G1124" s="303" t="s">
        <v>1959</v>
      </c>
      <c r="H1124" s="303" t="s">
        <v>1956</v>
      </c>
      <c r="I1124" s="304">
        <v>-460002</v>
      </c>
      <c r="J1124" s="303" t="s">
        <v>1967</v>
      </c>
      <c r="K1124" s="303" t="s">
        <v>1959</v>
      </c>
      <c r="L1124" s="303" t="s">
        <v>1956</v>
      </c>
      <c r="M1124" s="303" t="s">
        <v>1973</v>
      </c>
      <c r="N1124" s="303" t="s">
        <v>1977</v>
      </c>
      <c r="O1124" s="303" t="s">
        <v>1976</v>
      </c>
      <c r="P1124" s="328">
        <v>43473</v>
      </c>
      <c r="Q1124" s="303" t="s">
        <v>1952</v>
      </c>
      <c r="R1124" s="303">
        <f t="shared" si="21"/>
        <v>1</v>
      </c>
      <c r="S1124" s="303">
        <v>0</v>
      </c>
    </row>
    <row r="1125" spans="1:19" x14ac:dyDescent="0.25">
      <c r="A1125" s="303" t="s">
        <v>1981</v>
      </c>
      <c r="B1125" s="303" t="s">
        <v>1980</v>
      </c>
      <c r="C1125" s="328">
        <v>43473</v>
      </c>
      <c r="D1125" s="303" t="s">
        <v>1965</v>
      </c>
      <c r="E1125" s="303" t="s">
        <v>1964</v>
      </c>
      <c r="F1125" s="303" t="s">
        <v>1846</v>
      </c>
      <c r="G1125" s="303" t="s">
        <v>1959</v>
      </c>
      <c r="H1125" s="303" t="s">
        <v>1956</v>
      </c>
      <c r="I1125" s="304">
        <v>500000</v>
      </c>
      <c r="J1125" s="303" t="s">
        <v>1967</v>
      </c>
      <c r="K1125" s="303" t="s">
        <v>1957</v>
      </c>
      <c r="L1125" s="303" t="s">
        <v>1956</v>
      </c>
      <c r="M1125" s="303" t="s">
        <v>1970</v>
      </c>
      <c r="N1125" s="303" t="s">
        <v>1977</v>
      </c>
      <c r="O1125" s="303" t="s">
        <v>1976</v>
      </c>
      <c r="P1125" s="328">
        <v>43473</v>
      </c>
      <c r="Q1125" s="303" t="s">
        <v>1952</v>
      </c>
      <c r="R1125" s="303">
        <f t="shared" si="21"/>
        <v>1</v>
      </c>
      <c r="S1125" s="303">
        <v>0</v>
      </c>
    </row>
    <row r="1126" spans="1:19" x14ac:dyDescent="0.25">
      <c r="A1126" s="303" t="s">
        <v>1981</v>
      </c>
      <c r="B1126" s="303" t="s">
        <v>1980</v>
      </c>
      <c r="C1126" s="328">
        <v>43473</v>
      </c>
      <c r="D1126" s="303" t="s">
        <v>1961</v>
      </c>
      <c r="E1126" s="303" t="s">
        <v>1960</v>
      </c>
      <c r="F1126" s="303" t="s">
        <v>1846</v>
      </c>
      <c r="G1126" s="303" t="s">
        <v>1959</v>
      </c>
      <c r="H1126" s="303" t="s">
        <v>1956</v>
      </c>
      <c r="I1126" s="304">
        <v>-500000</v>
      </c>
      <c r="J1126" s="303" t="s">
        <v>1967</v>
      </c>
      <c r="K1126" s="303" t="s">
        <v>1957</v>
      </c>
      <c r="L1126" s="303" t="s">
        <v>1956</v>
      </c>
      <c r="M1126" s="303" t="s">
        <v>1970</v>
      </c>
      <c r="N1126" s="303" t="s">
        <v>1977</v>
      </c>
      <c r="O1126" s="303" t="s">
        <v>1976</v>
      </c>
      <c r="P1126" s="328">
        <v>43473</v>
      </c>
      <c r="Q1126" s="303" t="s">
        <v>1952</v>
      </c>
      <c r="R1126" s="303">
        <f t="shared" si="21"/>
        <v>1</v>
      </c>
      <c r="S1126" s="303">
        <v>0</v>
      </c>
    </row>
    <row r="1127" spans="1:19" x14ac:dyDescent="0.25">
      <c r="A1127" s="303" t="s">
        <v>1979</v>
      </c>
      <c r="B1127" s="303" t="s">
        <v>1978</v>
      </c>
      <c r="C1127" s="328">
        <v>43473</v>
      </c>
      <c r="D1127" s="303" t="s">
        <v>1965</v>
      </c>
      <c r="E1127" s="303" t="s">
        <v>1964</v>
      </c>
      <c r="F1127" s="303" t="s">
        <v>1846</v>
      </c>
      <c r="G1127" s="303" t="s">
        <v>1959</v>
      </c>
      <c r="H1127" s="303" t="s">
        <v>1956</v>
      </c>
      <c r="I1127" s="304">
        <v>500000</v>
      </c>
      <c r="J1127" s="303" t="s">
        <v>1967</v>
      </c>
      <c r="K1127" s="303" t="s">
        <v>1957</v>
      </c>
      <c r="L1127" s="303" t="s">
        <v>1956</v>
      </c>
      <c r="M1127" s="303" t="s">
        <v>1966</v>
      </c>
      <c r="N1127" s="303" t="s">
        <v>1977</v>
      </c>
      <c r="O1127" s="303" t="s">
        <v>1976</v>
      </c>
      <c r="P1127" s="328">
        <v>43473</v>
      </c>
      <c r="Q1127" s="303" t="s">
        <v>1952</v>
      </c>
      <c r="R1127" s="303">
        <f t="shared" si="21"/>
        <v>1</v>
      </c>
      <c r="S1127" s="303">
        <v>0</v>
      </c>
    </row>
    <row r="1128" spans="1:19" x14ac:dyDescent="0.25">
      <c r="A1128" s="303" t="s">
        <v>1979</v>
      </c>
      <c r="B1128" s="303" t="s">
        <v>1978</v>
      </c>
      <c r="C1128" s="328">
        <v>43473</v>
      </c>
      <c r="D1128" s="303" t="s">
        <v>1961</v>
      </c>
      <c r="E1128" s="303" t="s">
        <v>1960</v>
      </c>
      <c r="F1128" s="303" t="s">
        <v>1846</v>
      </c>
      <c r="G1128" s="303" t="s">
        <v>1959</v>
      </c>
      <c r="H1128" s="303" t="s">
        <v>1956</v>
      </c>
      <c r="I1128" s="304">
        <v>-500000</v>
      </c>
      <c r="J1128" s="303" t="s">
        <v>1967</v>
      </c>
      <c r="K1128" s="303" t="s">
        <v>1957</v>
      </c>
      <c r="L1128" s="303" t="s">
        <v>1956</v>
      </c>
      <c r="M1128" s="303" t="s">
        <v>1966</v>
      </c>
      <c r="N1128" s="303" t="s">
        <v>1977</v>
      </c>
      <c r="O1128" s="303" t="s">
        <v>1976</v>
      </c>
      <c r="P1128" s="328">
        <v>43473</v>
      </c>
      <c r="Q1128" s="303" t="s">
        <v>1952</v>
      </c>
      <c r="R1128" s="303">
        <f t="shared" si="21"/>
        <v>1</v>
      </c>
      <c r="S1128" s="303">
        <v>0</v>
      </c>
    </row>
    <row r="1129" spans="1:19" x14ac:dyDescent="0.25">
      <c r="A1129" s="303" t="s">
        <v>1975</v>
      </c>
      <c r="B1129" s="303" t="s">
        <v>1974</v>
      </c>
      <c r="C1129" s="328">
        <v>43474</v>
      </c>
      <c r="D1129" s="303" t="s">
        <v>1965</v>
      </c>
      <c r="E1129" s="303" t="s">
        <v>1964</v>
      </c>
      <c r="F1129" s="303" t="s">
        <v>1846</v>
      </c>
      <c r="G1129" s="303" t="s">
        <v>1959</v>
      </c>
      <c r="H1129" s="303" t="s">
        <v>1956</v>
      </c>
      <c r="I1129" s="304">
        <v>-460002</v>
      </c>
      <c r="J1129" s="303" t="s">
        <v>1967</v>
      </c>
      <c r="K1129" s="303" t="s">
        <v>1959</v>
      </c>
      <c r="L1129" s="303" t="s">
        <v>1956</v>
      </c>
      <c r="M1129" s="303" t="s">
        <v>1973</v>
      </c>
      <c r="N1129" s="303" t="s">
        <v>1954</v>
      </c>
      <c r="O1129" s="303" t="s">
        <v>1953</v>
      </c>
      <c r="P1129" s="328">
        <v>43474</v>
      </c>
      <c r="Q1129" s="303" t="s">
        <v>1952</v>
      </c>
      <c r="R1129" s="303">
        <f t="shared" si="21"/>
        <v>1</v>
      </c>
      <c r="S1129" s="303">
        <v>0</v>
      </c>
    </row>
    <row r="1130" spans="1:19" x14ac:dyDescent="0.25">
      <c r="A1130" s="303" t="s">
        <v>1975</v>
      </c>
      <c r="B1130" s="303" t="s">
        <v>1974</v>
      </c>
      <c r="C1130" s="328">
        <v>43474</v>
      </c>
      <c r="D1130" s="303" t="s">
        <v>1961</v>
      </c>
      <c r="E1130" s="303" t="s">
        <v>1960</v>
      </c>
      <c r="F1130" s="303" t="s">
        <v>1846</v>
      </c>
      <c r="G1130" s="303" t="s">
        <v>1959</v>
      </c>
      <c r="H1130" s="303" t="s">
        <v>1956</v>
      </c>
      <c r="I1130" s="304">
        <v>460002</v>
      </c>
      <c r="J1130" s="303" t="s">
        <v>1967</v>
      </c>
      <c r="K1130" s="303" t="s">
        <v>1959</v>
      </c>
      <c r="L1130" s="303" t="s">
        <v>1956</v>
      </c>
      <c r="M1130" s="303" t="s">
        <v>1973</v>
      </c>
      <c r="N1130" s="303" t="s">
        <v>1954</v>
      </c>
      <c r="O1130" s="303" t="s">
        <v>1953</v>
      </c>
      <c r="P1130" s="328">
        <v>43474</v>
      </c>
      <c r="Q1130" s="303" t="s">
        <v>1952</v>
      </c>
      <c r="R1130" s="303">
        <f t="shared" si="21"/>
        <v>1</v>
      </c>
      <c r="S1130" s="303">
        <v>0</v>
      </c>
    </row>
    <row r="1131" spans="1:19" x14ac:dyDescent="0.25">
      <c r="A1131" s="303" t="s">
        <v>1972</v>
      </c>
      <c r="B1131" s="303" t="s">
        <v>1971</v>
      </c>
      <c r="C1131" s="328">
        <v>43474</v>
      </c>
      <c r="D1131" s="303" t="s">
        <v>1965</v>
      </c>
      <c r="E1131" s="303" t="s">
        <v>1964</v>
      </c>
      <c r="F1131" s="303" t="s">
        <v>1846</v>
      </c>
      <c r="G1131" s="303" t="s">
        <v>1959</v>
      </c>
      <c r="H1131" s="303" t="s">
        <v>1956</v>
      </c>
      <c r="I1131" s="304">
        <v>-500000</v>
      </c>
      <c r="J1131" s="303" t="s">
        <v>1967</v>
      </c>
      <c r="K1131" s="303" t="s">
        <v>1957</v>
      </c>
      <c r="L1131" s="303" t="s">
        <v>1956</v>
      </c>
      <c r="M1131" s="303" t="s">
        <v>1970</v>
      </c>
      <c r="N1131" s="303" t="s">
        <v>1954</v>
      </c>
      <c r="O1131" s="303" t="s">
        <v>1953</v>
      </c>
      <c r="P1131" s="328">
        <v>43474</v>
      </c>
      <c r="Q1131" s="303" t="s">
        <v>1952</v>
      </c>
      <c r="R1131" s="303">
        <f t="shared" si="21"/>
        <v>1</v>
      </c>
      <c r="S1131" s="303">
        <v>0</v>
      </c>
    </row>
    <row r="1132" spans="1:19" x14ac:dyDescent="0.25">
      <c r="A1132" s="303" t="s">
        <v>1972</v>
      </c>
      <c r="B1132" s="303" t="s">
        <v>1971</v>
      </c>
      <c r="C1132" s="328">
        <v>43474</v>
      </c>
      <c r="D1132" s="303" t="s">
        <v>1961</v>
      </c>
      <c r="E1132" s="303" t="s">
        <v>1960</v>
      </c>
      <c r="F1132" s="303" t="s">
        <v>1846</v>
      </c>
      <c r="G1132" s="303" t="s">
        <v>1959</v>
      </c>
      <c r="H1132" s="303" t="s">
        <v>1956</v>
      </c>
      <c r="I1132" s="304">
        <v>500000</v>
      </c>
      <c r="J1132" s="303" t="s">
        <v>1967</v>
      </c>
      <c r="K1132" s="303" t="s">
        <v>1957</v>
      </c>
      <c r="L1132" s="303" t="s">
        <v>1956</v>
      </c>
      <c r="M1132" s="303" t="s">
        <v>1970</v>
      </c>
      <c r="N1132" s="303" t="s">
        <v>1954</v>
      </c>
      <c r="O1132" s="303" t="s">
        <v>1953</v>
      </c>
      <c r="P1132" s="328">
        <v>43474</v>
      </c>
      <c r="Q1132" s="303" t="s">
        <v>1952</v>
      </c>
      <c r="R1132" s="303">
        <f t="shared" si="21"/>
        <v>1</v>
      </c>
      <c r="S1132" s="303">
        <v>0</v>
      </c>
    </row>
    <row r="1133" spans="1:19" x14ac:dyDescent="0.25">
      <c r="A1133" s="303" t="s">
        <v>1969</v>
      </c>
      <c r="B1133" s="303" t="s">
        <v>1968</v>
      </c>
      <c r="C1133" s="328">
        <v>43474</v>
      </c>
      <c r="D1133" s="303" t="s">
        <v>1965</v>
      </c>
      <c r="E1133" s="303" t="s">
        <v>1964</v>
      </c>
      <c r="F1133" s="303" t="s">
        <v>1846</v>
      </c>
      <c r="G1133" s="303" t="s">
        <v>1959</v>
      </c>
      <c r="H1133" s="303" t="s">
        <v>1956</v>
      </c>
      <c r="I1133" s="304">
        <v>-500000</v>
      </c>
      <c r="J1133" s="303" t="s">
        <v>1967</v>
      </c>
      <c r="K1133" s="303" t="s">
        <v>1957</v>
      </c>
      <c r="L1133" s="303" t="s">
        <v>1956</v>
      </c>
      <c r="M1133" s="303" t="s">
        <v>1966</v>
      </c>
      <c r="N1133" s="303" t="s">
        <v>1954</v>
      </c>
      <c r="O1133" s="303" t="s">
        <v>1953</v>
      </c>
      <c r="P1133" s="328">
        <v>43474</v>
      </c>
      <c r="Q1133" s="303" t="s">
        <v>1952</v>
      </c>
      <c r="R1133" s="303">
        <f t="shared" si="21"/>
        <v>1</v>
      </c>
      <c r="S1133" s="303">
        <v>0</v>
      </c>
    </row>
    <row r="1134" spans="1:19" x14ac:dyDescent="0.25">
      <c r="A1134" s="303" t="s">
        <v>1969</v>
      </c>
      <c r="B1134" s="303" t="s">
        <v>1968</v>
      </c>
      <c r="C1134" s="328">
        <v>43474</v>
      </c>
      <c r="D1134" s="303" t="s">
        <v>1961</v>
      </c>
      <c r="E1134" s="303" t="s">
        <v>1960</v>
      </c>
      <c r="F1134" s="303" t="s">
        <v>1846</v>
      </c>
      <c r="G1134" s="303" t="s">
        <v>1959</v>
      </c>
      <c r="H1134" s="303" t="s">
        <v>1956</v>
      </c>
      <c r="I1134" s="304">
        <v>500000</v>
      </c>
      <c r="J1134" s="303" t="s">
        <v>1967</v>
      </c>
      <c r="K1134" s="303" t="s">
        <v>1957</v>
      </c>
      <c r="L1134" s="303" t="s">
        <v>1956</v>
      </c>
      <c r="M1134" s="303" t="s">
        <v>1966</v>
      </c>
      <c r="N1134" s="303" t="s">
        <v>1954</v>
      </c>
      <c r="O1134" s="303" t="s">
        <v>1953</v>
      </c>
      <c r="P1134" s="328">
        <v>43474</v>
      </c>
      <c r="Q1134" s="303" t="s">
        <v>1952</v>
      </c>
      <c r="R1134" s="303">
        <f t="shared" si="21"/>
        <v>1</v>
      </c>
      <c r="S1134" s="303">
        <v>0</v>
      </c>
    </row>
    <row r="1135" spans="1:19" x14ac:dyDescent="0.25">
      <c r="A1135" s="303" t="s">
        <v>1963</v>
      </c>
      <c r="B1135" s="303" t="s">
        <v>1962</v>
      </c>
      <c r="C1135" s="328">
        <v>43474</v>
      </c>
      <c r="D1135" s="303" t="s">
        <v>1965</v>
      </c>
      <c r="E1135" s="303" t="s">
        <v>1964</v>
      </c>
      <c r="F1135" s="303" t="s">
        <v>1846</v>
      </c>
      <c r="G1135" s="303" t="s">
        <v>1959</v>
      </c>
      <c r="H1135" s="303" t="s">
        <v>1956</v>
      </c>
      <c r="I1135" s="304">
        <v>-343100</v>
      </c>
      <c r="J1135" s="303" t="s">
        <v>1958</v>
      </c>
      <c r="K1135" s="303" t="s">
        <v>1957</v>
      </c>
      <c r="L1135" s="303" t="s">
        <v>1956</v>
      </c>
      <c r="M1135" s="303" t="s">
        <v>1955</v>
      </c>
      <c r="N1135" s="303" t="s">
        <v>1954</v>
      </c>
      <c r="O1135" s="303" t="s">
        <v>1953</v>
      </c>
      <c r="P1135" s="328">
        <v>43474</v>
      </c>
      <c r="Q1135" s="303" t="s">
        <v>1952</v>
      </c>
      <c r="R1135" s="303">
        <f t="shared" si="21"/>
        <v>1</v>
      </c>
      <c r="S1135" s="303">
        <v>0</v>
      </c>
    </row>
    <row r="1136" spans="1:19" x14ac:dyDescent="0.25">
      <c r="A1136" s="303" t="s">
        <v>1963</v>
      </c>
      <c r="B1136" s="303" t="s">
        <v>1962</v>
      </c>
      <c r="C1136" s="328">
        <v>43474</v>
      </c>
      <c r="D1136" s="303" t="s">
        <v>1961</v>
      </c>
      <c r="E1136" s="303" t="s">
        <v>1960</v>
      </c>
      <c r="F1136" s="303" t="s">
        <v>1846</v>
      </c>
      <c r="G1136" s="303" t="s">
        <v>1959</v>
      </c>
      <c r="H1136" s="303" t="s">
        <v>1956</v>
      </c>
      <c r="I1136" s="304">
        <v>343100</v>
      </c>
      <c r="J1136" s="303" t="s">
        <v>1958</v>
      </c>
      <c r="K1136" s="303" t="s">
        <v>1957</v>
      </c>
      <c r="L1136" s="303" t="s">
        <v>1956</v>
      </c>
      <c r="M1136" s="303" t="s">
        <v>1955</v>
      </c>
      <c r="N1136" s="303" t="s">
        <v>1954</v>
      </c>
      <c r="O1136" s="303" t="s">
        <v>1953</v>
      </c>
      <c r="P1136" s="328">
        <v>43474</v>
      </c>
      <c r="Q1136" s="303" t="s">
        <v>1952</v>
      </c>
      <c r="R1136" s="303">
        <f t="shared" si="21"/>
        <v>1</v>
      </c>
      <c r="S1136" s="303">
        <v>0</v>
      </c>
    </row>
  </sheetData>
  <autoFilter ref="A1:S1136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Menu</vt:lpstr>
      <vt:lpstr>analyse</vt:lpstr>
      <vt:lpstr>Modif</vt:lpstr>
      <vt:lpstr>Param</vt:lpstr>
      <vt:lpstr>Faculty Members_List</vt:lpstr>
      <vt:lpstr>Faculty Members_Stat</vt:lpstr>
      <vt:lpstr>Faculty Members_StatGph</vt:lpstr>
      <vt:lpstr>Simul</vt:lpstr>
      <vt:lpstr>recap_Incmpres</vt:lpstr>
      <vt:lpstr>envB2018</vt:lpstr>
      <vt:lpstr>Transferts2018_EnvB</vt:lpstr>
    </vt:vector>
  </TitlesOfParts>
  <Company>EPFL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Natacha Blanc</dc:creator>
  <cp:lastModifiedBy>Drouillard Marie</cp:lastModifiedBy>
  <cp:lastPrinted>2018-04-13T16:59:45Z</cp:lastPrinted>
  <dcterms:created xsi:type="dcterms:W3CDTF">2012-06-27T09:16:19Z</dcterms:created>
  <dcterms:modified xsi:type="dcterms:W3CDTF">2019-08-12T09:48:10Z</dcterms:modified>
</cp:coreProperties>
</file>