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to5911\Desktop\"/>
    </mc:Choice>
  </mc:AlternateContent>
  <bookViews>
    <workbookView xWindow="0" yWindow="0" windowWidth="21855" windowHeight="8055" tabRatio="768" activeTab="5"/>
  </bookViews>
  <sheets>
    <sheet name="Part1-MieParam" sheetId="4" r:id="rId1"/>
    <sheet name="Part1-AlbedoModel" sheetId="6" r:id="rId2"/>
    <sheet name="Part2-BRDFmodel" sheetId="9" r:id="rId3"/>
    <sheet name="Part3-AlbedoCalculations" sheetId="7" r:id="rId4"/>
    <sheet name="Part4-ImageCalculations" sheetId="10" r:id="rId5"/>
    <sheet name="Part4-DustCalculations" sheetId="11" r:id="rId6"/>
    <sheet name="Ice" sheetId="1" state="hidden" r:id="rId7"/>
    <sheet name="Dust" sheetId="2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1" l="1"/>
  <c r="G31" i="11"/>
  <c r="F32" i="11"/>
  <c r="F31" i="11"/>
  <c r="G57" i="9"/>
  <c r="D59" i="9"/>
  <c r="F56" i="9"/>
  <c r="E56" i="9"/>
  <c r="A52" i="9"/>
  <c r="H32" i="11" l="1"/>
  <c r="J32" i="11" s="1"/>
  <c r="H31" i="11"/>
  <c r="I31" i="11"/>
  <c r="J31" i="11"/>
  <c r="G58" i="9"/>
  <c r="G59" i="9"/>
  <c r="I32" i="11" l="1"/>
  <c r="K23" i="11" l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K19" i="11" s="1"/>
  <c r="I18" i="11"/>
  <c r="J18" i="11" s="1"/>
  <c r="I17" i="11"/>
  <c r="J17" i="11" s="1"/>
  <c r="D22" i="11"/>
  <c r="E22" i="11" s="1"/>
  <c r="D21" i="11"/>
  <c r="E21" i="11" s="1"/>
  <c r="D20" i="11"/>
  <c r="E20" i="11" s="1"/>
  <c r="D19" i="11"/>
  <c r="E19" i="11" s="1"/>
  <c r="D18" i="11"/>
  <c r="E18" i="11" s="1"/>
  <c r="D26" i="11"/>
  <c r="E26" i="11" s="1"/>
  <c r="D17" i="11"/>
  <c r="E17" i="11" s="1"/>
  <c r="D25" i="11"/>
  <c r="E25" i="11" s="1"/>
  <c r="D24" i="11"/>
  <c r="E24" i="11" s="1"/>
  <c r="D23" i="11"/>
  <c r="E23" i="11" s="1"/>
  <c r="K17" i="11" l="1"/>
  <c r="K20" i="11"/>
  <c r="K21" i="11"/>
  <c r="K24" i="11"/>
  <c r="K25" i="11"/>
  <c r="K22" i="11"/>
  <c r="J19" i="11"/>
  <c r="K26" i="11"/>
  <c r="K18" i="11"/>
  <c r="G12" i="11"/>
  <c r="F12" i="11"/>
  <c r="G11" i="11"/>
  <c r="F11" i="11"/>
  <c r="G5" i="11"/>
  <c r="F5" i="11"/>
  <c r="G4" i="11"/>
  <c r="F4" i="11"/>
  <c r="G10" i="11"/>
  <c r="F10" i="11"/>
  <c r="G9" i="11"/>
  <c r="F9" i="11"/>
  <c r="G8" i="11"/>
  <c r="F8" i="11"/>
  <c r="H8" i="11" s="1"/>
  <c r="J8" i="11" s="1"/>
  <c r="G7" i="11"/>
  <c r="F7" i="11"/>
  <c r="G6" i="11"/>
  <c r="F6" i="11"/>
  <c r="G3" i="11"/>
  <c r="F3" i="11"/>
  <c r="E19" i="10"/>
  <c r="E20" i="10"/>
  <c r="E21" i="10"/>
  <c r="E22" i="10"/>
  <c r="E23" i="10"/>
  <c r="E24" i="10"/>
  <c r="E25" i="10"/>
  <c r="E26" i="10"/>
  <c r="E27" i="10"/>
  <c r="E18" i="10"/>
  <c r="AK44" i="6"/>
  <c r="D44" i="6"/>
  <c r="AK46" i="6"/>
  <c r="AK45" i="6"/>
  <c r="AJ44" i="6"/>
  <c r="AI44" i="6"/>
  <c r="AH44" i="6"/>
  <c r="AH46" i="6"/>
  <c r="AH45" i="6"/>
  <c r="AG44" i="6"/>
  <c r="AF44" i="6"/>
  <c r="AE44" i="6"/>
  <c r="AE46" i="6"/>
  <c r="AE45" i="6"/>
  <c r="AD44" i="6"/>
  <c r="AC44" i="6"/>
  <c r="AH47" i="6"/>
  <c r="AB44" i="6"/>
  <c r="AB47" i="6"/>
  <c r="AB46" i="6"/>
  <c r="AB45" i="6"/>
  <c r="AA44" i="6"/>
  <c r="Z44" i="6"/>
  <c r="AK43" i="4"/>
  <c r="AJ43" i="4"/>
  <c r="AI43" i="4"/>
  <c r="AH43" i="4"/>
  <c r="AG43" i="4"/>
  <c r="AF43" i="4"/>
  <c r="AE43" i="4"/>
  <c r="AD43" i="4"/>
  <c r="AC43" i="4"/>
  <c r="AB43" i="4"/>
  <c r="AA43" i="4"/>
  <c r="Z43" i="4"/>
  <c r="AK47" i="6"/>
  <c r="AE47" i="6"/>
  <c r="D11" i="10"/>
  <c r="E11" i="10" s="1"/>
  <c r="D7" i="10"/>
  <c r="E7" i="10" s="1"/>
  <c r="D9" i="10"/>
  <c r="E9" i="10" s="1"/>
  <c r="D10" i="10"/>
  <c r="E10" i="10" s="1"/>
  <c r="D12" i="10"/>
  <c r="E12" i="10"/>
  <c r="D6" i="10"/>
  <c r="E6" i="10" s="1"/>
  <c r="D5" i="10"/>
  <c r="E5" i="10"/>
  <c r="D14" i="10"/>
  <c r="E14" i="10"/>
  <c r="D13" i="10"/>
  <c r="E13" i="10"/>
  <c r="D8" i="10"/>
  <c r="E8" i="10" s="1"/>
  <c r="AN43" i="4"/>
  <c r="AM43" i="4"/>
  <c r="AL43" i="4"/>
  <c r="S44" i="7"/>
  <c r="AB44" i="7"/>
  <c r="Y44" i="7"/>
  <c r="P44" i="7"/>
  <c r="M44" i="7"/>
  <c r="J44" i="7"/>
  <c r="G44" i="7"/>
  <c r="D44" i="7"/>
  <c r="BS11" i="9"/>
  <c r="BS10" i="9"/>
  <c r="BS9" i="9"/>
  <c r="BS8" i="9"/>
  <c r="BS7" i="9"/>
  <c r="BS6" i="9"/>
  <c r="BS12" i="9"/>
  <c r="AK44" i="9"/>
  <c r="AK47" i="9" s="1"/>
  <c r="AZ44" i="9"/>
  <c r="AZ47" i="9" s="1"/>
  <c r="AW44" i="9"/>
  <c r="AW47" i="9" s="1"/>
  <c r="AT44" i="9"/>
  <c r="AT47" i="9" s="1"/>
  <c r="AQ44" i="9"/>
  <c r="AQ47" i="9" s="1"/>
  <c r="AN44" i="9"/>
  <c r="AN47" i="9" s="1"/>
  <c r="AH44" i="9"/>
  <c r="AE44" i="9"/>
  <c r="AE47" i="9" s="1"/>
  <c r="AB44" i="9"/>
  <c r="AB47" i="9" s="1"/>
  <c r="Y44" i="9"/>
  <c r="Y47" i="9"/>
  <c r="V44" i="9"/>
  <c r="S44" i="9"/>
  <c r="S47" i="9" s="1"/>
  <c r="P44" i="9"/>
  <c r="P47" i="9" s="1"/>
  <c r="M44" i="9"/>
  <c r="J44" i="9"/>
  <c r="J47" i="9" s="1"/>
  <c r="G44" i="9"/>
  <c r="G47" i="9" s="1"/>
  <c r="AV44" i="9"/>
  <c r="AU44" i="9"/>
  <c r="AR44" i="9"/>
  <c r="AS44" i="9"/>
  <c r="AP44" i="9"/>
  <c r="AO44" i="9"/>
  <c r="AM44" i="9"/>
  <c r="AL44" i="9"/>
  <c r="AJ44" i="9"/>
  <c r="AI44" i="9"/>
  <c r="AG44" i="9"/>
  <c r="AF44" i="9"/>
  <c r="AD44" i="9"/>
  <c r="AC44" i="9"/>
  <c r="AA44" i="9"/>
  <c r="Z44" i="9"/>
  <c r="X44" i="9"/>
  <c r="W44" i="9"/>
  <c r="U44" i="9"/>
  <c r="T44" i="9"/>
  <c r="R44" i="9"/>
  <c r="L44" i="9"/>
  <c r="K44" i="9"/>
  <c r="I44" i="9"/>
  <c r="H44" i="9"/>
  <c r="F44" i="9"/>
  <c r="E44" i="9"/>
  <c r="AY44" i="9"/>
  <c r="AX44" i="9"/>
  <c r="O44" i="9"/>
  <c r="N44" i="9"/>
  <c r="Q44" i="9"/>
  <c r="D44" i="9"/>
  <c r="AQ45" i="9" s="1"/>
  <c r="C44" i="9"/>
  <c r="B44" i="9"/>
  <c r="V47" i="9"/>
  <c r="V45" i="9"/>
  <c r="G45" i="9"/>
  <c r="AB47" i="7"/>
  <c r="D47" i="7"/>
  <c r="AB46" i="7"/>
  <c r="AA44" i="7"/>
  <c r="Z44" i="7"/>
  <c r="X44" i="7"/>
  <c r="W44" i="7"/>
  <c r="V44" i="7"/>
  <c r="V46" i="7"/>
  <c r="U44" i="7"/>
  <c r="T44" i="7"/>
  <c r="R44" i="7"/>
  <c r="Q44" i="7"/>
  <c r="O44" i="7"/>
  <c r="N44" i="7"/>
  <c r="L44" i="7"/>
  <c r="K44" i="7"/>
  <c r="I44" i="7"/>
  <c r="H44" i="7"/>
  <c r="F44" i="7"/>
  <c r="E44" i="7"/>
  <c r="C44" i="7"/>
  <c r="B44" i="7"/>
  <c r="Y46" i="7"/>
  <c r="Y47" i="7"/>
  <c r="S46" i="7"/>
  <c r="S47" i="7"/>
  <c r="P46" i="7"/>
  <c r="P47" i="7"/>
  <c r="M46" i="7"/>
  <c r="M47" i="7"/>
  <c r="J46" i="7"/>
  <c r="J47" i="7"/>
  <c r="G46" i="7"/>
  <c r="G47" i="7"/>
  <c r="G45" i="7"/>
  <c r="J45" i="7"/>
  <c r="M45" i="7"/>
  <c r="P45" i="7"/>
  <c r="S45" i="7"/>
  <c r="V45" i="7"/>
  <c r="Y45" i="7"/>
  <c r="AB45" i="7"/>
  <c r="AM44" i="6"/>
  <c r="AN44" i="6"/>
  <c r="AN47" i="6"/>
  <c r="AL44" i="6"/>
  <c r="C44" i="6"/>
  <c r="E44" i="6"/>
  <c r="F44" i="6"/>
  <c r="G44" i="6"/>
  <c r="G47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V47" i="6"/>
  <c r="W44" i="6"/>
  <c r="X44" i="6"/>
  <c r="Y44" i="6"/>
  <c r="B44" i="6"/>
  <c r="P46" i="6"/>
  <c r="P47" i="6"/>
  <c r="Y46" i="6"/>
  <c r="Y47" i="6"/>
  <c r="AN46" i="6"/>
  <c r="D47" i="6"/>
  <c r="M46" i="6"/>
  <c r="M47" i="6"/>
  <c r="S46" i="6"/>
  <c r="S47" i="6"/>
  <c r="AN45" i="6"/>
  <c r="J45" i="6"/>
  <c r="J47" i="6"/>
  <c r="J46" i="6"/>
  <c r="M45" i="6"/>
  <c r="G46" i="6"/>
  <c r="P45" i="6"/>
  <c r="V46" i="6"/>
  <c r="S45" i="6"/>
  <c r="V45" i="6"/>
  <c r="Y45" i="6"/>
  <c r="G45" i="6"/>
  <c r="C43" i="4"/>
  <c r="B43" i="4"/>
  <c r="D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W475" i="1"/>
  <c r="X475" i="1"/>
  <c r="Y475" i="1"/>
  <c r="T475" i="1"/>
  <c r="U475" i="1"/>
  <c r="V475" i="1"/>
  <c r="Q475" i="1"/>
  <c r="R475" i="1"/>
  <c r="S475" i="1"/>
  <c r="N475" i="1"/>
  <c r="O475" i="1"/>
  <c r="P475" i="1"/>
  <c r="H475" i="1"/>
  <c r="I475" i="1"/>
  <c r="J475" i="1"/>
  <c r="K475" i="1"/>
  <c r="L475" i="1"/>
  <c r="M475" i="1"/>
  <c r="F475" i="1"/>
  <c r="G475" i="1"/>
  <c r="E475" i="1"/>
  <c r="Y46" i="9" l="1"/>
  <c r="AN46" i="9"/>
  <c r="M46" i="9"/>
  <c r="AH45" i="9"/>
  <c r="AN45" i="9"/>
  <c r="V46" i="9"/>
  <c r="AW46" i="9"/>
  <c r="D47" i="9"/>
  <c r="G46" i="9"/>
  <c r="P45" i="9"/>
  <c r="AZ45" i="9"/>
  <c r="M45" i="9"/>
  <c r="AB45" i="9"/>
  <c r="Y45" i="9"/>
  <c r="AB46" i="9"/>
  <c r="AK45" i="9"/>
  <c r="AK46" i="9"/>
  <c r="M47" i="9"/>
  <c r="S46" i="9"/>
  <c r="AT46" i="9"/>
  <c r="S45" i="9"/>
  <c r="AH46" i="9"/>
  <c r="J45" i="9"/>
  <c r="AT45" i="9"/>
  <c r="AH47" i="9"/>
  <c r="AE46" i="9"/>
  <c r="AZ46" i="9"/>
  <c r="AQ46" i="9"/>
  <c r="AE45" i="9"/>
  <c r="P46" i="9"/>
  <c r="AW45" i="9"/>
  <c r="J46" i="9"/>
  <c r="H10" i="11"/>
  <c r="I10" i="11" s="1"/>
  <c r="H5" i="11"/>
  <c r="J5" i="11" s="1"/>
  <c r="H9" i="11"/>
  <c r="J9" i="11" s="1"/>
  <c r="H4" i="11"/>
  <c r="J4" i="11" s="1"/>
  <c r="H11" i="11"/>
  <c r="I11" i="11" s="1"/>
  <c r="H3" i="11"/>
  <c r="I3" i="11" s="1"/>
  <c r="H7" i="11"/>
  <c r="I7" i="11" s="1"/>
  <c r="H6" i="11"/>
  <c r="J6" i="11" s="1"/>
  <c r="H12" i="11"/>
  <c r="J12" i="11" s="1"/>
  <c r="I5" i="11"/>
  <c r="I6" i="11"/>
  <c r="I8" i="11"/>
  <c r="J11" i="11" l="1"/>
  <c r="I9" i="11"/>
  <c r="J10" i="11"/>
  <c r="I4" i="11"/>
  <c r="J7" i="11"/>
  <c r="J3" i="11"/>
  <c r="I12" i="11"/>
</calcChain>
</file>

<file path=xl/sharedStrings.xml><?xml version="1.0" encoding="utf-8"?>
<sst xmlns="http://schemas.openxmlformats.org/spreadsheetml/2006/main" count="487" uniqueCount="194">
  <si>
    <t>**for particles with r=10*10^-6m (10 micron)</t>
  </si>
  <si>
    <t>Pure Ice</t>
  </si>
  <si>
    <t>D=2.76 (Niahm); n=.0057</t>
  </si>
  <si>
    <t>D=5.68 (Avagddu); n=.0013</t>
  </si>
  <si>
    <t>D=7.78 (Math); n=.00169</t>
  </si>
  <si>
    <t>D=9.80 (Cilix); n=.00202</t>
  </si>
  <si>
    <t>D=11.44 (Manannan); n=.00233</t>
  </si>
  <si>
    <t>D=13.88 (Taleisin); n=.00281</t>
  </si>
  <si>
    <t>D=14.78 (Tegid); n=.00289</t>
  </si>
  <si>
    <t>D=3.62 (Oisin); n=.000899</t>
  </si>
  <si>
    <t>D=3.87 (Uaithne); n=.000961</t>
  </si>
  <si>
    <t>D=15.34 (Callanish); n=.00298</t>
  </si>
  <si>
    <t>D=22.34 (Tyre); n=.00405</t>
  </si>
  <si>
    <t>Pure Dust</t>
  </si>
  <si>
    <t>Wavelength</t>
  </si>
  <si>
    <t>Q(H20)</t>
  </si>
  <si>
    <t>W(H20)</t>
  </si>
  <si>
    <t>G(H20)</t>
  </si>
  <si>
    <t>Qmix1</t>
  </si>
  <si>
    <t>Wmix1</t>
  </si>
  <si>
    <t>Gmix1</t>
  </si>
  <si>
    <t>Qmix2</t>
  </si>
  <si>
    <t>Wmix2</t>
  </si>
  <si>
    <t>Gmix2</t>
  </si>
  <si>
    <t>Qmix3</t>
  </si>
  <si>
    <t>Wmix3</t>
  </si>
  <si>
    <t>Gmix3</t>
  </si>
  <si>
    <t>Qmix4</t>
  </si>
  <si>
    <t>Wmix4</t>
  </si>
  <si>
    <t>Gmix4</t>
  </si>
  <si>
    <t>Qmix5</t>
  </si>
  <si>
    <t>Wmix5</t>
  </si>
  <si>
    <t>Gmix5</t>
  </si>
  <si>
    <t>Qmix6</t>
  </si>
  <si>
    <t>Wmix6</t>
  </si>
  <si>
    <t>Gmix6</t>
  </si>
  <si>
    <t>Qmix7</t>
  </si>
  <si>
    <t>Wmix7</t>
  </si>
  <si>
    <t>Gmix7</t>
  </si>
  <si>
    <t>Qmix78</t>
  </si>
  <si>
    <t>Wmix79</t>
  </si>
  <si>
    <t>Gmix80</t>
  </si>
  <si>
    <t>Qmix75</t>
  </si>
  <si>
    <t>Wmix76</t>
  </si>
  <si>
    <t>Gmix77</t>
  </si>
  <si>
    <t>Qmix72</t>
  </si>
  <si>
    <t>Wmix73</t>
  </si>
  <si>
    <t>Gmix74</t>
  </si>
  <si>
    <t>Qmix8</t>
  </si>
  <si>
    <t>Wmix9</t>
  </si>
  <si>
    <t>Gmix10</t>
  </si>
  <si>
    <t>Q(Dark)</t>
  </si>
  <si>
    <t>W(Dark)</t>
  </si>
  <si>
    <t>A(Dark)</t>
  </si>
  <si>
    <t>Calculated Averages</t>
  </si>
  <si>
    <t>Incedence angle: 45; Emergence angle: 0; Phase angle: 45;</t>
  </si>
  <si>
    <t>A(H20)</t>
  </si>
  <si>
    <t>Amix1</t>
  </si>
  <si>
    <t>Amix2</t>
  </si>
  <si>
    <t>Amix3</t>
  </si>
  <si>
    <t>Amix4</t>
  </si>
  <si>
    <t>Amix5</t>
  </si>
  <si>
    <t>Amix6</t>
  </si>
  <si>
    <t>Amix7</t>
  </si>
  <si>
    <t>Amix80</t>
  </si>
  <si>
    <t>Amix77</t>
  </si>
  <si>
    <t>Amix74</t>
  </si>
  <si>
    <t>Amix10</t>
  </si>
  <si>
    <t>Averages</t>
  </si>
  <si>
    <t>Mix/Ice</t>
  </si>
  <si>
    <t>(Mix-Ice)/Ice</t>
  </si>
  <si>
    <t>Average Albedo</t>
  </si>
  <si>
    <t>n: 1 ice, 0 dust</t>
  </si>
  <si>
    <t>n: 0.99999 ice, 0.00001 dust</t>
  </si>
  <si>
    <t>n: 0.9999 ice, 0.0001 dust</t>
  </si>
  <si>
    <t>n: 0.999 ice, 0.001 dust</t>
  </si>
  <si>
    <t>n: 0.99 ice, 0.01 dust</t>
  </si>
  <si>
    <t>n: 0.9 ice, 0.1 dust</t>
  </si>
  <si>
    <t>n: 0.8 ice, 0.2 dust</t>
  </si>
  <si>
    <t>n: 0.6 ice, 0.4 dust</t>
  </si>
  <si>
    <t>n: 0.5 ice, 0.5 dust</t>
  </si>
  <si>
    <t>n: 0.4 ice, 0.6 dust</t>
  </si>
  <si>
    <t>n: 0.2 ice, 0.8 dust</t>
  </si>
  <si>
    <t>n: 0.1 ice, 0.9 dust</t>
  </si>
  <si>
    <t>n: 0.01 ice, 0.99 dust</t>
  </si>
  <si>
    <t>n: 0.001 ice, 0.999 dust</t>
  </si>
  <si>
    <t>n: 0.0001 ice, 0.9999 dust</t>
  </si>
  <si>
    <t>n: 0.00001 ice, 0.99999 dust</t>
  </si>
  <si>
    <t>n: 0 ice, 1 dust</t>
  </si>
  <si>
    <t>Qmix</t>
  </si>
  <si>
    <t>Wmix</t>
  </si>
  <si>
    <t>Amix</t>
  </si>
  <si>
    <t>Qmix9</t>
  </si>
  <si>
    <t>Amix9</t>
  </si>
  <si>
    <t>Wmix8</t>
  </si>
  <si>
    <t>Amix8</t>
  </si>
  <si>
    <t>Qmix12</t>
  </si>
  <si>
    <t>Qmix10</t>
  </si>
  <si>
    <t>Wmix10</t>
  </si>
  <si>
    <t>Qmix11</t>
  </si>
  <si>
    <t>Wmix11</t>
  </si>
  <si>
    <t>Qmix13</t>
  </si>
  <si>
    <t>Wmix12</t>
  </si>
  <si>
    <t>Qmix14</t>
  </si>
  <si>
    <t>Wmix13</t>
  </si>
  <si>
    <t>Amix744</t>
  </si>
  <si>
    <t>Qmix15</t>
  </si>
  <si>
    <t>Wmix14</t>
  </si>
  <si>
    <t>Amix762</t>
  </si>
  <si>
    <t>Q(Dust)</t>
  </si>
  <si>
    <t>W(Dust)</t>
  </si>
  <si>
    <t>A(Dust)</t>
  </si>
  <si>
    <t>Model Crater N</t>
  </si>
  <si>
    <t>BDRF</t>
  </si>
  <si>
    <t>For regional BRDF Corrections:</t>
  </si>
  <si>
    <t>Concentration</t>
  </si>
  <si>
    <t>New Q</t>
  </si>
  <si>
    <t>New G</t>
  </si>
  <si>
    <t>New W</t>
  </si>
  <si>
    <t>New Qmix</t>
  </si>
  <si>
    <t>New Wmix</t>
  </si>
  <si>
    <t>New Gmix</t>
  </si>
  <si>
    <t>New Amix</t>
  </si>
  <si>
    <t>99.84% ice</t>
  </si>
  <si>
    <t>94.7% ice</t>
  </si>
  <si>
    <t>Link to ImageSpec spreadsheet</t>
  </si>
  <si>
    <t>9842r:: inc: 0.348751691; emi: 0.849312121; theta: 0.50056043</t>
  </si>
  <si>
    <t>4865r:: inc: 1.31377914; emi: .03787364; theta: 1.35135608</t>
  </si>
  <si>
    <t>5139r:: inc: 1.39317417; emi: .340758083; theta: 1.35039615</t>
  </si>
  <si>
    <t>5000r:: inc: .551436777; emi: .455897454; theta: 1.0045068</t>
  </si>
  <si>
    <t>5126r:: inc: .366571503; emi: .434517171; theta: .658495273</t>
  </si>
  <si>
    <t>NO IMAGE INFORMATION</t>
  </si>
  <si>
    <t>D=2.76 (Niamh); n=.0057</t>
  </si>
  <si>
    <t>Crater</t>
  </si>
  <si>
    <t>Model Dust Concentraion</t>
  </si>
  <si>
    <t>Model Avg Albedo</t>
  </si>
  <si>
    <t>82% ice, 18% dust</t>
  </si>
  <si>
    <t>83.5% ice, 16.5% dust</t>
  </si>
  <si>
    <t>D=15.34 (Callanish)</t>
  </si>
  <si>
    <t>86% ice, 14% dust</t>
  </si>
  <si>
    <t>90% ice, 10% dust</t>
  </si>
  <si>
    <t xml:space="preserve">D=3.90 (Uaithne) </t>
  </si>
  <si>
    <t>91% ice, 9% dust</t>
  </si>
  <si>
    <t>D=22.34 (Tyre)</t>
  </si>
  <si>
    <t>93%  ice, 7% dust</t>
  </si>
  <si>
    <t>93.5% ice, 6.5% dust</t>
  </si>
  <si>
    <t>95% ice, 5% dust</t>
  </si>
  <si>
    <t>96% ice, 4% dust</t>
  </si>
  <si>
    <t>D=3.72 (Oisin)</t>
  </si>
  <si>
    <t>96.5% ice, 3.5% dust</t>
  </si>
  <si>
    <t>Difference</t>
  </si>
  <si>
    <t>Comparing these values to the models:</t>
  </si>
  <si>
    <t>(B1) MaskAvg (Dark Stuff)</t>
  </si>
  <si>
    <t>(B2) RevMaskAvg (Light Stuff)</t>
  </si>
  <si>
    <t>(B1-B2)/B2</t>
  </si>
  <si>
    <t>Calibrating for background dust:</t>
  </si>
  <si>
    <t>Latitude</t>
  </si>
  <si>
    <t>Longitude</t>
  </si>
  <si>
    <t>Regional Albedo*</t>
  </si>
  <si>
    <t>Regional BRDF</t>
  </si>
  <si>
    <t>Background Dust Concentration</t>
  </si>
  <si>
    <t>Ejecta Concentration</t>
  </si>
  <si>
    <t>99.84% ice, 0.16% dust</t>
  </si>
  <si>
    <t>97% ice, 3% dust</t>
  </si>
  <si>
    <t>98.5% ice, 1.5% dust</t>
  </si>
  <si>
    <t>94.7% ice, 5.3% dust</t>
  </si>
  <si>
    <t>99.6% ice, 0.4% dust</t>
  </si>
  <si>
    <t>99.7% ice, 0.3% dust</t>
  </si>
  <si>
    <t>99.1% ice, 0.9% dust</t>
  </si>
  <si>
    <t>D=3.90 (Uaithne)</t>
  </si>
  <si>
    <t>99% ice, 1% dust</t>
  </si>
  <si>
    <t>99.8% ice, 0.2% dust</t>
  </si>
  <si>
    <t>Background Concentration</t>
  </si>
  <si>
    <t>Ejecta Mass</t>
  </si>
  <si>
    <t>Impactor Mass</t>
  </si>
  <si>
    <t>Ejecta Dust Mass (Ejecta Mass * Ejecta dust concentration)</t>
  </si>
  <si>
    <t>Background Dust Contribution (Ejecta Mass * Background Dust Concentration)</t>
  </si>
  <si>
    <t>Externally-Contributed Dust (Ejecta Dust - Background Dust)</t>
  </si>
  <si>
    <t>[Externally-Contributed Dust Mass] - [Impactor Mass]</t>
  </si>
  <si>
    <t>[Externally-Contributed Dust Mass]/[Impactor Mass]</t>
  </si>
  <si>
    <t>Q</t>
  </si>
  <si>
    <t>W</t>
  </si>
  <si>
    <t>G</t>
  </si>
  <si>
    <t>**for particles with r=1*10^-6m (1 micron)</t>
  </si>
  <si>
    <t>Ejecta Dust Mass - Impactor Mass</t>
  </si>
  <si>
    <t>Ejecta Dust Mass/Impactor Mass</t>
  </si>
  <si>
    <t>Calibrated Rates</t>
  </si>
  <si>
    <t>Uncalibrated Rates</t>
  </si>
  <si>
    <t>98.25% ice</t>
  </si>
  <si>
    <t>FOR TESTING</t>
  </si>
  <si>
    <t>Alternate Low Albedo</t>
  </si>
  <si>
    <t>98.25% ice, 1.75% dust</t>
  </si>
  <si>
    <t>Concentration Tests</t>
  </si>
  <si>
    <t>*max low value*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</si>
</sst>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00"/>
    <numFmt numFmtId="166" formatCode="0.00000000"/>
    <numFmt numFmtId="167" formatCode="0.000"/>
    <numFmt numFmtId="168" formatCode="0.0000000000"/>
    <numFmt numFmtId="169" formatCode="0.000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u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3" fillId="0" borderId="5" xfId="0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165" fontId="0" fillId="0" borderId="5" xfId="0" applyNumberFormat="1" applyBorder="1" applyAlignment="1">
      <alignment horizontal="left"/>
    </xf>
    <xf numFmtId="0" fontId="0" fillId="7" borderId="0" xfId="0" applyFill="1"/>
    <xf numFmtId="0" fontId="0" fillId="2" borderId="0" xfId="0" applyFill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7" borderId="10" xfId="0" applyFill="1" applyBorder="1"/>
    <xf numFmtId="0" fontId="0" fillId="7" borderId="7" xfId="0" applyFill="1" applyBorder="1"/>
    <xf numFmtId="0" fontId="0" fillId="7" borderId="9" xfId="0" applyFill="1" applyBorder="1"/>
    <xf numFmtId="0" fontId="3" fillId="0" borderId="2" xfId="0" applyFont="1" applyBorder="1" applyAlignment="1">
      <alignment horizontal="left"/>
    </xf>
    <xf numFmtId="0" fontId="0" fillId="7" borderId="15" xfId="0" applyFill="1" applyBorder="1"/>
    <xf numFmtId="0" fontId="0" fillId="7" borderId="16" xfId="0" applyFill="1" applyBorder="1"/>
    <xf numFmtId="0" fontId="2" fillId="0" borderId="0" xfId="0" applyFont="1"/>
    <xf numFmtId="0" fontId="0" fillId="8" borderId="0" xfId="0" applyFill="1"/>
    <xf numFmtId="0" fontId="0" fillId="8" borderId="10" xfId="0" applyFill="1" applyBorder="1"/>
    <xf numFmtId="0" fontId="2" fillId="8" borderId="10" xfId="0" applyFont="1" applyFill="1" applyBorder="1"/>
    <xf numFmtId="0" fontId="2" fillId="0" borderId="6" xfId="0" applyFon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2" fillId="8" borderId="7" xfId="0" applyNumberFormat="1" applyFont="1" applyFill="1" applyBorder="1" applyAlignment="1">
      <alignment horizontal="left"/>
    </xf>
    <xf numFmtId="165" fontId="2" fillId="8" borderId="8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165" fontId="2" fillId="8" borderId="9" xfId="0" applyNumberFormat="1" applyFont="1" applyFill="1" applyBorder="1" applyAlignment="1">
      <alignment horizontal="left"/>
    </xf>
    <xf numFmtId="165" fontId="2" fillId="8" borderId="12" xfId="0" applyNumberFormat="1" applyFont="1" applyFill="1" applyBorder="1"/>
    <xf numFmtId="165" fontId="0" fillId="8" borderId="3" xfId="0" applyNumberFormat="1" applyFill="1" applyBorder="1"/>
    <xf numFmtId="165" fontId="0" fillId="8" borderId="8" xfId="0" applyNumberFormat="1" applyFill="1" applyBorder="1"/>
    <xf numFmtId="0" fontId="2" fillId="0" borderId="4" xfId="0" applyFont="1" applyBorder="1" applyAlignment="1">
      <alignment horizontal="left"/>
    </xf>
    <xf numFmtId="0" fontId="4" fillId="9" borderId="10" xfId="0" applyFont="1" applyFill="1" applyBorder="1"/>
    <xf numFmtId="165" fontId="0" fillId="8" borderId="7" xfId="0" applyNumberFormat="1" applyFill="1" applyBorder="1" applyAlignment="1">
      <alignment horizontal="left"/>
    </xf>
    <xf numFmtId="165" fontId="0" fillId="8" borderId="8" xfId="0" applyNumberFormat="1" applyFill="1" applyBorder="1" applyAlignment="1">
      <alignment horizontal="left"/>
    </xf>
    <xf numFmtId="165" fontId="0" fillId="8" borderId="2" xfId="0" applyNumberFormat="1" applyFill="1" applyBorder="1"/>
    <xf numFmtId="165" fontId="0" fillId="8" borderId="4" xfId="0" applyNumberFormat="1" applyFill="1" applyBorder="1"/>
    <xf numFmtId="165" fontId="0" fillId="8" borderId="5" xfId="0" applyNumberFormat="1" applyFill="1" applyBorder="1"/>
    <xf numFmtId="165" fontId="0" fillId="8" borderId="0" xfId="0" applyNumberFormat="1" applyFill="1"/>
    <xf numFmtId="165" fontId="0" fillId="8" borderId="6" xfId="0" applyNumberFormat="1" applyFill="1" applyBorder="1"/>
    <xf numFmtId="165" fontId="0" fillId="8" borderId="7" xfId="0" applyNumberFormat="1" applyFill="1" applyBorder="1"/>
    <xf numFmtId="165" fontId="0" fillId="8" borderId="9" xfId="0" applyNumberFormat="1" applyFill="1" applyBorder="1"/>
    <xf numFmtId="165" fontId="2" fillId="8" borderId="14" xfId="0" applyNumberFormat="1" applyFont="1" applyFill="1" applyBorder="1"/>
    <xf numFmtId="165" fontId="2" fillId="8" borderId="13" xfId="0" applyNumberFormat="1" applyFont="1" applyFill="1" applyBorder="1"/>
    <xf numFmtId="166" fontId="0" fillId="0" borderId="0" xfId="0" applyNumberFormat="1"/>
    <xf numFmtId="0" fontId="2" fillId="7" borderId="10" xfId="0" applyFont="1" applyFill="1" applyBorder="1"/>
    <xf numFmtId="165" fontId="0" fillId="7" borderId="7" xfId="0" applyNumberFormat="1" applyFill="1" applyBorder="1" applyAlignment="1">
      <alignment horizontal="left"/>
    </xf>
    <xf numFmtId="165" fontId="0" fillId="7" borderId="8" xfId="0" applyNumberFormat="1" applyFill="1" applyBorder="1" applyAlignment="1">
      <alignment horizontal="left"/>
    </xf>
    <xf numFmtId="165" fontId="2" fillId="7" borderId="8" xfId="0" applyNumberFormat="1" applyFont="1" applyFill="1" applyBorder="1" applyAlignment="1">
      <alignment horizontal="left"/>
    </xf>
    <xf numFmtId="165" fontId="2" fillId="7" borderId="9" xfId="0" applyNumberFormat="1" applyFont="1" applyFill="1" applyBorder="1" applyAlignment="1">
      <alignment horizontal="left"/>
    </xf>
    <xf numFmtId="165" fontId="0" fillId="7" borderId="2" xfId="0" applyNumberFormat="1" applyFill="1" applyBorder="1"/>
    <xf numFmtId="165" fontId="0" fillId="7" borderId="3" xfId="0" applyNumberFormat="1" applyFill="1" applyBorder="1"/>
    <xf numFmtId="165" fontId="0" fillId="7" borderId="4" xfId="0" applyNumberFormat="1" applyFill="1" applyBorder="1"/>
    <xf numFmtId="165" fontId="0" fillId="7" borderId="7" xfId="0" applyNumberFormat="1" applyFill="1" applyBorder="1"/>
    <xf numFmtId="165" fontId="0" fillId="7" borderId="8" xfId="0" applyNumberFormat="1" applyFill="1" applyBorder="1"/>
    <xf numFmtId="165" fontId="0" fillId="7" borderId="9" xfId="0" applyNumberFormat="1" applyFill="1" applyBorder="1"/>
    <xf numFmtId="165" fontId="2" fillId="7" borderId="7" xfId="0" applyNumberFormat="1" applyFont="1" applyFill="1" applyBorder="1"/>
    <xf numFmtId="165" fontId="2" fillId="7" borderId="8" xfId="0" applyNumberFormat="1" applyFont="1" applyFill="1" applyBorder="1"/>
    <xf numFmtId="165" fontId="2" fillId="7" borderId="9" xfId="0" applyNumberFormat="1" applyFont="1" applyFill="1" applyBorder="1"/>
    <xf numFmtId="165" fontId="2" fillId="4" borderId="12" xfId="0" applyNumberFormat="1" applyFont="1" applyFill="1" applyBorder="1" applyAlignment="1">
      <alignment horizontal="left"/>
    </xf>
    <xf numFmtId="165" fontId="2" fillId="4" borderId="13" xfId="0" applyNumberFormat="1" applyFont="1" applyFill="1" applyBorder="1" applyAlignment="1">
      <alignment horizontal="left"/>
    </xf>
    <xf numFmtId="165" fontId="2" fillId="4" borderId="14" xfId="0" applyNumberFormat="1" applyFont="1" applyFill="1" applyBorder="1" applyAlignment="1">
      <alignment horizontal="left"/>
    </xf>
    <xf numFmtId="165" fontId="0" fillId="0" borderId="0" xfId="0" applyNumberFormat="1"/>
    <xf numFmtId="165" fontId="0" fillId="7" borderId="9" xfId="0" applyNumberFormat="1" applyFill="1" applyBorder="1" applyAlignment="1">
      <alignment horizontal="left"/>
    </xf>
    <xf numFmtId="165" fontId="2" fillId="7" borderId="14" xfId="0" applyNumberFormat="1" applyFont="1" applyFill="1" applyBorder="1"/>
    <xf numFmtId="165" fontId="2" fillId="7" borderId="12" xfId="0" applyNumberFormat="1" applyFont="1" applyFill="1" applyBorder="1"/>
    <xf numFmtId="165" fontId="2" fillId="7" borderId="13" xfId="0" applyNumberFormat="1" applyFont="1" applyFill="1" applyBorder="1"/>
    <xf numFmtId="0" fontId="4" fillId="3" borderId="0" xfId="0" applyFont="1" applyFill="1"/>
    <xf numFmtId="0" fontId="0" fillId="0" borderId="0" xfId="0" applyAlignment="1">
      <alignment horizontal="center"/>
    </xf>
    <xf numFmtId="0" fontId="0" fillId="6" borderId="0" xfId="0" applyFill="1"/>
    <xf numFmtId="0" fontId="0" fillId="0" borderId="5" xfId="0" applyBorder="1"/>
    <xf numFmtId="0" fontId="5" fillId="6" borderId="0" xfId="1" applyFill="1"/>
    <xf numFmtId="167" fontId="0" fillId="0" borderId="0" xfId="0" applyNumberFormat="1"/>
    <xf numFmtId="164" fontId="3" fillId="0" borderId="0" xfId="0" applyNumberFormat="1" applyFont="1" applyAlignment="1">
      <alignment horizontal="left"/>
    </xf>
    <xf numFmtId="164" fontId="3" fillId="0" borderId="5" xfId="0" applyNumberFormat="1" applyFont="1" applyBorder="1" applyAlignment="1">
      <alignment horizontal="left"/>
    </xf>
    <xf numFmtId="165" fontId="2" fillId="7" borderId="7" xfId="0" applyNumberFormat="1" applyFont="1" applyFill="1" applyBorder="1" applyAlignment="1">
      <alignment horizontal="left"/>
    </xf>
    <xf numFmtId="0" fontId="4" fillId="5" borderId="0" xfId="0" applyFont="1" applyFill="1"/>
    <xf numFmtId="168" fontId="0" fillId="0" borderId="0" xfId="0" applyNumberFormat="1"/>
    <xf numFmtId="0" fontId="0" fillId="11" borderId="11" xfId="0" applyFill="1" applyBorder="1" applyAlignment="1">
      <alignment horizontal="left"/>
    </xf>
    <xf numFmtId="165" fontId="0" fillId="11" borderId="0" xfId="0" applyNumberFormat="1" applyFill="1" applyAlignment="1">
      <alignment horizontal="left"/>
    </xf>
    <xf numFmtId="165" fontId="0" fillId="11" borderId="5" xfId="0" applyNumberFormat="1" applyFill="1" applyBorder="1" applyAlignment="1">
      <alignment horizontal="left"/>
    </xf>
    <xf numFmtId="165" fontId="0" fillId="11" borderId="6" xfId="0" applyNumberFormat="1" applyFill="1" applyBorder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/>
    </xf>
    <xf numFmtId="165" fontId="0" fillId="11" borderId="0" xfId="0" applyNumberFormat="1" applyFill="1"/>
    <xf numFmtId="0" fontId="0" fillId="12" borderId="19" xfId="0" applyFill="1" applyBorder="1"/>
    <xf numFmtId="0" fontId="6" fillId="12" borderId="23" xfId="0" applyFont="1" applyFill="1" applyBorder="1" applyAlignment="1">
      <alignment horizontal="left" vertical="center"/>
    </xf>
    <xf numFmtId="0" fontId="6" fillId="12" borderId="24" xfId="0" applyFont="1" applyFill="1" applyBorder="1" applyAlignment="1">
      <alignment horizontal="left" vertical="center"/>
    </xf>
    <xf numFmtId="0" fontId="2" fillId="12" borderId="20" xfId="0" applyFont="1" applyFill="1" applyBorder="1"/>
    <xf numFmtId="0" fontId="2" fillId="12" borderId="21" xfId="0" applyFont="1" applyFill="1" applyBorder="1"/>
    <xf numFmtId="0" fontId="2" fillId="12" borderId="22" xfId="0" applyFont="1" applyFill="1" applyBorder="1"/>
    <xf numFmtId="0" fontId="2" fillId="12" borderId="25" xfId="0" applyFont="1" applyFill="1" applyBorder="1"/>
    <xf numFmtId="0" fontId="0" fillId="12" borderId="26" xfId="0" applyFill="1" applyBorder="1"/>
    <xf numFmtId="0" fontId="2" fillId="12" borderId="27" xfId="0" applyFont="1" applyFill="1" applyBorder="1"/>
    <xf numFmtId="0" fontId="0" fillId="12" borderId="28" xfId="0" applyFill="1" applyBorder="1"/>
    <xf numFmtId="0" fontId="0" fillId="12" borderId="23" xfId="0" applyFill="1" applyBorder="1"/>
    <xf numFmtId="165" fontId="0" fillId="12" borderId="24" xfId="0" applyNumberFormat="1" applyFill="1" applyBorder="1"/>
    <xf numFmtId="0" fontId="7" fillId="0" borderId="29" xfId="0" applyFont="1" applyBorder="1" applyAlignment="1">
      <alignment vertical="center" wrapText="1"/>
    </xf>
    <xf numFmtId="169" fontId="0" fillId="0" borderId="0" xfId="0" applyNumberFormat="1"/>
    <xf numFmtId="11" fontId="0" fillId="0" borderId="0" xfId="0" applyNumberFormat="1"/>
    <xf numFmtId="0" fontId="0" fillId="0" borderId="0" xfId="0" applyAlignment="1">
      <alignment vertical="center"/>
    </xf>
    <xf numFmtId="11" fontId="2" fillId="0" borderId="0" xfId="0" applyNumberFormat="1" applyFont="1"/>
    <xf numFmtId="2" fontId="2" fillId="0" borderId="0" xfId="0" applyNumberFormat="1" applyFont="1"/>
    <xf numFmtId="11" fontId="2" fillId="11" borderId="0" xfId="0" applyNumberFormat="1" applyFont="1" applyFill="1"/>
    <xf numFmtId="2" fontId="2" fillId="11" borderId="0" xfId="0" applyNumberFormat="1" applyFont="1" applyFill="1"/>
    <xf numFmtId="0" fontId="0" fillId="0" borderId="0" xfId="0" applyAlignment="1">
      <alignment wrapText="1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0" fillId="6" borderId="0" xfId="0" applyFill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12" xfId="0" applyFont="1" applyFill="1" applyBorder="1" applyAlignment="1">
      <alignment horizontal="left"/>
    </xf>
    <xf numFmtId="0" fontId="4" fillId="9" borderId="13" xfId="0" applyFont="1" applyFill="1" applyBorder="1" applyAlignment="1">
      <alignment horizontal="left"/>
    </xf>
    <xf numFmtId="0" fontId="4" fillId="9" borderId="14" xfId="0" applyFont="1" applyFill="1" applyBorder="1" applyAlignment="1"/>
    <xf numFmtId="0" fontId="4" fillId="9" borderId="12" xfId="0" applyFont="1" applyFill="1" applyBorder="1" applyAlignment="1"/>
    <xf numFmtId="0" fontId="4" fillId="9" borderId="13" xfId="0" applyFont="1" applyFill="1" applyBorder="1" applyAlignment="1"/>
    <xf numFmtId="0" fontId="0" fillId="10" borderId="17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18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5" fillId="6" borderId="14" xfId="1" applyFill="1" applyBorder="1" applyAlignment="1">
      <alignment horizontal="left"/>
    </xf>
    <xf numFmtId="0" fontId="5" fillId="6" borderId="12" xfId="1" applyFill="1" applyBorder="1" applyAlignment="1">
      <alignment horizontal="left"/>
    </xf>
    <xf numFmtId="0" fontId="5" fillId="6" borderId="13" xfId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2" fillId="4" borderId="6" xfId="0" applyFont="1" applyFill="1" applyBorder="1" applyAlignment="1">
      <alignment horizontal="righ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30" xfId="0" applyFill="1" applyBorder="1"/>
    <xf numFmtId="0" fontId="0" fillId="15" borderId="31" xfId="0" applyFill="1" applyBorder="1"/>
    <xf numFmtId="165" fontId="0" fillId="15" borderId="32" xfId="0" applyNumberFormat="1" applyFill="1" applyBorder="1"/>
    <xf numFmtId="0" fontId="0" fillId="12" borderId="33" xfId="0" applyFill="1" applyBorder="1"/>
    <xf numFmtId="0" fontId="0" fillId="12" borderId="34" xfId="0" applyFill="1" applyBorder="1"/>
    <xf numFmtId="0" fontId="6" fillId="12" borderId="35" xfId="0" applyFont="1" applyFill="1" applyBorder="1" applyAlignment="1">
      <alignment horizontal="left" vertical="center"/>
    </xf>
    <xf numFmtId="0" fontId="6" fillId="12" borderId="36" xfId="0" applyFont="1" applyFill="1" applyBorder="1" applyAlignment="1">
      <alignment horizontal="left" vertical="center"/>
    </xf>
    <xf numFmtId="0" fontId="0" fillId="12" borderId="37" xfId="0" applyFill="1" applyBorder="1"/>
    <xf numFmtId="0" fontId="0" fillId="12" borderId="36" xfId="0" applyFill="1" applyBorder="1"/>
    <xf numFmtId="165" fontId="0" fillId="12" borderId="35" xfId="0" applyNumberFormat="1" applyFill="1" applyBorder="1"/>
    <xf numFmtId="0" fontId="0" fillId="15" borderId="30" xfId="0" applyFill="1" applyBorder="1" applyAlignment="1">
      <alignment horizontal="left"/>
    </xf>
    <xf numFmtId="0" fontId="0" fillId="15" borderId="32" xfId="0" applyFill="1" applyBorder="1"/>
    <xf numFmtId="0" fontId="0" fillId="15" borderId="38" xfId="0" applyFill="1" applyBorder="1"/>
    <xf numFmtId="0" fontId="2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52">
    <dxf>
      <font>
        <b/>
      </font>
      <numFmt numFmtId="2" formatCode="0.00"/>
    </dxf>
    <dxf>
      <font>
        <b/>
      </font>
      <numFmt numFmtId="15" formatCode="0.00E+00"/>
    </dxf>
    <dxf>
      <font>
        <b/>
      </font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ill>
        <patternFill patternType="none">
          <fgColor indexed="64"/>
          <bgColor auto="1"/>
        </patternFill>
      </fill>
    </dxf>
    <dxf>
      <border outline="0">
        <top style="medium">
          <color rgb="FFA3A3A3"/>
        </top>
      </border>
    </dxf>
    <dxf>
      <border outline="0">
        <bottom style="medium">
          <color rgb="FFA3A3A3"/>
        </bottom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9B57D3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2" formatCode="0.00"/>
    </dxf>
    <dxf>
      <font>
        <b/>
      </font>
      <numFmt numFmtId="15" formatCode="0.00E+00"/>
    </dxf>
    <dxf>
      <font>
        <b/>
      </font>
      <numFmt numFmtId="167" formatCode="0.000"/>
    </dxf>
    <dxf>
      <numFmt numFmtId="15" formatCode="0.00E+0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00"/>
    </dxf>
    <dxf>
      <numFmt numFmtId="167" formatCode="0.000"/>
    </dxf>
    <dxf>
      <numFmt numFmtId="167" formatCode="0.000"/>
    </dxf>
    <dxf>
      <alignment horizontal="general" textRotation="0" wrapText="1" indent="0" justifyLastLine="0" shrinkToFit="0" readingOrder="0"/>
    </dxf>
    <dxf>
      <font>
        <b/>
      </font>
      <numFmt numFmtId="2" formatCode="0.00"/>
    </dxf>
    <dxf>
      <font>
        <b/>
      </font>
      <numFmt numFmtId="15" formatCode="0.00E+00"/>
    </dxf>
    <dxf>
      <font>
        <b/>
      </font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ill>
        <patternFill patternType="none">
          <fgColor indexed="64"/>
          <bgColor auto="1"/>
        </patternFill>
      </fill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border outline="0">
        <bottom style="medium">
          <color rgb="FFA3A3A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9B57D3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8" formatCode="0.0000000000"/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border outline="0">
        <bottom style="medium">
          <color rgb="FFA3A3A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9B57D3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left style="medium">
          <color indexed="64"/>
        </left>
        <right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00"/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alignment horizontal="left" vertical="bottom" textRotation="0" wrapText="0" indent="0" justifyLastLine="0" shrinkToFit="0" readingOrder="0"/>
    </dxf>
    <dxf>
      <numFmt numFmtId="165" formatCode="0.000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alignment horizontal="left" vertical="bottom" textRotation="0" wrapText="0" indent="0" justifyLastLine="0" shrinkToFit="0" readingOrder="0"/>
    </dxf>
    <dxf>
      <numFmt numFmtId="165" formatCode="0.000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alignment horizontal="left" vertical="bottom" textRotation="0" wrapText="0" indent="0" justifyLastLine="0" shrinkToFit="0" readingOrder="0"/>
    </dxf>
    <dxf>
      <numFmt numFmtId="165" formatCode="0.000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0.00000"/>
      <alignment horizontal="left" vertical="bottom" textRotation="0" wrapText="0" indent="0" justifyLastLine="0" shrinkToFit="0" readingOrder="0"/>
    </dxf>
    <dxf>
      <numFmt numFmtId="165" formatCode="0.00000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alignment horizontal="left" vertical="bottom" textRotation="0" wrapText="0" indent="0" justifyLastLine="0" shrinkToFit="0" readingOrder="0"/>
    </dxf>
    <dxf>
      <numFmt numFmtId="165" formatCode="0.00000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5" formatCode="0.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5" formatCode="0.00000"/>
      <alignment horizontal="left" vertical="bottom" textRotation="0" wrapText="0" indent="0" justifyLastLine="0" shrinkToFit="0" readingOrder="0"/>
    </dxf>
    <dxf>
      <numFmt numFmtId="165" formatCode="0.00000"/>
      <alignment horizontal="left" vertical="bottom" textRotation="0" wrapText="0" indent="0" justifyLastLine="0" shrinkToFit="0" readingOrder="0"/>
    </dxf>
    <dxf>
      <numFmt numFmtId="165" formatCode="0.0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Ice!$E$2</c:f>
              <c:strCache>
                <c:ptCount val="1"/>
                <c:pt idx="0">
                  <c:v>Qmix1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Ice!$A$3:$A$11</c:f>
            </c:multiLvlStrRef>
          </c:cat>
          <c:val>
            <c:numRef>
              <c:f>Ice!$E$3:$E$11</c:f>
            </c:numRef>
          </c:val>
          <c:smooth val="0"/>
          <c:extLst>
            <c:ext xmlns:c16="http://schemas.microsoft.com/office/drawing/2014/chart" uri="{C3380CC4-5D6E-409C-BE32-E72D297353CC}">
              <c16:uniqueId val="{00000007-CB03-4F9B-85C3-596EE6D4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63584"/>
        <c:axId val="407658592"/>
      </c:lineChart>
      <c:catAx>
        <c:axId val="4076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8592"/>
        <c:crosses val="autoZero"/>
        <c:auto val="1"/>
        <c:lblAlgn val="ctr"/>
        <c:lblOffset val="100"/>
        <c:noMultiLvlLbl val="0"/>
      </c:catAx>
      <c:valAx>
        <c:axId val="4076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1</xdr:colOff>
      <xdr:row>1</xdr:row>
      <xdr:rowOff>1</xdr:rowOff>
    </xdr:from>
    <xdr:to>
      <xdr:col>68</xdr:col>
      <xdr:colOff>349250</xdr:colOff>
      <xdr:row>35</xdr:row>
      <xdr:rowOff>99648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73168" y="201084"/>
          <a:ext cx="8974666" cy="6597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14287</xdr:rowOff>
    </xdr:from>
    <xdr:to>
      <xdr:col>10</xdr:col>
      <xdr:colOff>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A2:AN42" totalsRowShown="0" headerRowDxfId="251" dataDxfId="250">
  <autoFilter ref="A2:AN42"/>
  <tableColumns count="40">
    <tableColumn id="1" name="Wavelength" dataDxfId="249"/>
    <tableColumn id="2" name="Q(H20)" dataDxfId="248"/>
    <tableColumn id="3" name="W(H20)" dataDxfId="247"/>
    <tableColumn id="4" name="G(H20)" dataDxfId="246"/>
    <tableColumn id="5" name="Qmix1" dataDxfId="245"/>
    <tableColumn id="6" name="Wmix1" dataDxfId="244"/>
    <tableColumn id="7" name="Gmix1" dataDxfId="243"/>
    <tableColumn id="8" name="Qmix2" dataDxfId="242"/>
    <tableColumn id="9" name="Wmix2" dataDxfId="241"/>
    <tableColumn id="10" name="Gmix2" dataDxfId="240"/>
    <tableColumn id="11" name="Qmix3" dataDxfId="239"/>
    <tableColumn id="12" name="Wmix3" dataDxfId="238"/>
    <tableColumn id="13" name="Gmix3" dataDxfId="237"/>
    <tableColumn id="14" name="Qmix4" dataDxfId="236"/>
    <tableColumn id="15" name="Wmix4" dataDxfId="235"/>
    <tableColumn id="16" name="Gmix4" dataDxfId="234"/>
    <tableColumn id="17" name="Qmix5" dataDxfId="233"/>
    <tableColumn id="18" name="Wmix5" dataDxfId="232"/>
    <tableColumn id="19" name="Gmix5" dataDxfId="231"/>
    <tableColumn id="20" name="Qmix6" dataDxfId="230"/>
    <tableColumn id="21" name="Wmix6" dataDxfId="229"/>
    <tableColumn id="22" name="Gmix6" dataDxfId="228"/>
    <tableColumn id="23" name="Qmix7" dataDxfId="227"/>
    <tableColumn id="24" name="Wmix7" dataDxfId="226"/>
    <tableColumn id="25" name="Gmix7" dataDxfId="225"/>
    <tableColumn id="38" name="Qmix78" dataDxfId="224"/>
    <tableColumn id="39" name="Wmix79" dataDxfId="223"/>
    <tableColumn id="40" name="Gmix80" dataDxfId="222"/>
    <tableColumn id="35" name="Qmix75" dataDxfId="221"/>
    <tableColumn id="36" name="Wmix76" dataDxfId="220"/>
    <tableColumn id="37" name="Gmix77" dataDxfId="219"/>
    <tableColumn id="32" name="Qmix72" dataDxfId="218"/>
    <tableColumn id="33" name="Wmix73" dataDxfId="217"/>
    <tableColumn id="34" name="Gmix74" dataDxfId="216"/>
    <tableColumn id="29" name="Qmix8" dataDxfId="215"/>
    <tableColumn id="30" name="Wmix9" dataDxfId="214"/>
    <tableColumn id="31" name="Gmix10" dataDxfId="213"/>
    <tableColumn id="26" name="Q(Dark)" dataDxfId="212"/>
    <tableColumn id="27" name="W(Dark)" dataDxfId="211"/>
    <tableColumn id="28" name="A(Dark)" dataDxfId="2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10914" displayName="Table10914" ref="A16:K26" totalsRowShown="0" headerRowDxfId="52">
  <autoFilter ref="A16:K26"/>
  <sortState ref="A16:F25">
    <sortCondition ref="A22:A26"/>
  </sortState>
  <tableColumns count="11">
    <tableColumn id="1" name="Crater"/>
    <tableColumn id="2" name="(B1) MaskAvg (Dark Stuff)" dataDxfId="51"/>
    <tableColumn id="3" name="(B2) RevMaskAvg (Light Stuff)" dataDxfId="50"/>
    <tableColumn id="4" name="Difference" dataDxfId="49">
      <calculatedColumnFormula>Table10914[[#This Row],[(B1) MaskAvg (Dark Stuff)]]-Table10914[[#This Row],[(B2) RevMaskAvg (Light Stuff)]]</calculatedColumnFormula>
    </tableColumn>
    <tableColumn id="7" name="(B1-B2)/B2" dataDxfId="48">
      <calculatedColumnFormula>Table10914[[#This Row],[Difference]]/Table10914[[#This Row],[(B2) RevMaskAvg (Light Stuff)]]</calculatedColumnFormula>
    </tableColumn>
    <tableColumn id="8" name="Model Dust Concentraion"/>
    <tableColumn id="9" name="Ejecta Mass"/>
    <tableColumn id="6" name="Impactor Mass" dataDxfId="47"/>
    <tableColumn id="5" name="Ejecta Dust Mass (Ejecta Mass * Ejecta dust concentration)" dataDxfId="46"/>
    <tableColumn id="10" name="Ejecta Dust Mass - Impactor Mass" dataDxfId="45">
      <calculatedColumnFormula>Table10914[[#This Row],[Ejecta Dust Mass (Ejecta Mass * Ejecta dust concentration)]]-Table10914[[#This Row],[Impactor Mass]]</calculatedColumnFormula>
    </tableColumn>
    <tableColumn id="11" name="Ejecta Dust Mass/Impactor Mass" dataDxfId="44">
      <calculatedColumnFormula>Table10914[[#This Row],[Ejecta Dust Mass (Ejecta Mass * Ejecta dust concentration)]]/Table10914[[#This Row],[Impactor Mass]]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111315" displayName="Table111315" ref="A30:J32" totalsRowShown="0" headerRowDxfId="10" headerRowBorderDxfId="8" tableBorderDxfId="9" totalsRowBorderDxfId="7">
  <autoFilter ref="A30:J32"/>
  <sortState ref="A31:J40">
    <sortCondition ref="B30:B40"/>
  </sortState>
  <tableColumns count="10">
    <tableColumn id="1" name="Crater"/>
    <tableColumn id="6" name="Background Concentration"/>
    <tableColumn id="8" name="Ejecta Concentration" dataDxfId="6"/>
    <tableColumn id="9" name="Ejecta Mass"/>
    <tableColumn id="11" name="Impactor Mass" dataDxfId="5"/>
    <tableColumn id="13" name="Ejecta Dust Mass (Ejecta Mass * Ejecta dust concentration)" dataDxfId="4"/>
    <tableColumn id="17" name="Background Dust Contribution (Ejecta Mass * Background Dust Concentration)" dataDxfId="3"/>
    <tableColumn id="18" name="Externally-Contributed Dust (Ejecta Dust - Background Dust)" dataDxfId="2">
      <calculatedColumnFormula>Table111315[[#This Row],[Ejecta Dust Mass (Ejecta Mass * Ejecta dust concentration)]]-Table111315[[#This Row],[Background Dust Contribution (Ejecta Mass * Background Dust Concentration)]]</calculatedColumnFormula>
    </tableColumn>
    <tableColumn id="12" name="[Externally-Contributed Dust Mass] - [Impactor Mass]" dataDxfId="1">
      <calculatedColumnFormula>Table111315[[#This Row],[Externally-Contributed Dust (Ejecta Dust - Background Dust)]]-Table111315[[#This Row],[Impactor Mass]]</calculatedColumnFormula>
    </tableColumn>
    <tableColumn id="14" name="[Externally-Contributed Dust Mass]/[Impactor Mass]" dataDxfId="0">
      <calculatedColumnFormula>Table111315[[#This Row],[Externally-Contributed Dust (Ejecta Dust - Background Dust)]]/Table111315[[#This Row],[Impactor Mass]]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1" name="Table1" displayName="Table1" ref="A2:Y474" totalsRowShown="0" headerRowDxfId="43" dataDxfId="42">
  <autoFilter ref="A2:Y474"/>
  <tableColumns count="25">
    <tableColumn id="1" name="Wavelength" dataDxfId="41"/>
    <tableColumn id="2" name="Q(H20)" dataDxfId="40"/>
    <tableColumn id="3" name="W(H20)" dataDxfId="39"/>
    <tableColumn id="4" name="G(H20)" dataDxfId="38"/>
    <tableColumn id="5" name="Qmix1" dataDxfId="37"/>
    <tableColumn id="6" name="Wmix1" dataDxfId="36"/>
    <tableColumn id="7" name="Gmix1" dataDxfId="35"/>
    <tableColumn id="8" name="Qmix2" dataDxfId="34"/>
    <tableColumn id="9" name="Wmix2" dataDxfId="33"/>
    <tableColumn id="10" name="Gmix2" dataDxfId="32"/>
    <tableColumn id="11" name="Qmix3" dataDxfId="31"/>
    <tableColumn id="12" name="Wmix3" dataDxfId="30"/>
    <tableColumn id="13" name="Gmix3" dataDxfId="29"/>
    <tableColumn id="14" name="Qmix4" dataDxfId="28"/>
    <tableColumn id="15" name="Wmix4" dataDxfId="27"/>
    <tableColumn id="16" name="Gmix4" dataDxfId="26"/>
    <tableColumn id="17" name="Qmix5" dataDxfId="25"/>
    <tableColumn id="18" name="Wmix5" dataDxfId="24"/>
    <tableColumn id="19" name="Gmix5" dataDxfId="23"/>
    <tableColumn id="20" name="Qmix6" dataDxfId="22"/>
    <tableColumn id="21" name="Wmix6" dataDxfId="21"/>
    <tableColumn id="22" name="Gmix6" dataDxfId="20"/>
    <tableColumn id="23" name="Qmix7" dataDxfId="19"/>
    <tableColumn id="24" name="Wmix7" dataDxfId="18"/>
    <tableColumn id="25" name="Gmix7" dataDxfId="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1:D473" totalsRowShown="0" headerRowDxfId="16" dataDxfId="15">
  <autoFilter ref="A1:D473"/>
  <tableColumns count="4">
    <tableColumn id="1" name="Wavelength" dataDxfId="14"/>
    <tableColumn id="2" name="Q" dataDxfId="13"/>
    <tableColumn id="3" name="W" dataDxfId="12"/>
    <tableColumn id="4" name="G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AN43" totalsRowShown="0" headerRowDxfId="209" dataDxfId="208" tableBorderDxfId="207">
  <autoFilter ref="A3:AN43"/>
  <tableColumns count="40">
    <tableColumn id="1" name="Wavelength" dataDxfId="206"/>
    <tableColumn id="2" name="Q(H20)" dataDxfId="205"/>
    <tableColumn id="3" name="W(H20)" dataDxfId="204"/>
    <tableColumn id="5" name="A(H20)" dataDxfId="203"/>
    <tableColumn id="4" name="Qmix1" dataDxfId="202"/>
    <tableColumn id="6" name="Wmix1" dataDxfId="201"/>
    <tableColumn id="7" name="Amix1" dataDxfId="200"/>
    <tableColumn id="8" name="Qmix2" dataDxfId="199"/>
    <tableColumn id="9" name="Wmix2" dataDxfId="198"/>
    <tableColumn id="10" name="Amix2" dataDxfId="197"/>
    <tableColumn id="11" name="Qmix3" dataDxfId="196"/>
    <tableColumn id="12" name="Wmix3" dataDxfId="195"/>
    <tableColumn id="13" name="Amix3" dataDxfId="194"/>
    <tableColumn id="14" name="Qmix4" dataDxfId="193"/>
    <tableColumn id="15" name="Wmix4" dataDxfId="192"/>
    <tableColumn id="16" name="Amix4" dataDxfId="191"/>
    <tableColumn id="17" name="Qmix5" dataDxfId="190"/>
    <tableColumn id="18" name="Wmix5" dataDxfId="189"/>
    <tableColumn id="19" name="Amix5" dataDxfId="188"/>
    <tableColumn id="20" name="Qmix6" dataDxfId="187"/>
    <tableColumn id="21" name="Wmix6" dataDxfId="186"/>
    <tableColumn id="22" name="Amix6" dataDxfId="185"/>
    <tableColumn id="23" name="Qmix7" dataDxfId="184"/>
    <tableColumn id="24" name="Wmix7" dataDxfId="183"/>
    <tableColumn id="25" name="Amix7" dataDxfId="182"/>
    <tableColumn id="38" name="Qmix78" dataDxfId="181"/>
    <tableColumn id="39" name="Wmix79" dataDxfId="180"/>
    <tableColumn id="40" name="Amix80" dataDxfId="179"/>
    <tableColumn id="35" name="Qmix75" dataDxfId="178"/>
    <tableColumn id="36" name="Wmix76" dataDxfId="177"/>
    <tableColumn id="37" name="Amix77" dataDxfId="176"/>
    <tableColumn id="32" name="Qmix72" dataDxfId="175"/>
    <tableColumn id="33" name="Wmix73" dataDxfId="174"/>
    <tableColumn id="34" name="Amix74" dataDxfId="173"/>
    <tableColumn id="29" name="Qmix8" dataDxfId="172"/>
    <tableColumn id="30" name="Wmix9" dataDxfId="171"/>
    <tableColumn id="31" name="Amix10" dataDxfId="170"/>
    <tableColumn id="26" name="Q(Dark)" dataDxfId="169"/>
    <tableColumn id="27" name="W(Dark)" dataDxfId="168"/>
    <tableColumn id="28" name="A(Dark)" dataDxfId="16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Table57" displayName="Table57" ref="A3:AZ43" totalsRowShown="0" headerRowDxfId="166" dataDxfId="165" tableBorderDxfId="164">
  <autoFilter ref="A3:AZ43"/>
  <tableColumns count="52">
    <tableColumn id="1" name="Wavelength" dataDxfId="163"/>
    <tableColumn id="2" name="Q(H20)" dataDxfId="162"/>
    <tableColumn id="3" name="W(H20)" dataDxfId="161"/>
    <tableColumn id="5" name="A(H20)" dataDxfId="160"/>
    <tableColumn id="35" name="Qmix" dataDxfId="159"/>
    <tableColumn id="36" name="Wmix" dataDxfId="158"/>
    <tableColumn id="37" name="Amix" dataDxfId="157"/>
    <tableColumn id="32" name="Qmix9" dataDxfId="156"/>
    <tableColumn id="33" name="Wmix9" dataDxfId="155"/>
    <tableColumn id="34" name="Amix9" dataDxfId="154"/>
    <tableColumn id="29" name="Qmix8" dataDxfId="153"/>
    <tableColumn id="30" name="Wmix8" dataDxfId="152"/>
    <tableColumn id="31" name="Amix8" dataDxfId="151"/>
    <tableColumn id="8" name="Qmix2" dataDxfId="150"/>
    <tableColumn id="9" name="Wmix2" dataDxfId="149"/>
    <tableColumn id="10" name="Amix2" dataDxfId="148"/>
    <tableColumn id="4" name="Qmix12" dataDxfId="147"/>
    <tableColumn id="6" name="Wmix1" dataDxfId="146"/>
    <tableColumn id="7" name="Amix1" dataDxfId="145"/>
    <tableColumn id="11" name="Qmix3" dataDxfId="144"/>
    <tableColumn id="12" name="Wmix3" dataDxfId="143"/>
    <tableColumn id="13" name="Amix3" dataDxfId="142"/>
    <tableColumn id="14" name="Qmix4" dataDxfId="141"/>
    <tableColumn id="15" name="Wmix4" dataDxfId="140"/>
    <tableColumn id="16" name="Amix4" dataDxfId="139"/>
    <tableColumn id="17" name="Qmix5" dataDxfId="138"/>
    <tableColumn id="18" name="Wmix5" dataDxfId="137"/>
    <tableColumn id="19" name="Amix5" dataDxfId="136"/>
    <tableColumn id="20" name="Qmix6" dataDxfId="135"/>
    <tableColumn id="21" name="Wmix6" dataDxfId="134"/>
    <tableColumn id="22" name="Amix6" dataDxfId="133"/>
    <tableColumn id="23" name="Qmix7" dataDxfId="132"/>
    <tableColumn id="24" name="Wmix7" dataDxfId="131"/>
    <tableColumn id="25" name="Amix7" dataDxfId="130"/>
    <tableColumn id="44" name="Qmix10" dataDxfId="129"/>
    <tableColumn id="45" name="Wmix10" dataDxfId="128"/>
    <tableColumn id="46" name="Amix80" dataDxfId="127"/>
    <tableColumn id="41" name="Qmix11" dataDxfId="126"/>
    <tableColumn id="42" name="Wmix11" dataDxfId="125"/>
    <tableColumn id="43" name="Amix77" dataDxfId="124"/>
    <tableColumn id="38" name="Qmix13" dataDxfId="123"/>
    <tableColumn id="39" name="Wmix12" dataDxfId="122"/>
    <tableColumn id="40" name="Amix74" dataDxfId="121"/>
    <tableColumn id="50" name="Qmix14" dataDxfId="120"/>
    <tableColumn id="51" name="Wmix13" dataDxfId="119"/>
    <tableColumn id="52" name="Amix744" dataDxfId="118"/>
    <tableColumn id="47" name="Qmix15" dataDxfId="117"/>
    <tableColumn id="48" name="Wmix14" dataDxfId="116"/>
    <tableColumn id="49" name="Amix762" dataDxfId="115"/>
    <tableColumn id="26" name="Q(Dust)" dataDxfId="114"/>
    <tableColumn id="27" name="W(Dust)" dataDxfId="113"/>
    <tableColumn id="28" name="A(Dust)" dataDxfId="11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BR5:BS12" totalsRowShown="0" headerRowDxfId="111" headerRowBorderDxfId="110" tableBorderDxfId="109">
  <autoFilter ref="BR5:BS12"/>
  <sortState ref="BQ6:BR12">
    <sortCondition ref="BQ38:BQ45"/>
  </sortState>
  <tableColumns count="2">
    <tableColumn id="1" name="Model Crater N"/>
    <tableColumn id="2" name="BDRF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4" name="Table55" displayName="Table55" ref="A3:AB43" totalsRowShown="0" headerRowDxfId="108" dataDxfId="107" tableBorderDxfId="106">
  <autoFilter ref="A3:AB43"/>
  <tableColumns count="28">
    <tableColumn id="1" name="Wavelength" dataDxfId="105"/>
    <tableColumn id="2" name="Q(H20)" dataDxfId="104"/>
    <tableColumn id="3" name="W(H20)" dataDxfId="103"/>
    <tableColumn id="5" name="A(H20)" dataDxfId="102"/>
    <tableColumn id="4" name="Qmix1" dataDxfId="101"/>
    <tableColumn id="6" name="Wmix1" dataDxfId="100"/>
    <tableColumn id="7" name="Amix1" dataDxfId="99"/>
    <tableColumn id="8" name="Qmix2" dataDxfId="98"/>
    <tableColumn id="9" name="Wmix2" dataDxfId="97"/>
    <tableColumn id="10" name="Amix2" dataDxfId="96"/>
    <tableColumn id="11" name="Qmix3" dataDxfId="95"/>
    <tableColumn id="12" name="Wmix3" dataDxfId="94"/>
    <tableColumn id="13" name="Amix3" dataDxfId="93"/>
    <tableColumn id="14" name="Qmix4" dataDxfId="92"/>
    <tableColumn id="15" name="Wmix4" dataDxfId="91"/>
    <tableColumn id="16" name="Amix4" dataDxfId="90"/>
    <tableColumn id="17" name="Qmix5" dataDxfId="89"/>
    <tableColumn id="18" name="Wmix5" dataDxfId="88"/>
    <tableColumn id="19" name="Amix5" dataDxfId="87"/>
    <tableColumn id="20" name="Qmix6" dataDxfId="86"/>
    <tableColumn id="21" name="Wmix6" dataDxfId="85"/>
    <tableColumn id="22" name="Amix6" dataDxfId="84"/>
    <tableColumn id="23" name="Qmix7" dataDxfId="83"/>
    <tableColumn id="24" name="Wmix7" dataDxfId="82"/>
    <tableColumn id="25" name="Amix7" dataDxfId="81"/>
    <tableColumn id="26" name="Q(Dark)" dataDxfId="80"/>
    <tableColumn id="27" name="W(Dark)" dataDxfId="79"/>
    <tableColumn id="28" name="A(Dark)" dataDxfId="7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Table10910" displayName="Table10910" ref="A51:E61" totalsRowShown="0">
  <autoFilter ref="A51:E61"/>
  <sortState ref="A52:F61">
    <sortCondition ref="B16:B26"/>
  </sortState>
  <tableColumns count="5">
    <tableColumn id="1" name="Crater"/>
    <tableColumn id="8" name="Model Dust Concentraion"/>
    <tableColumn id="3" name="Model Avg Albedo" dataDxfId="77"/>
    <tableColumn id="4" name="Pure Ice" dataDxfId="76"/>
    <tableColumn id="5" name="Pure Dust" dataDxfId="7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109" displayName="Table109" ref="A4:F14" totalsRowShown="0">
  <autoFilter ref="A4:F14"/>
  <sortState ref="A17:F26">
    <sortCondition ref="A16:A26"/>
  </sortState>
  <tableColumns count="6">
    <tableColumn id="1" name="Crater"/>
    <tableColumn id="2" name="(B1) MaskAvg (Dark Stuff)" dataDxfId="74"/>
    <tableColumn id="3" name="(B2) RevMaskAvg (Light Stuff)" dataDxfId="73"/>
    <tableColumn id="4" name="Difference" dataDxfId="72">
      <calculatedColumnFormula>Table109[[#This Row],[(B1) MaskAvg (Dark Stuff)]]-Table109[[#This Row],[(B2) RevMaskAvg (Light Stuff)]]</calculatedColumnFormula>
    </tableColumn>
    <tableColumn id="7" name="(B1-B2)/B2" dataDxfId="71">
      <calculatedColumnFormula>Table109[[#This Row],[Difference]]/Table109[[#This Row],[(B2) RevMaskAvg (Light Stuff)]]</calculatedColumnFormula>
    </tableColumn>
    <tableColumn id="8" name="Model Dust Concentra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7:H27" totalsRowShown="0" headerRowDxfId="70" headerRowBorderDxfId="69" tableBorderDxfId="68" totalsRowBorderDxfId="67">
  <autoFilter ref="A17:H27"/>
  <tableColumns count="8">
    <tableColumn id="1" name="Crater"/>
    <tableColumn id="2" name="Latitude"/>
    <tableColumn id="3" name="Longitude"/>
    <tableColumn id="4" name="Regional Albedo*"/>
    <tableColumn id="5" name="Regional BRDF" dataDxfId="66">
      <calculatedColumnFormula>D18/PI()</calculatedColumnFormula>
    </tableColumn>
    <tableColumn id="6" name="Background Dust Concentration"/>
    <tableColumn id="7" name="(B1-B2)/B2" dataDxfId="65"/>
    <tableColumn id="8" name="Ejecta Concentration" dataDxfId="6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12" name="Table1113" displayName="Table1113" ref="A2:J12" totalsRowShown="0" headerRowDxfId="63" headerRowBorderDxfId="62" tableBorderDxfId="61" totalsRowBorderDxfId="60">
  <autoFilter ref="A2:J12"/>
  <tableColumns count="10">
    <tableColumn id="1" name="Crater"/>
    <tableColumn id="6" name="Background Concentration"/>
    <tableColumn id="8" name="Ejecta Concentration" dataDxfId="59"/>
    <tableColumn id="9" name="Ejecta Mass"/>
    <tableColumn id="11" name="Impactor Mass" dataDxfId="58"/>
    <tableColumn id="13" name="Ejecta Dust Mass (Ejecta Mass * Ejecta dust concentration)" dataDxfId="57"/>
    <tableColumn id="17" name="Background Dust Contribution (Ejecta Mass * Background Dust Concentration)" dataDxfId="56"/>
    <tableColumn id="18" name="Externally-Contributed Dust (Ejecta Dust - Background Dust)" dataDxfId="55">
      <calculatedColumnFormula>Table1113[[#This Row],[Ejecta Dust Mass (Ejecta Mass * Ejecta dust concentration)]]-Table1113[[#This Row],[Background Dust Contribution (Ejecta Mass * Background Dust Concentration)]]</calculatedColumnFormula>
    </tableColumn>
    <tableColumn id="12" name="[Externally-Contributed Dust Mass] - [Impactor Mass]" dataDxfId="54">
      <calculatedColumnFormula>Table1113[[#This Row],[Externally-Contributed Dust (Ejecta Dust - Background Dust)]]-Table1113[[#This Row],[Impactor Mass]]</calculatedColumnFormula>
    </tableColumn>
    <tableColumn id="14" name="[Externally-Contributed Dust Mass]/[Impactor Mass]" dataDxfId="53">
      <calculatedColumnFormula>Table1113[[#This Row],[Externally-Contributed Dust (Ejecta Dust - Background Dust)]]/Table1113[[#This Row],[Impactor Mass]]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ile:///\\lasp-store\home\tato5911\Desktop\Europa\ImageSpecs.xlsx" TargetMode="Externa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.docs.live.net/625470e76b0ab27a/Documents/Work/Research/MieParametersNewAngles.xlsx" TargetMode="Externa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zoomScale="90" zoomScaleNormal="90" workbookViewId="0">
      <selection activeCell="D11" sqref="D11"/>
    </sheetView>
  </sheetViews>
  <sheetFormatPr defaultRowHeight="15" x14ac:dyDescent="0.25"/>
  <cols>
    <col min="1" max="1" width="20.140625" customWidth="1"/>
    <col min="2" max="2" width="9.85546875" bestFit="1" customWidth="1"/>
    <col min="3" max="3" width="10.28515625" bestFit="1" customWidth="1"/>
    <col min="4" max="4" width="9.7109375" bestFit="1" customWidth="1"/>
    <col min="5" max="5" width="9.28515625" bestFit="1" customWidth="1"/>
    <col min="6" max="6" width="9.85546875" bestFit="1" customWidth="1"/>
    <col min="7" max="7" width="9.140625" bestFit="1" customWidth="1"/>
    <col min="8" max="8" width="9.28515625" bestFit="1" customWidth="1"/>
    <col min="9" max="9" width="9.85546875" bestFit="1" customWidth="1"/>
    <col min="10" max="10" width="9.140625" bestFit="1" customWidth="1"/>
    <col min="11" max="11" width="9.28515625" bestFit="1" customWidth="1"/>
    <col min="12" max="12" width="9.85546875" bestFit="1" customWidth="1"/>
    <col min="13" max="13" width="9.140625" bestFit="1" customWidth="1"/>
    <col min="14" max="14" width="9.28515625" bestFit="1" customWidth="1"/>
    <col min="15" max="15" width="9.85546875" bestFit="1" customWidth="1"/>
    <col min="16" max="16" width="9.140625" bestFit="1" customWidth="1"/>
    <col min="17" max="17" width="9.28515625" bestFit="1" customWidth="1"/>
    <col min="18" max="18" width="9.85546875" bestFit="1" customWidth="1"/>
    <col min="19" max="19" width="9.140625" bestFit="1" customWidth="1"/>
    <col min="20" max="20" width="9.28515625" bestFit="1" customWidth="1"/>
    <col min="21" max="21" width="9.85546875" bestFit="1" customWidth="1"/>
    <col min="22" max="22" width="9.140625" bestFit="1" customWidth="1"/>
    <col min="23" max="23" width="9.28515625" bestFit="1" customWidth="1"/>
    <col min="24" max="24" width="9.85546875" bestFit="1" customWidth="1"/>
    <col min="25" max="25" width="9.140625" bestFit="1" customWidth="1"/>
    <col min="26" max="37" width="9.140625" customWidth="1"/>
  </cols>
  <sheetData>
    <row r="1" spans="1:40" x14ac:dyDescent="0.25">
      <c r="A1" s="88" t="s">
        <v>0</v>
      </c>
      <c r="B1" s="129" t="s">
        <v>1</v>
      </c>
      <c r="C1" s="129"/>
      <c r="D1" s="129"/>
      <c r="E1" s="127" t="s">
        <v>2</v>
      </c>
      <c r="F1" s="127"/>
      <c r="G1" s="128"/>
      <c r="H1" s="130" t="s">
        <v>3</v>
      </c>
      <c r="I1" s="127"/>
      <c r="J1" s="128"/>
      <c r="K1" s="130" t="s">
        <v>4</v>
      </c>
      <c r="L1" s="127"/>
      <c r="M1" s="128"/>
      <c r="N1" s="130" t="s">
        <v>5</v>
      </c>
      <c r="O1" s="127"/>
      <c r="P1" s="128"/>
      <c r="Q1" s="130" t="s">
        <v>6</v>
      </c>
      <c r="R1" s="127"/>
      <c r="S1" s="128"/>
      <c r="T1" s="130" t="s">
        <v>7</v>
      </c>
      <c r="U1" s="127"/>
      <c r="V1" s="128"/>
      <c r="W1" s="130" t="s">
        <v>8</v>
      </c>
      <c r="X1" s="127"/>
      <c r="Y1" s="128"/>
      <c r="Z1" s="130" t="s">
        <v>9</v>
      </c>
      <c r="AA1" s="127"/>
      <c r="AB1" s="128"/>
      <c r="AC1" s="131" t="s">
        <v>10</v>
      </c>
      <c r="AD1" s="132"/>
      <c r="AE1" s="133"/>
      <c r="AF1" s="130" t="s">
        <v>11</v>
      </c>
      <c r="AG1" s="127"/>
      <c r="AH1" s="128"/>
      <c r="AI1" s="130" t="s">
        <v>12</v>
      </c>
      <c r="AJ1" s="127"/>
      <c r="AK1" s="128"/>
      <c r="AL1" s="127" t="s">
        <v>13</v>
      </c>
      <c r="AM1" s="127"/>
      <c r="AN1" s="128"/>
    </row>
    <row r="2" spans="1:40" x14ac:dyDescent="0.25">
      <c r="A2" s="23" t="s">
        <v>14</v>
      </c>
      <c r="B2" s="3" t="s">
        <v>15</v>
      </c>
      <c r="C2" s="3" t="s">
        <v>16</v>
      </c>
      <c r="D2" s="3" t="s">
        <v>17</v>
      </c>
      <c r="E2" s="10" t="s">
        <v>18</v>
      </c>
      <c r="F2" s="4" t="s">
        <v>19</v>
      </c>
      <c r="G2" s="11" t="s">
        <v>20</v>
      </c>
      <c r="H2" s="15" t="s">
        <v>21</v>
      </c>
      <c r="I2" s="3" t="s">
        <v>22</v>
      </c>
      <c r="J2" s="16" t="s">
        <v>23</v>
      </c>
      <c r="K2" s="10" t="s">
        <v>24</v>
      </c>
      <c r="L2" s="4" t="s">
        <v>25</v>
      </c>
      <c r="M2" s="11" t="s">
        <v>26</v>
      </c>
      <c r="N2" s="10" t="s">
        <v>27</v>
      </c>
      <c r="O2" s="4" t="s">
        <v>28</v>
      </c>
      <c r="P2" s="11" t="s">
        <v>29</v>
      </c>
      <c r="Q2" s="10" t="s">
        <v>30</v>
      </c>
      <c r="R2" s="4" t="s">
        <v>31</v>
      </c>
      <c r="S2" s="11" t="s">
        <v>32</v>
      </c>
      <c r="T2" s="10" t="s">
        <v>33</v>
      </c>
      <c r="U2" s="4" t="s">
        <v>34</v>
      </c>
      <c r="V2" s="11" t="s">
        <v>35</v>
      </c>
      <c r="W2" s="10" t="s">
        <v>36</v>
      </c>
      <c r="X2" s="4" t="s">
        <v>37</v>
      </c>
      <c r="Y2" s="11" t="s">
        <v>38</v>
      </c>
      <c r="Z2" s="95" t="s">
        <v>39</v>
      </c>
      <c r="AA2" s="94" t="s">
        <v>40</v>
      </c>
      <c r="AB2" s="11" t="s">
        <v>41</v>
      </c>
      <c r="AC2" s="95" t="s">
        <v>42</v>
      </c>
      <c r="AD2" s="94" t="s">
        <v>43</v>
      </c>
      <c r="AE2" s="11" t="s">
        <v>44</v>
      </c>
      <c r="AF2" s="95" t="s">
        <v>45</v>
      </c>
      <c r="AG2" s="94" t="s">
        <v>46</v>
      </c>
      <c r="AH2" s="11" t="s">
        <v>47</v>
      </c>
      <c r="AI2" s="95" t="s">
        <v>48</v>
      </c>
      <c r="AJ2" s="94" t="s">
        <v>49</v>
      </c>
      <c r="AK2" s="11" t="s">
        <v>50</v>
      </c>
      <c r="AL2" s="3" t="s">
        <v>51</v>
      </c>
      <c r="AM2" s="3" t="s">
        <v>52</v>
      </c>
      <c r="AN2" s="5" t="s">
        <v>53</v>
      </c>
    </row>
    <row r="3" spans="1:40" x14ac:dyDescent="0.25">
      <c r="A3" s="22">
        <v>0.4</v>
      </c>
      <c r="B3" s="47">
        <v>2.0640941000000002</v>
      </c>
      <c r="C3" s="47">
        <v>1</v>
      </c>
      <c r="D3" s="47">
        <v>0.87610480000000002</v>
      </c>
      <c r="E3" s="25">
        <v>2.3424</v>
      </c>
      <c r="F3" s="47">
        <v>0.86370000000000002</v>
      </c>
      <c r="G3" s="44">
        <v>0.85960000000000003</v>
      </c>
      <c r="H3" s="25">
        <v>2.0640948366797298</v>
      </c>
      <c r="I3" s="47">
        <v>0.99999950416559802</v>
      </c>
      <c r="J3" s="47">
        <v>0.87610475858025905</v>
      </c>
      <c r="K3" s="25">
        <v>2.0640953449872801</v>
      </c>
      <c r="L3" s="47">
        <v>0.99999916204129302</v>
      </c>
      <c r="M3" s="44">
        <v>0.87610473000071298</v>
      </c>
      <c r="N3" s="25">
        <v>2.06409587866318</v>
      </c>
      <c r="O3" s="47">
        <v>0.99999880284284004</v>
      </c>
      <c r="P3" s="44">
        <v>0.87610469999483098</v>
      </c>
      <c r="Q3" s="25">
        <v>2.0640964664766899</v>
      </c>
      <c r="R3" s="47">
        <v>0.99999840720673205</v>
      </c>
      <c r="S3" s="44">
        <v>0.87610466694505995</v>
      </c>
      <c r="T3" s="25">
        <v>2.0640975419293999</v>
      </c>
      <c r="U3" s="47">
        <v>0.99999768335953798</v>
      </c>
      <c r="V3" s="44">
        <v>0.87610460647779898</v>
      </c>
      <c r="W3" s="25">
        <v>2.06409774069926</v>
      </c>
      <c r="X3" s="47">
        <v>0.99999754957512499</v>
      </c>
      <c r="Y3" s="44">
        <v>0.87610459530197404</v>
      </c>
      <c r="Z3" s="25">
        <v>2.06409445285871</v>
      </c>
      <c r="AA3" s="47">
        <v>0.99999976250254796</v>
      </c>
      <c r="AB3" s="44">
        <v>0.87610478016055704</v>
      </c>
      <c r="AC3" s="25">
        <v>2.0640945032652902</v>
      </c>
      <c r="AD3" s="47">
        <v>0.99999972857556796</v>
      </c>
      <c r="AE3" s="44">
        <v>0.87610477732644998</v>
      </c>
      <c r="AF3" s="25">
        <v>2.0640979805337598</v>
      </c>
      <c r="AG3" s="47">
        <v>0.99999738815174299</v>
      </c>
      <c r="AH3" s="44">
        <v>0.87610458181728901</v>
      </c>
      <c r="AI3" s="25">
        <v>2.0641012691983498</v>
      </c>
      <c r="AJ3" s="47">
        <v>0.99999517468641996</v>
      </c>
      <c r="AK3" s="44">
        <v>0.876104396912192</v>
      </c>
      <c r="AL3" s="47">
        <v>2.5</v>
      </c>
      <c r="AM3" s="47">
        <v>0.8</v>
      </c>
      <c r="AN3" s="44">
        <v>4.41E-2</v>
      </c>
    </row>
    <row r="4" spans="1:40" x14ac:dyDescent="0.25">
      <c r="A4" s="22">
        <v>0.41</v>
      </c>
      <c r="B4" s="47">
        <v>2.0649524000000001</v>
      </c>
      <c r="C4" s="47">
        <v>1</v>
      </c>
      <c r="D4" s="47">
        <v>0.87604490000000002</v>
      </c>
      <c r="E4" s="25">
        <v>2.3426999999999998</v>
      </c>
      <c r="F4" s="47">
        <v>0.86370000000000002</v>
      </c>
      <c r="G4" s="44">
        <v>0.85960000000000003</v>
      </c>
      <c r="H4" s="25">
        <v>2.0649531352291999</v>
      </c>
      <c r="I4" s="47">
        <v>0.99999950457770004</v>
      </c>
      <c r="J4" s="47">
        <v>0.87604485870964499</v>
      </c>
      <c r="K4" s="25">
        <v>2.0649536425359001</v>
      </c>
      <c r="L4" s="47">
        <v>0.99999916273774303</v>
      </c>
      <c r="M4" s="44">
        <v>0.87604483021937596</v>
      </c>
      <c r="N4" s="25">
        <v>2.0649541751609899</v>
      </c>
      <c r="O4" s="47">
        <v>0.99999880383782702</v>
      </c>
      <c r="P4" s="44">
        <v>0.87604480030722698</v>
      </c>
      <c r="Q4" s="25">
        <v>2.06495476181709</v>
      </c>
      <c r="R4" s="47">
        <v>0.99999840853053901</v>
      </c>
      <c r="S4" s="44">
        <v>0.87604476736069803</v>
      </c>
      <c r="T4" s="25">
        <v>2.0649558351522299</v>
      </c>
      <c r="U4" s="47">
        <v>0.99999768528494404</v>
      </c>
      <c r="V4" s="44">
        <v>0.87604470708232396</v>
      </c>
      <c r="W4" s="25">
        <v>2.0649560335307098</v>
      </c>
      <c r="X4" s="47">
        <v>0.99999755161172099</v>
      </c>
      <c r="Y4" s="44">
        <v>0.87604469594141099</v>
      </c>
      <c r="Z4" s="25">
        <v>2.0649527521639301</v>
      </c>
      <c r="AA4" s="47">
        <v>0.99999976269993895</v>
      </c>
      <c r="AB4" s="44">
        <v>0.87604488022253302</v>
      </c>
      <c r="AC4" s="25">
        <v>2.06495280247126</v>
      </c>
      <c r="AD4" s="47">
        <v>0.99999972880115695</v>
      </c>
      <c r="AE4" s="44">
        <v>0.87604487739727899</v>
      </c>
      <c r="AF4" s="25">
        <v>2.0649562728929798</v>
      </c>
      <c r="AG4" s="47">
        <v>0.99999739032250001</v>
      </c>
      <c r="AH4" s="44">
        <v>0.87604468249885303</v>
      </c>
      <c r="AI4" s="25">
        <v>2.0649595550821802</v>
      </c>
      <c r="AJ4" s="47">
        <v>0.999995178696785</v>
      </c>
      <c r="AK4" s="44">
        <v>0.87604449817135999</v>
      </c>
      <c r="AL4" s="47">
        <v>2.5</v>
      </c>
      <c r="AM4" s="47">
        <v>0.8</v>
      </c>
      <c r="AN4" s="44">
        <v>4.41E-2</v>
      </c>
    </row>
    <row r="5" spans="1:40" x14ac:dyDescent="0.25">
      <c r="A5" s="22">
        <v>0.42</v>
      </c>
      <c r="B5" s="47">
        <v>2.0675995</v>
      </c>
      <c r="C5" s="47">
        <v>1</v>
      </c>
      <c r="D5" s="47">
        <v>0.8754132</v>
      </c>
      <c r="E5" s="25">
        <v>2.3435999999999999</v>
      </c>
      <c r="F5" s="47">
        <v>0.86380000000000001</v>
      </c>
      <c r="G5" s="44">
        <v>0.85940000000000005</v>
      </c>
      <c r="H5" s="25">
        <v>2.0676002307556098</v>
      </c>
      <c r="I5" s="47">
        <v>0.99999950584543995</v>
      </c>
      <c r="J5" s="47">
        <v>0.87541315981420798</v>
      </c>
      <c r="K5" s="25">
        <v>2.0676007349755401</v>
      </c>
      <c r="L5" s="47">
        <v>0.99999916488021701</v>
      </c>
      <c r="M5" s="44">
        <v>0.87541313208608595</v>
      </c>
      <c r="N5" s="25">
        <v>2.0676012643598001</v>
      </c>
      <c r="O5" s="47">
        <v>0.99999880689868603</v>
      </c>
      <c r="P5" s="44">
        <v>0.875413102974121</v>
      </c>
      <c r="Q5" s="25">
        <v>2.0676018474463298</v>
      </c>
      <c r="R5" s="47">
        <v>0.99999841260294198</v>
      </c>
      <c r="S5" s="44">
        <v>0.87541307090894704</v>
      </c>
      <c r="T5" s="25">
        <v>2.0676029142506298</v>
      </c>
      <c r="U5" s="47">
        <v>0.99999769120803506</v>
      </c>
      <c r="V5" s="44">
        <v>0.87541301224308599</v>
      </c>
      <c r="W5" s="25">
        <v>2.0676031114220499</v>
      </c>
      <c r="X5" s="47">
        <v>0.99999755787686095</v>
      </c>
      <c r="Y5" s="44">
        <v>0.87541300140020295</v>
      </c>
      <c r="Z5" s="25">
        <v>2.0675998500211401</v>
      </c>
      <c r="AA5" s="47">
        <v>0.999999763307169</v>
      </c>
      <c r="AB5" s="44">
        <v>0.87541318075160002</v>
      </c>
      <c r="AC5" s="25">
        <v>2.0675999000223801</v>
      </c>
      <c r="AD5" s="47">
        <v>0.99999972949513105</v>
      </c>
      <c r="AE5" s="44">
        <v>0.87541317800192697</v>
      </c>
      <c r="AF5" s="25">
        <v>2.0676033493278898</v>
      </c>
      <c r="AG5" s="47">
        <v>0.99999739700035495</v>
      </c>
      <c r="AH5" s="44">
        <v>0.87541298831724601</v>
      </c>
      <c r="AI5" s="25">
        <v>2.0676066115462199</v>
      </c>
      <c r="AJ5" s="47">
        <v>0.99999519103379197</v>
      </c>
      <c r="AK5" s="44">
        <v>0.87541280892071105</v>
      </c>
      <c r="AL5" s="47">
        <v>2.5</v>
      </c>
      <c r="AM5" s="47">
        <v>0.8</v>
      </c>
      <c r="AN5" s="44">
        <v>4.4200000000000003E-2</v>
      </c>
    </row>
    <row r="6" spans="1:40" x14ac:dyDescent="0.25">
      <c r="A6" s="22">
        <v>0.43</v>
      </c>
      <c r="B6" s="47">
        <v>2.0678839999999998</v>
      </c>
      <c r="C6" s="47">
        <v>1</v>
      </c>
      <c r="D6" s="47">
        <v>0.87584280000000003</v>
      </c>
      <c r="E6" s="25">
        <v>2.3437000000000001</v>
      </c>
      <c r="F6" s="47">
        <v>0.86380000000000001</v>
      </c>
      <c r="G6" s="44">
        <v>0.85950000000000004</v>
      </c>
      <c r="H6" s="25">
        <v>2.0678847302748098</v>
      </c>
      <c r="I6" s="47">
        <v>0.99999950598140197</v>
      </c>
      <c r="J6" s="47">
        <v>0.87584275914612597</v>
      </c>
      <c r="K6" s="25">
        <v>2.0678852341629801</v>
      </c>
      <c r="L6" s="47">
        <v>0.99999916510999198</v>
      </c>
      <c r="M6" s="44">
        <v>0.87584273095702903</v>
      </c>
      <c r="N6" s="25">
        <v>2.0678857631989298</v>
      </c>
      <c r="O6" s="47">
        <v>0.999998807226955</v>
      </c>
      <c r="P6" s="44">
        <v>0.875842701361082</v>
      </c>
      <c r="Q6" s="25">
        <v>2.0678863459018202</v>
      </c>
      <c r="R6" s="47">
        <v>0.99999841303969805</v>
      </c>
      <c r="S6" s="44">
        <v>0.87584266876283101</v>
      </c>
      <c r="T6" s="25">
        <v>2.0678874120042101</v>
      </c>
      <c r="U6" s="47">
        <v>0.99999769184327203</v>
      </c>
      <c r="V6" s="44">
        <v>0.87584260912166101</v>
      </c>
      <c r="W6" s="25">
        <v>2.0678876090459002</v>
      </c>
      <c r="X6" s="47">
        <v>0.99999755854878303</v>
      </c>
      <c r="Y6" s="44">
        <v>0.87584259809851805</v>
      </c>
      <c r="Z6" s="25">
        <v>2.0678843497908499</v>
      </c>
      <c r="AA6" s="47">
        <v>0.99999976337229302</v>
      </c>
      <c r="AB6" s="44">
        <v>0.87584278043159902</v>
      </c>
      <c r="AC6" s="25">
        <v>2.0678843997591798</v>
      </c>
      <c r="AD6" s="47">
        <v>0.99999972956955796</v>
      </c>
      <c r="AE6" s="44">
        <v>0.87584277763621199</v>
      </c>
      <c r="AF6" s="25">
        <v>2.0678878467952102</v>
      </c>
      <c r="AG6" s="47">
        <v>0.99999739771653895</v>
      </c>
      <c r="AH6" s="44">
        <v>0.87584258479805999</v>
      </c>
      <c r="AI6" s="25">
        <v>2.0678911068671399</v>
      </c>
      <c r="AJ6" s="47">
        <v>0.99999519235690704</v>
      </c>
      <c r="AK6" s="44">
        <v>0.87584240241908995</v>
      </c>
      <c r="AL6" s="47">
        <v>2.5</v>
      </c>
      <c r="AM6" s="47">
        <v>0.8</v>
      </c>
      <c r="AN6" s="44">
        <v>4.41E-2</v>
      </c>
    </row>
    <row r="7" spans="1:40" x14ac:dyDescent="0.25">
      <c r="A7" s="22">
        <v>0.44</v>
      </c>
      <c r="B7" s="47">
        <v>2.0669558000000001</v>
      </c>
      <c r="C7" s="47">
        <v>1</v>
      </c>
      <c r="D7" s="47">
        <v>0.87605049999999995</v>
      </c>
      <c r="E7" s="25">
        <v>2.3433999999999999</v>
      </c>
      <c r="F7" s="47">
        <v>0.86380000000000001</v>
      </c>
      <c r="G7" s="44">
        <v>0.85960000000000003</v>
      </c>
      <c r="H7" s="25">
        <v>2.0669565318434602</v>
      </c>
      <c r="I7" s="47">
        <v>0.99999950553760897</v>
      </c>
      <c r="J7" s="47">
        <v>0.87605045878078802</v>
      </c>
      <c r="K7" s="25">
        <v>2.06695703681401</v>
      </c>
      <c r="L7" s="47">
        <v>0.99999916435998504</v>
      </c>
      <c r="M7" s="44">
        <v>0.87605043033960805</v>
      </c>
      <c r="N7" s="25">
        <v>2.06695756698634</v>
      </c>
      <c r="O7" s="47">
        <v>0.999998806155453</v>
      </c>
      <c r="P7" s="44">
        <v>0.87605040047899596</v>
      </c>
      <c r="Q7" s="25">
        <v>2.0669581509408901</v>
      </c>
      <c r="R7" s="47">
        <v>0.99999841161408798</v>
      </c>
      <c r="S7" s="44">
        <v>0.87605036758923205</v>
      </c>
      <c r="T7" s="25">
        <v>2.0669592193333099</v>
      </c>
      <c r="U7" s="47">
        <v>0.99999768976979997</v>
      </c>
      <c r="V7" s="44">
        <v>0.87605030741471501</v>
      </c>
      <c r="W7" s="25">
        <v>2.0669594167982499</v>
      </c>
      <c r="X7" s="47">
        <v>0.99999755635556997</v>
      </c>
      <c r="Y7" s="44">
        <v>0.87605029629299502</v>
      </c>
      <c r="Z7" s="25">
        <v>2.06695615054221</v>
      </c>
      <c r="AA7" s="47">
        <v>0.99999976315972205</v>
      </c>
      <c r="AB7" s="44">
        <v>0.87605048025660603</v>
      </c>
      <c r="AC7" s="25">
        <v>2.0669562006178701</v>
      </c>
      <c r="AD7" s="47">
        <v>0.99999972932662096</v>
      </c>
      <c r="AE7" s="44">
        <v>0.876050477436224</v>
      </c>
      <c r="AF7" s="25">
        <v>2.0669596550582501</v>
      </c>
      <c r="AG7" s="47">
        <v>0.99999739537885002</v>
      </c>
      <c r="AH7" s="44">
        <v>0.87605028287359699</v>
      </c>
      <c r="AI7" s="25">
        <v>2.0669629221329302</v>
      </c>
      <c r="AJ7" s="47">
        <v>0.99999518803814103</v>
      </c>
      <c r="AK7" s="44">
        <v>0.87605009886368701</v>
      </c>
      <c r="AL7" s="47">
        <v>2.5</v>
      </c>
      <c r="AM7" s="47">
        <v>0.8</v>
      </c>
      <c r="AN7" s="44">
        <v>4.41E-2</v>
      </c>
    </row>
    <row r="8" spans="1:40" x14ac:dyDescent="0.25">
      <c r="A8" s="22">
        <v>0.45</v>
      </c>
      <c r="B8" s="47">
        <v>2.070713</v>
      </c>
      <c r="C8" s="47">
        <v>1</v>
      </c>
      <c r="D8" s="47">
        <v>0.8753206</v>
      </c>
      <c r="E8" s="25">
        <v>2.3448000000000002</v>
      </c>
      <c r="F8" s="47">
        <v>0.8639</v>
      </c>
      <c r="G8" s="44">
        <v>0.85940000000000005</v>
      </c>
      <c r="H8" s="25">
        <v>2.0707137254938002</v>
      </c>
      <c r="I8" s="47">
        <v>0.99999950733033005</v>
      </c>
      <c r="J8" s="47">
        <v>0.87532056008095005</v>
      </c>
      <c r="K8" s="25">
        <v>2.0707142260831</v>
      </c>
      <c r="L8" s="47">
        <v>0.99999916738967098</v>
      </c>
      <c r="M8" s="44">
        <v>0.87532053253688002</v>
      </c>
      <c r="N8" s="25">
        <v>2.07071475165553</v>
      </c>
      <c r="O8" s="47">
        <v>0.99999881048383299</v>
      </c>
      <c r="P8" s="44">
        <v>0.87532050361815095</v>
      </c>
      <c r="Q8" s="25">
        <v>2.07071533054354</v>
      </c>
      <c r="R8" s="47">
        <v>0.99999841737289896</v>
      </c>
      <c r="S8" s="44">
        <v>0.87532047176581695</v>
      </c>
      <c r="T8" s="25">
        <v>2.0707163896663201</v>
      </c>
      <c r="U8" s="47">
        <v>0.99999769814568096</v>
      </c>
      <c r="V8" s="44">
        <v>0.87532041348936296</v>
      </c>
      <c r="W8" s="25">
        <v>2.0707165854180101</v>
      </c>
      <c r="X8" s="47">
        <v>0.99999756521514704</v>
      </c>
      <c r="Y8" s="44">
        <v>0.87532040271845202</v>
      </c>
      <c r="Z8" s="25">
        <v>2.0707133475008201</v>
      </c>
      <c r="AA8" s="47">
        <v>0.99999976401840995</v>
      </c>
      <c r="AB8" s="44">
        <v>0.87532058087936804</v>
      </c>
      <c r="AC8" s="25">
        <v>2.07071339714201</v>
      </c>
      <c r="AD8" s="47">
        <v>0.99999973030797396</v>
      </c>
      <c r="AE8" s="44">
        <v>0.87532057814794495</v>
      </c>
      <c r="AF8" s="25">
        <v>2.0707168216107998</v>
      </c>
      <c r="AG8" s="47">
        <v>0.99999740482204902</v>
      </c>
      <c r="AH8" s="44">
        <v>0.87532038972233805</v>
      </c>
      <c r="AI8" s="25">
        <v>2.0707200603395299</v>
      </c>
      <c r="AJ8" s="47">
        <v>0.99999520548398502</v>
      </c>
      <c r="AK8" s="44">
        <v>0.87532021151657502</v>
      </c>
      <c r="AL8" s="47">
        <v>2.5</v>
      </c>
      <c r="AM8" s="47">
        <v>0.8</v>
      </c>
      <c r="AN8" s="44">
        <v>4.4200000000000003E-2</v>
      </c>
    </row>
    <row r="9" spans="1:40" x14ac:dyDescent="0.25">
      <c r="A9" s="22">
        <v>0.46</v>
      </c>
      <c r="B9" s="47">
        <v>2.0770862000000001</v>
      </c>
      <c r="C9" s="47">
        <v>1</v>
      </c>
      <c r="D9" s="47">
        <v>0.87273710000000004</v>
      </c>
      <c r="E9" s="25">
        <v>2.3471000000000002</v>
      </c>
      <c r="F9" s="47">
        <v>0.86399999999999999</v>
      </c>
      <c r="G9" s="44">
        <v>0.85840000000000005</v>
      </c>
      <c r="H9" s="25">
        <v>2.0770869147231199</v>
      </c>
      <c r="I9" s="47">
        <v>0.999999510349036</v>
      </c>
      <c r="J9" s="47">
        <v>0.87273706437359</v>
      </c>
      <c r="K9" s="25">
        <v>2.07708740788066</v>
      </c>
      <c r="L9" s="47">
        <v>0.99999917249126902</v>
      </c>
      <c r="M9" s="44">
        <v>0.87273703979143402</v>
      </c>
      <c r="N9" s="25">
        <v>2.0770879256504302</v>
      </c>
      <c r="O9" s="47">
        <v>0.99999881777226396</v>
      </c>
      <c r="P9" s="44">
        <v>0.87273701398243897</v>
      </c>
      <c r="Q9" s="25">
        <v>2.0770884959442699</v>
      </c>
      <c r="R9" s="47">
        <v>0.99999842706998898</v>
      </c>
      <c r="S9" s="44">
        <v>0.87273698555530099</v>
      </c>
      <c r="T9" s="25">
        <v>2.07708953934329</v>
      </c>
      <c r="U9" s="47">
        <v>0.99999771224957701</v>
      </c>
      <c r="V9" s="44">
        <v>0.87273693354552095</v>
      </c>
      <c r="W9" s="25">
        <v>2.07708973218885</v>
      </c>
      <c r="X9" s="47">
        <v>0.99999758013352302</v>
      </c>
      <c r="Y9" s="44">
        <v>0.87273692393284497</v>
      </c>
      <c r="Z9" s="25">
        <v>2.0770865423418101</v>
      </c>
      <c r="AA9" s="47">
        <v>0.999999765464329</v>
      </c>
      <c r="AB9" s="44">
        <v>0.87273708293547703</v>
      </c>
      <c r="AC9" s="25">
        <v>2.0770865912460401</v>
      </c>
      <c r="AD9" s="47">
        <v>0.999999731960445</v>
      </c>
      <c r="AE9" s="44">
        <v>0.87273708049777499</v>
      </c>
      <c r="AF9" s="25">
        <v>2.0770899648751202</v>
      </c>
      <c r="AG9" s="47">
        <v>0.99999742072317099</v>
      </c>
      <c r="AH9" s="44">
        <v>0.87273691233424999</v>
      </c>
      <c r="AI9" s="25">
        <v>2.0770931555216401</v>
      </c>
      <c r="AJ9" s="47">
        <v>0.99999523486052599</v>
      </c>
      <c r="AK9" s="44">
        <v>0.87273675329157896</v>
      </c>
      <c r="AL9" s="47">
        <v>2.5</v>
      </c>
      <c r="AM9" s="47">
        <v>0.8</v>
      </c>
      <c r="AN9" s="44">
        <v>4.4499999999999998E-2</v>
      </c>
    </row>
    <row r="10" spans="1:40" x14ac:dyDescent="0.25">
      <c r="A10" s="22">
        <v>0.47</v>
      </c>
      <c r="B10" s="47">
        <v>2.0744126000000001</v>
      </c>
      <c r="C10" s="47">
        <v>0.99999990000000005</v>
      </c>
      <c r="D10" s="47">
        <v>0.8745773</v>
      </c>
      <c r="E10" s="25">
        <v>2.3460999999999999</v>
      </c>
      <c r="F10" s="47">
        <v>0.8639</v>
      </c>
      <c r="G10" s="44">
        <v>0.85909999999999997</v>
      </c>
      <c r="H10" s="25">
        <v>2.07441331924149</v>
      </c>
      <c r="I10" s="47">
        <v>0.99999940908630203</v>
      </c>
      <c r="J10" s="47">
        <v>0.874577261390873</v>
      </c>
      <c r="K10" s="25">
        <v>2.0744138155166998</v>
      </c>
      <c r="L10" s="47">
        <v>0.99999907035725499</v>
      </c>
      <c r="M10" s="44">
        <v>0.87457723475064597</v>
      </c>
      <c r="N10" s="25">
        <v>2.0744143365597401</v>
      </c>
      <c r="O10" s="47">
        <v>0.999998714723491</v>
      </c>
      <c r="P10" s="44">
        <v>0.87457720678086803</v>
      </c>
      <c r="Q10" s="25">
        <v>2.07441491045889</v>
      </c>
      <c r="R10" s="47">
        <v>0.99999832301366598</v>
      </c>
      <c r="S10" s="44">
        <v>0.87457717597374895</v>
      </c>
      <c r="T10" s="25">
        <v>2.0744159604541301</v>
      </c>
      <c r="U10" s="47">
        <v>0.999997606349872</v>
      </c>
      <c r="V10" s="44">
        <v>0.87457711960960205</v>
      </c>
      <c r="W10" s="25">
        <v>2.07441615451883</v>
      </c>
      <c r="X10" s="47">
        <v>0.99999747389311899</v>
      </c>
      <c r="Y10" s="44">
        <v>0.87457710919213205</v>
      </c>
      <c r="Z10" s="25">
        <v>2.07441294450605</v>
      </c>
      <c r="AA10" s="47">
        <v>0.99999966485949598</v>
      </c>
      <c r="AB10" s="44">
        <v>0.87457728150679903</v>
      </c>
      <c r="AC10" s="25">
        <v>2.0744129937194402</v>
      </c>
      <c r="AD10" s="47">
        <v>0.99999963126920999</v>
      </c>
      <c r="AE10" s="44">
        <v>0.87457727886500902</v>
      </c>
      <c r="AF10" s="25">
        <v>2.07441638867612</v>
      </c>
      <c r="AG10" s="47">
        <v>0.99999731407168002</v>
      </c>
      <c r="AH10" s="44">
        <v>0.87457709662247496</v>
      </c>
      <c r="AI10" s="25">
        <v>2.07441959949344</v>
      </c>
      <c r="AJ10" s="47">
        <v>0.99999512257222201</v>
      </c>
      <c r="AK10" s="44">
        <v>0.87457692426442302</v>
      </c>
      <c r="AL10" s="47">
        <v>2.5</v>
      </c>
      <c r="AM10" s="47">
        <v>0.8</v>
      </c>
      <c r="AN10" s="44">
        <v>4.4299999999999999E-2</v>
      </c>
    </row>
    <row r="11" spans="1:40" s="103" customFormat="1" x14ac:dyDescent="0.25">
      <c r="A11" s="99">
        <v>0.48</v>
      </c>
      <c r="B11" s="100">
        <v>2.0742712000000001</v>
      </c>
      <c r="C11" s="100">
        <v>0.99999990000000005</v>
      </c>
      <c r="D11" s="100">
        <v>0.87508730000000001</v>
      </c>
      <c r="E11" s="101">
        <v>2.3460999999999999</v>
      </c>
      <c r="F11" s="100">
        <v>0.8639</v>
      </c>
      <c r="G11" s="102">
        <v>0.85929999999999995</v>
      </c>
      <c r="H11" s="101">
        <v>2.0742719194804602</v>
      </c>
      <c r="I11" s="100">
        <v>0.99999940901937001</v>
      </c>
      <c r="J11" s="100">
        <v>0.87508726058432595</v>
      </c>
      <c r="K11" s="101">
        <v>2.0742724159205501</v>
      </c>
      <c r="L11" s="100">
        <v>0.99999907024414003</v>
      </c>
      <c r="M11" s="102">
        <v>0.87508723338758398</v>
      </c>
      <c r="N11" s="101">
        <v>2.0742729371367101</v>
      </c>
      <c r="O11" s="100">
        <v>0.99999871456188905</v>
      </c>
      <c r="P11" s="102">
        <v>0.87508720483351699</v>
      </c>
      <c r="Q11" s="101">
        <v>2.0742735112265298</v>
      </c>
      <c r="R11" s="100">
        <v>0.99999832279865697</v>
      </c>
      <c r="S11" s="102">
        <v>0.87508717338283704</v>
      </c>
      <c r="T11" s="101">
        <v>2.0742745615706299</v>
      </c>
      <c r="U11" s="100">
        <v>0.99999760603715504</v>
      </c>
      <c r="V11" s="102">
        <v>0.87508711584124099</v>
      </c>
      <c r="W11" s="101">
        <v>2.0742747556998098</v>
      </c>
      <c r="X11" s="100">
        <v>0.99999747356234303</v>
      </c>
      <c r="Y11" s="102">
        <v>0.87508710520614996</v>
      </c>
      <c r="Z11" s="101">
        <v>2.07427154462051</v>
      </c>
      <c r="AA11" s="100">
        <v>0.99999966482743596</v>
      </c>
      <c r="AB11" s="102">
        <v>0.87508728112047696</v>
      </c>
      <c r="AC11" s="101">
        <v>2.0742715938502498</v>
      </c>
      <c r="AD11" s="100">
        <v>0.99999963123257196</v>
      </c>
      <c r="AE11" s="102">
        <v>0.87508727842349698</v>
      </c>
      <c r="AF11" s="101">
        <v>2.0742749899348998</v>
      </c>
      <c r="AG11" s="100">
        <v>0.99999731371911504</v>
      </c>
      <c r="AH11" s="102">
        <v>0.87508709237391402</v>
      </c>
      <c r="AI11" s="101">
        <v>2.0742782018189998</v>
      </c>
      <c r="AJ11" s="100">
        <v>0.99999512192087703</v>
      </c>
      <c r="AK11" s="102">
        <v>0.87508691641529901</v>
      </c>
      <c r="AL11" s="100">
        <v>2.5</v>
      </c>
      <c r="AM11" s="100">
        <v>0.8</v>
      </c>
      <c r="AN11" s="102">
        <v>4.4200000000000003E-2</v>
      </c>
    </row>
    <row r="12" spans="1:40" x14ac:dyDescent="0.25">
      <c r="A12" s="22">
        <v>0.49</v>
      </c>
      <c r="B12" s="47">
        <v>2.0792742</v>
      </c>
      <c r="C12" s="47">
        <v>1</v>
      </c>
      <c r="D12" s="47">
        <v>0.87341500000000005</v>
      </c>
      <c r="E12" s="25">
        <v>2.3479000000000001</v>
      </c>
      <c r="F12" s="47">
        <v>0.86399999999999999</v>
      </c>
      <c r="G12" s="44">
        <v>0.85870000000000002</v>
      </c>
      <c r="H12" s="25">
        <v>2.0792749110253999</v>
      </c>
      <c r="I12" s="47">
        <v>0.999999511379001</v>
      </c>
      <c r="J12" s="47">
        <v>0.87341496338857405</v>
      </c>
      <c r="K12" s="25">
        <v>2.0792754016315298</v>
      </c>
      <c r="L12" s="47">
        <v>0.99999917423190399</v>
      </c>
      <c r="M12" s="44">
        <v>0.87341493812675697</v>
      </c>
      <c r="N12" s="25">
        <v>2.0792759167225499</v>
      </c>
      <c r="O12" s="47">
        <v>0.99999882025903397</v>
      </c>
      <c r="P12" s="44">
        <v>0.87341491160418205</v>
      </c>
      <c r="Q12" s="25">
        <v>2.0792764840658999</v>
      </c>
      <c r="R12" s="47">
        <v>0.99999843037857905</v>
      </c>
      <c r="S12" s="44">
        <v>0.87341488239107401</v>
      </c>
      <c r="T12" s="25">
        <v>2.0792775220667599</v>
      </c>
      <c r="U12" s="47">
        <v>0.99999771706174401</v>
      </c>
      <c r="V12" s="44">
        <v>0.87341482894330003</v>
      </c>
      <c r="W12" s="25">
        <v>2.0792777139146099</v>
      </c>
      <c r="X12" s="47">
        <v>0.99999758522358595</v>
      </c>
      <c r="Y12" s="44">
        <v>0.87341481906484697</v>
      </c>
      <c r="Z12" s="25">
        <v>2.0792745405706601</v>
      </c>
      <c r="AA12" s="47">
        <v>0.99999976595766804</v>
      </c>
      <c r="AB12" s="44">
        <v>0.87341498246367</v>
      </c>
      <c r="AC12" s="25">
        <v>2.07927458922188</v>
      </c>
      <c r="AD12" s="47">
        <v>0.999999732524257</v>
      </c>
      <c r="AE12" s="44">
        <v>0.87341497995856998</v>
      </c>
      <c r="AF12" s="25">
        <v>2.0792779453970498</v>
      </c>
      <c r="AG12" s="47">
        <v>0.99999742614854104</v>
      </c>
      <c r="AH12" s="44">
        <v>0.87341480714556397</v>
      </c>
      <c r="AI12" s="25">
        <v>2.0792811195363399</v>
      </c>
      <c r="AJ12" s="47">
        <v>0.99999524488363101</v>
      </c>
      <c r="AK12" s="44">
        <v>0.87341464370558997</v>
      </c>
      <c r="AL12" s="47">
        <v>2.5</v>
      </c>
      <c r="AM12" s="47">
        <v>0.8</v>
      </c>
      <c r="AN12" s="44">
        <v>4.4400000000000002E-2</v>
      </c>
    </row>
    <row r="13" spans="1:40" x14ac:dyDescent="0.25">
      <c r="A13" s="22">
        <v>0.5</v>
      </c>
      <c r="B13" s="47">
        <v>2.0788422</v>
      </c>
      <c r="C13" s="47">
        <v>0.99999990000000005</v>
      </c>
      <c r="D13" s="47">
        <v>0.87323649999999997</v>
      </c>
      <c r="E13" s="25">
        <v>2.3477000000000001</v>
      </c>
      <c r="F13" s="47">
        <v>0.86399999999999999</v>
      </c>
      <c r="G13" s="44">
        <v>0.85860000000000003</v>
      </c>
      <c r="H13" s="25">
        <v>2.0788429117554799</v>
      </c>
      <c r="I13" s="47">
        <v>0.99999941117614699</v>
      </c>
      <c r="J13" s="47">
        <v>0.87323646365256402</v>
      </c>
      <c r="K13" s="25">
        <v>2.0788434028653602</v>
      </c>
      <c r="L13" s="47">
        <v>0.99999907388908105</v>
      </c>
      <c r="M13" s="44">
        <v>0.87323643857290101</v>
      </c>
      <c r="N13" s="25">
        <v>2.0788439184852798</v>
      </c>
      <c r="O13" s="47">
        <v>0.99999871976925703</v>
      </c>
      <c r="P13" s="44">
        <v>0.87323641224157</v>
      </c>
      <c r="Q13" s="25">
        <v>2.0788444864111701</v>
      </c>
      <c r="R13" s="47">
        <v>0.99999832972694203</v>
      </c>
      <c r="S13" s="44">
        <v>0.87323638323910802</v>
      </c>
      <c r="T13" s="25">
        <v>2.07884552547785</v>
      </c>
      <c r="U13" s="47">
        <v>0.99999761611397298</v>
      </c>
      <c r="V13" s="44">
        <v>0.87323633017672597</v>
      </c>
      <c r="W13" s="25">
        <v>2.0788457175226802</v>
      </c>
      <c r="X13" s="47">
        <v>0.99999748422108303</v>
      </c>
      <c r="Y13" s="44">
        <v>0.87323632036950305</v>
      </c>
      <c r="Z13" s="25">
        <v>2.0788425409203599</v>
      </c>
      <c r="AA13" s="47">
        <v>0.99999966586050404</v>
      </c>
      <c r="AB13" s="44">
        <v>0.87323648259011699</v>
      </c>
      <c r="AC13" s="25">
        <v>2.0788425896215301</v>
      </c>
      <c r="AD13" s="47">
        <v>0.99999963241321399</v>
      </c>
      <c r="AE13" s="44">
        <v>0.87323648010307997</v>
      </c>
      <c r="AF13" s="25">
        <v>2.07884594924281</v>
      </c>
      <c r="AG13" s="47">
        <v>0.99999732507999695</v>
      </c>
      <c r="AH13" s="44">
        <v>0.87323630853616696</v>
      </c>
      <c r="AI13" s="25">
        <v>2.0788491266412898</v>
      </c>
      <c r="AJ13" s="47">
        <v>0.99999514290955005</v>
      </c>
      <c r="AK13" s="44">
        <v>0.87323614627470003</v>
      </c>
      <c r="AL13" s="47">
        <v>2.5</v>
      </c>
      <c r="AM13" s="47">
        <v>0.8</v>
      </c>
      <c r="AN13" s="44">
        <v>4.4400000000000002E-2</v>
      </c>
    </row>
    <row r="14" spans="1:40" x14ac:dyDescent="0.25">
      <c r="A14" s="22">
        <v>0.51</v>
      </c>
      <c r="B14" s="47">
        <v>2.0755110000000001</v>
      </c>
      <c r="C14" s="47">
        <v>0.99999979999999999</v>
      </c>
      <c r="D14" s="47">
        <v>0.87525810000000004</v>
      </c>
      <c r="E14" s="25">
        <v>2.3464999999999998</v>
      </c>
      <c r="F14" s="47">
        <v>0.86399999999999999</v>
      </c>
      <c r="G14" s="44">
        <v>0.85940000000000005</v>
      </c>
      <c r="H14" s="25">
        <v>2.0755117173851998</v>
      </c>
      <c r="I14" s="47">
        <v>0.99999930960600902</v>
      </c>
      <c r="J14" s="47">
        <v>0.87525806036336395</v>
      </c>
      <c r="K14" s="25">
        <v>2.0755122123795702</v>
      </c>
      <c r="L14" s="47">
        <v>0.99999897123555803</v>
      </c>
      <c r="M14" s="44">
        <v>0.87525803301415706</v>
      </c>
      <c r="N14" s="25">
        <v>2.0755127320778501</v>
      </c>
      <c r="O14" s="47">
        <v>0.99999861597828399</v>
      </c>
      <c r="P14" s="44">
        <v>0.87525800430001699</v>
      </c>
      <c r="Q14" s="25">
        <v>2.0755133044958201</v>
      </c>
      <c r="R14" s="47">
        <v>0.99999822468314004</v>
      </c>
      <c r="S14" s="44">
        <v>0.87525797267302496</v>
      </c>
      <c r="T14" s="25">
        <v>2.0755143517811301</v>
      </c>
      <c r="U14" s="47">
        <v>0.99999750877803395</v>
      </c>
      <c r="V14" s="44">
        <v>0.87525791480885295</v>
      </c>
      <c r="W14" s="25">
        <v>2.0755145453449702</v>
      </c>
      <c r="X14" s="47">
        <v>0.999997376461503</v>
      </c>
      <c r="Y14" s="44">
        <v>0.87525790411414195</v>
      </c>
      <c r="Z14" s="25">
        <v>2.0755113436169101</v>
      </c>
      <c r="AA14" s="47">
        <v>0.99999956510843002</v>
      </c>
      <c r="AB14" s="44">
        <v>0.87525808101463798</v>
      </c>
      <c r="AC14" s="25">
        <v>2.07551139270329</v>
      </c>
      <c r="AD14" s="47">
        <v>0.99999953155370302</v>
      </c>
      <c r="AE14" s="44">
        <v>0.87525807830254099</v>
      </c>
      <c r="AF14" s="25">
        <v>2.0755147788979098</v>
      </c>
      <c r="AG14" s="47">
        <v>0.99999721680925702</v>
      </c>
      <c r="AH14" s="44">
        <v>0.875257891209968</v>
      </c>
      <c r="AI14" s="25">
        <v>2.0755179814284199</v>
      </c>
      <c r="AJ14" s="47">
        <v>0.999995027629763</v>
      </c>
      <c r="AK14" s="44">
        <v>0.87525771426493204</v>
      </c>
      <c r="AL14" s="47">
        <v>2.5</v>
      </c>
      <c r="AM14" s="47">
        <v>0.8</v>
      </c>
      <c r="AN14" s="44">
        <v>4.4200000000000003E-2</v>
      </c>
    </row>
    <row r="15" spans="1:40" x14ac:dyDescent="0.25">
      <c r="A15" s="22">
        <v>0.52</v>
      </c>
      <c r="B15" s="47">
        <v>2.0781101999999998</v>
      </c>
      <c r="C15" s="47">
        <v>0.99999979999999999</v>
      </c>
      <c r="D15" s="47">
        <v>0.87527580000000005</v>
      </c>
      <c r="E15" s="25">
        <v>2.3473999999999999</v>
      </c>
      <c r="F15" s="47">
        <v>0.86399999999999999</v>
      </c>
      <c r="G15" s="44">
        <v>0.85940000000000005</v>
      </c>
      <c r="H15" s="25">
        <v>2.0781109129925599</v>
      </c>
      <c r="I15" s="47">
        <v>0.99999931083196203</v>
      </c>
      <c r="J15" s="47">
        <v>0.87527576043474697</v>
      </c>
      <c r="K15" s="25">
        <v>2.0781114049560201</v>
      </c>
      <c r="L15" s="47">
        <v>0.99999897330741205</v>
      </c>
      <c r="M15" s="44">
        <v>0.87527573313479401</v>
      </c>
      <c r="N15" s="25">
        <v>2.0781119214721202</v>
      </c>
      <c r="O15" s="47">
        <v>0.99999861893825004</v>
      </c>
      <c r="P15" s="44">
        <v>0.87527570447236602</v>
      </c>
      <c r="Q15" s="25">
        <v>2.0781124903851</v>
      </c>
      <c r="R15" s="47">
        <v>0.99999822862130705</v>
      </c>
      <c r="S15" s="44">
        <v>0.87527567290233199</v>
      </c>
      <c r="T15" s="25">
        <v>2.0781135312577499</v>
      </c>
      <c r="U15" s="47">
        <v>0.99999751450588403</v>
      </c>
      <c r="V15" s="44">
        <v>0.87527561514236596</v>
      </c>
      <c r="W15" s="25">
        <v>2.07811372363637</v>
      </c>
      <c r="X15" s="47">
        <v>0.99999738252013004</v>
      </c>
      <c r="Y15" s="44">
        <v>0.87527560446691499</v>
      </c>
      <c r="Z15" s="25">
        <v>2.0781105415129</v>
      </c>
      <c r="AA15" s="47">
        <v>0.99999956569564397</v>
      </c>
      <c r="AB15" s="44">
        <v>0.87527578104882997</v>
      </c>
      <c r="AC15" s="25">
        <v>2.0781105902987198</v>
      </c>
      <c r="AD15" s="47">
        <v>0.99999953222480398</v>
      </c>
      <c r="AE15" s="44">
        <v>0.87527577834161496</v>
      </c>
      <c r="AF15" s="25">
        <v>2.0781139557592399</v>
      </c>
      <c r="AG15" s="47">
        <v>0.99999722326699403</v>
      </c>
      <c r="AH15" s="44">
        <v>0.87527559158598001</v>
      </c>
      <c r="AI15" s="25">
        <v>2.0781171386802502</v>
      </c>
      <c r="AJ15" s="47">
        <v>0.99999503956011504</v>
      </c>
      <c r="AK15" s="44">
        <v>0.87527541495959804</v>
      </c>
      <c r="AL15" s="47">
        <v>2.5</v>
      </c>
      <c r="AM15" s="47">
        <v>0.8</v>
      </c>
      <c r="AN15" s="44">
        <v>4.4200000000000003E-2</v>
      </c>
    </row>
    <row r="16" spans="1:40" x14ac:dyDescent="0.25">
      <c r="A16" s="22">
        <v>0.53</v>
      </c>
      <c r="B16" s="47">
        <v>2.0835105999999999</v>
      </c>
      <c r="C16" s="47">
        <v>0.99999959999999999</v>
      </c>
      <c r="D16" s="47">
        <v>0.87115180000000003</v>
      </c>
      <c r="E16" s="25">
        <v>2.3494000000000002</v>
      </c>
      <c r="F16" s="47">
        <v>0.86409999999999998</v>
      </c>
      <c r="G16" s="44">
        <v>0.85780000000000001</v>
      </c>
      <c r="H16" s="25">
        <v>2.0835113038659001</v>
      </c>
      <c r="I16" s="47">
        <v>0.99999911336497405</v>
      </c>
      <c r="J16" s="47">
        <v>0.87115176706161801</v>
      </c>
      <c r="K16" s="25">
        <v>2.0835117895319799</v>
      </c>
      <c r="L16" s="47">
        <v>0.999998777588187</v>
      </c>
      <c r="M16" s="44">
        <v>0.87115174433419396</v>
      </c>
      <c r="N16" s="25">
        <v>2.0835122994364101</v>
      </c>
      <c r="O16" s="47">
        <v>0.99999842505401004</v>
      </c>
      <c r="P16" s="44">
        <v>0.871151720472498</v>
      </c>
      <c r="Q16" s="25">
        <v>2.0835128610670299</v>
      </c>
      <c r="R16" s="47">
        <v>0.99999803675818399</v>
      </c>
      <c r="S16" s="44">
        <v>0.871151694190196</v>
      </c>
      <c r="T16" s="25">
        <v>2.0835138886159799</v>
      </c>
      <c r="U16" s="47">
        <v>0.99999732634053895</v>
      </c>
      <c r="V16" s="44">
        <v>0.87115164610457096</v>
      </c>
      <c r="W16" s="25">
        <v>2.0835140785320698</v>
      </c>
      <c r="X16" s="47">
        <v>0.99999719503821805</v>
      </c>
      <c r="Y16" s="44">
        <v>0.87115163721717404</v>
      </c>
      <c r="Z16" s="25">
        <v>2.0835109371413698</v>
      </c>
      <c r="AA16" s="47">
        <v>0.999999366908919</v>
      </c>
      <c r="AB16" s="44">
        <v>0.87115178422300299</v>
      </c>
      <c r="AC16" s="25">
        <v>2.0835109853026998</v>
      </c>
      <c r="AD16" s="47">
        <v>0.99999933361139803</v>
      </c>
      <c r="AE16" s="44">
        <v>0.87115178196922805</v>
      </c>
      <c r="AF16" s="25">
        <v>2.0835143076836502</v>
      </c>
      <c r="AG16" s="47">
        <v>0.99999703660971195</v>
      </c>
      <c r="AH16" s="44">
        <v>0.87115162649369304</v>
      </c>
      <c r="AI16" s="25">
        <v>2.08351744986168</v>
      </c>
      <c r="AJ16" s="47">
        <v>0.99999486421013295</v>
      </c>
      <c r="AK16" s="44">
        <v>0.87115147945083504</v>
      </c>
      <c r="AL16" s="47">
        <v>2.5</v>
      </c>
      <c r="AM16" s="47">
        <v>0.8</v>
      </c>
      <c r="AN16" s="44">
        <v>4.4699999999999997E-2</v>
      </c>
    </row>
    <row r="17" spans="1:40" x14ac:dyDescent="0.25">
      <c r="A17" s="22">
        <v>0.54</v>
      </c>
      <c r="B17" s="47">
        <v>2.0800046999999999</v>
      </c>
      <c r="C17" s="47">
        <v>0.99999950000000004</v>
      </c>
      <c r="D17" s="47">
        <v>0.87326360000000003</v>
      </c>
      <c r="E17" s="25">
        <v>2.3481000000000001</v>
      </c>
      <c r="F17" s="47">
        <v>0.86409999999999998</v>
      </c>
      <c r="G17" s="44">
        <v>0.85860000000000003</v>
      </c>
      <c r="H17" s="25">
        <v>2.0800054097908598</v>
      </c>
      <c r="I17" s="47">
        <v>0.99999901172337002</v>
      </c>
      <c r="J17" s="47">
        <v>0.87326356365081104</v>
      </c>
      <c r="K17" s="25">
        <v>2.0800058995451498</v>
      </c>
      <c r="L17" s="47">
        <v>0.99999867481388505</v>
      </c>
      <c r="M17" s="44">
        <v>0.87326353856993599</v>
      </c>
      <c r="N17" s="25">
        <v>2.0800064137418302</v>
      </c>
      <c r="O17" s="47">
        <v>0.99999832109048403</v>
      </c>
      <c r="P17" s="44">
        <v>0.87326351223733301</v>
      </c>
      <c r="Q17" s="25">
        <v>2.08000698010011</v>
      </c>
      <c r="R17" s="47">
        <v>0.99999793148480398</v>
      </c>
      <c r="S17" s="44">
        <v>0.87326348323347003</v>
      </c>
      <c r="T17" s="25">
        <v>2.0800080162987</v>
      </c>
      <c r="U17" s="47">
        <v>0.99999721867068903</v>
      </c>
      <c r="V17" s="44">
        <v>0.87326343016852503</v>
      </c>
      <c r="W17" s="25">
        <v>2.0800082078134499</v>
      </c>
      <c r="X17" s="47">
        <v>0.99999708692544598</v>
      </c>
      <c r="Y17" s="44">
        <v>0.87326342036082705</v>
      </c>
      <c r="Z17" s="25">
        <v>2.0800050399793402</v>
      </c>
      <c r="AA17" s="47">
        <v>0.99999926612261603</v>
      </c>
      <c r="AB17" s="44">
        <v>0.87326358258927494</v>
      </c>
      <c r="AC17" s="25">
        <v>2.0800050885460801</v>
      </c>
      <c r="AD17" s="47">
        <v>0.99999923271276803</v>
      </c>
      <c r="AE17" s="44">
        <v>0.87326358010211902</v>
      </c>
      <c r="AF17" s="25">
        <v>2.0800084388939699</v>
      </c>
      <c r="AG17" s="47">
        <v>0.99999692796250905</v>
      </c>
      <c r="AH17" s="44">
        <v>0.87326340852691997</v>
      </c>
      <c r="AI17" s="25">
        <v>2.0800116075220498</v>
      </c>
      <c r="AJ17" s="47">
        <v>0.99999474823484802</v>
      </c>
      <c r="AK17" s="44">
        <v>0.87326324625761298</v>
      </c>
      <c r="AL17" s="47">
        <v>2.5</v>
      </c>
      <c r="AM17" s="47">
        <v>0.8</v>
      </c>
      <c r="AN17" s="44">
        <v>4.4400000000000002E-2</v>
      </c>
    </row>
    <row r="18" spans="1:40" x14ac:dyDescent="0.25">
      <c r="A18" s="22">
        <v>0.55000000000000004</v>
      </c>
      <c r="B18" s="47">
        <v>2.0854764000000001</v>
      </c>
      <c r="C18" s="47">
        <v>0.99999939999999998</v>
      </c>
      <c r="D18" s="47">
        <v>0.87373350000000005</v>
      </c>
      <c r="E18" s="25">
        <v>2.3500999999999999</v>
      </c>
      <c r="F18" s="47">
        <v>0.86419999999999997</v>
      </c>
      <c r="G18" s="44">
        <v>0.85880000000000001</v>
      </c>
      <c r="H18" s="25">
        <v>2.0854771005437001</v>
      </c>
      <c r="I18" s="47">
        <v>0.99999891428244403</v>
      </c>
      <c r="J18" s="47">
        <v>0.87373346311092603</v>
      </c>
      <c r="K18" s="25">
        <v>2.08547758391747</v>
      </c>
      <c r="L18" s="47">
        <v>0.99999857913870605</v>
      </c>
      <c r="M18" s="44">
        <v>0.87373343765752998</v>
      </c>
      <c r="N18" s="25">
        <v>2.0854780914152</v>
      </c>
      <c r="O18" s="47">
        <v>0.99999822726916798</v>
      </c>
      <c r="P18" s="44">
        <v>0.87373341093381596</v>
      </c>
      <c r="Q18" s="25">
        <v>2.0854786503949598</v>
      </c>
      <c r="R18" s="47">
        <v>0.99999783970540201</v>
      </c>
      <c r="S18" s="44">
        <v>0.87373338149916502</v>
      </c>
      <c r="T18" s="25">
        <v>2.0854796730939502</v>
      </c>
      <c r="U18" s="47">
        <v>0.99999713062710804</v>
      </c>
      <c r="V18" s="44">
        <v>0.87373332764605605</v>
      </c>
      <c r="W18" s="25">
        <v>2.0854798621136399</v>
      </c>
      <c r="X18" s="47">
        <v>0.99999699957233201</v>
      </c>
      <c r="Y18" s="44">
        <v>0.87373331769268703</v>
      </c>
      <c r="Z18" s="25">
        <v>2.0854767355500901</v>
      </c>
      <c r="AA18" s="47">
        <v>0.99999916734837502</v>
      </c>
      <c r="AB18" s="44">
        <v>0.87373348233067905</v>
      </c>
      <c r="AC18" s="25">
        <v>2.0854767834841001</v>
      </c>
      <c r="AD18" s="47">
        <v>0.99999913411362995</v>
      </c>
      <c r="AE18" s="44">
        <v>0.873733479806582</v>
      </c>
      <c r="AF18" s="25">
        <v>2.0854800901836499</v>
      </c>
      <c r="AG18" s="47">
        <v>0.999996841442506</v>
      </c>
      <c r="AH18" s="44">
        <v>0.873733305683013</v>
      </c>
      <c r="AI18" s="25">
        <v>2.0854832175308302</v>
      </c>
      <c r="AJ18" s="47">
        <v>0.999994673138488</v>
      </c>
      <c r="AK18" s="44">
        <v>0.87373314100354105</v>
      </c>
      <c r="AL18" s="47">
        <v>2.5</v>
      </c>
      <c r="AM18" s="47">
        <v>0.8</v>
      </c>
      <c r="AN18" s="44">
        <v>4.4400000000000002E-2</v>
      </c>
    </row>
    <row r="19" spans="1:40" x14ac:dyDescent="0.25">
      <c r="A19" s="22">
        <v>0.56000000000000005</v>
      </c>
      <c r="B19" s="47">
        <v>2.0944213999999999</v>
      </c>
      <c r="C19" s="47">
        <v>0.99999930000000004</v>
      </c>
      <c r="D19" s="47">
        <v>0.8740694</v>
      </c>
      <c r="E19" s="25">
        <v>2.3532999999999999</v>
      </c>
      <c r="F19" s="47">
        <v>0.86439999999999995</v>
      </c>
      <c r="G19" s="44">
        <v>0.85899999999999999</v>
      </c>
      <c r="H19" s="25">
        <v>2.0944220854266802</v>
      </c>
      <c r="I19" s="47">
        <v>0.99999881842268701</v>
      </c>
      <c r="J19" s="47">
        <v>0.87406936290770099</v>
      </c>
      <c r="K19" s="25">
        <v>2.0944225583697298</v>
      </c>
      <c r="L19" s="47">
        <v>0.99999848613569398</v>
      </c>
      <c r="M19" s="44">
        <v>0.87406933731407999</v>
      </c>
      <c r="N19" s="25">
        <v>2.0944230549161702</v>
      </c>
      <c r="O19" s="47">
        <v>0.99999813726545905</v>
      </c>
      <c r="P19" s="44">
        <v>0.87406931044314295</v>
      </c>
      <c r="Q19" s="25">
        <v>2.0944236018337099</v>
      </c>
      <c r="R19" s="47">
        <v>0.99999775300523996</v>
      </c>
      <c r="S19" s="44">
        <v>0.87406928084633195</v>
      </c>
      <c r="T19" s="25">
        <v>2.0944246024639002</v>
      </c>
      <c r="U19" s="47">
        <v>0.99999704997101102</v>
      </c>
      <c r="V19" s="44">
        <v>0.87406922669653697</v>
      </c>
      <c r="W19" s="25">
        <v>2.0944247874047299</v>
      </c>
      <c r="X19" s="47">
        <v>0.99999692003331797</v>
      </c>
      <c r="Y19" s="44">
        <v>0.87406921668833404</v>
      </c>
      <c r="Z19" s="25">
        <v>2.0944217283092499</v>
      </c>
      <c r="AA19" s="47">
        <v>0.99999906933149396</v>
      </c>
      <c r="AB19" s="44">
        <v>0.87406938223333797</v>
      </c>
      <c r="AC19" s="25">
        <v>2.0944217752088998</v>
      </c>
      <c r="AD19" s="47">
        <v>0.99999903638004295</v>
      </c>
      <c r="AE19" s="44">
        <v>0.87406937969533305</v>
      </c>
      <c r="AF19" s="25">
        <v>2.0944250105532198</v>
      </c>
      <c r="AG19" s="47">
        <v>0.999996763251359</v>
      </c>
      <c r="AH19" s="44">
        <v>0.87406920461249404</v>
      </c>
      <c r="AI19" s="25">
        <v>2.0944280704154101</v>
      </c>
      <c r="AJ19" s="47">
        <v>0.99999461342928198</v>
      </c>
      <c r="AK19" s="44">
        <v>0.87406903902576105</v>
      </c>
      <c r="AL19" s="47">
        <v>2.5</v>
      </c>
      <c r="AM19" s="47">
        <v>0.8</v>
      </c>
      <c r="AN19" s="44">
        <v>4.4400000000000002E-2</v>
      </c>
    </row>
    <row r="20" spans="1:40" x14ac:dyDescent="0.25">
      <c r="A20" s="22">
        <v>0.56999999999999995</v>
      </c>
      <c r="B20" s="47">
        <v>2.0766106</v>
      </c>
      <c r="C20" s="47">
        <v>0.99999919999999998</v>
      </c>
      <c r="D20" s="47">
        <v>0.87443380000000004</v>
      </c>
      <c r="E20" s="25">
        <v>2.3469000000000002</v>
      </c>
      <c r="F20" s="47">
        <v>0.86399999999999999</v>
      </c>
      <c r="G20" s="44">
        <v>0.85899999999999999</v>
      </c>
      <c r="H20" s="25">
        <v>2.0766113155268799</v>
      </c>
      <c r="I20" s="47">
        <v>0.99999871012668295</v>
      </c>
      <c r="J20" s="47">
        <v>0.87443376169745901</v>
      </c>
      <c r="K20" s="25">
        <v>2.0766118092390098</v>
      </c>
      <c r="L20" s="47">
        <v>0.99999837211549403</v>
      </c>
      <c r="M20" s="44">
        <v>0.87443373526877599</v>
      </c>
      <c r="N20" s="25">
        <v>2.07661232759106</v>
      </c>
      <c r="O20" s="47">
        <v>0.99999801723541104</v>
      </c>
      <c r="P20" s="44">
        <v>0.87443370752109995</v>
      </c>
      <c r="Q20" s="25">
        <v>2.0766128985262302</v>
      </c>
      <c r="R20" s="47">
        <v>0.99999762635571898</v>
      </c>
      <c r="S20" s="44">
        <v>0.87443367695861296</v>
      </c>
      <c r="T20" s="25">
        <v>2.0766139430986401</v>
      </c>
      <c r="U20" s="47">
        <v>0.99999691121070999</v>
      </c>
      <c r="V20" s="44">
        <v>0.87443362104203803</v>
      </c>
      <c r="W20" s="25">
        <v>2.0766141361610702</v>
      </c>
      <c r="X20" s="47">
        <v>0.999996779034663</v>
      </c>
      <c r="Y20" s="44">
        <v>0.87443361070729098</v>
      </c>
      <c r="Z20" s="25">
        <v>2.07661094272681</v>
      </c>
      <c r="AA20" s="47">
        <v>0.99999896535782395</v>
      </c>
      <c r="AB20" s="44">
        <v>0.87443378165365104</v>
      </c>
      <c r="AC20" s="25">
        <v>2.0766109916860298</v>
      </c>
      <c r="AD20" s="47">
        <v>0.99999893183872601</v>
      </c>
      <c r="AE20" s="44">
        <v>0.87443377903283703</v>
      </c>
      <c r="AF20" s="25">
        <v>2.07661436910902</v>
      </c>
      <c r="AG20" s="47">
        <v>0.99999661955192498</v>
      </c>
      <c r="AH20" s="44">
        <v>0.87443359823744504</v>
      </c>
      <c r="AI20" s="25">
        <v>2.0766175633436701</v>
      </c>
      <c r="AJ20" s="47">
        <v>0.99999443269670696</v>
      </c>
      <c r="AK20" s="44">
        <v>0.87443342724804096</v>
      </c>
      <c r="AL20" s="47">
        <v>2.5</v>
      </c>
      <c r="AM20" s="47">
        <v>0.8</v>
      </c>
      <c r="AN20" s="44">
        <v>4.4299999999999999E-2</v>
      </c>
    </row>
    <row r="21" spans="1:40" x14ac:dyDescent="0.25">
      <c r="A21" s="22">
        <v>0.57999999999999996</v>
      </c>
      <c r="B21" s="47">
        <v>2.0490065</v>
      </c>
      <c r="C21" s="47">
        <v>0.99999890000000002</v>
      </c>
      <c r="D21" s="47">
        <v>0.86993359999999997</v>
      </c>
      <c r="E21" s="25">
        <v>2.3369</v>
      </c>
      <c r="F21" s="47">
        <v>0.86339999999999995</v>
      </c>
      <c r="G21" s="44">
        <v>0.85729999999999995</v>
      </c>
      <c r="H21" s="25">
        <v>2.0490072621777302</v>
      </c>
      <c r="I21" s="47">
        <v>0.999998396839472</v>
      </c>
      <c r="J21" s="47">
        <v>0.86993356790436205</v>
      </c>
      <c r="K21" s="25">
        <v>2.04900778807886</v>
      </c>
      <c r="L21" s="47">
        <v>0.99999804966018402</v>
      </c>
      <c r="M21" s="44">
        <v>0.86993354575843196</v>
      </c>
      <c r="N21" s="25">
        <v>2.0490083402263699</v>
      </c>
      <c r="O21" s="47">
        <v>0.99999768515448995</v>
      </c>
      <c r="P21" s="44">
        <v>0.86993352250725198</v>
      </c>
      <c r="Q21" s="25">
        <v>2.0490089483853202</v>
      </c>
      <c r="R21" s="47">
        <v>0.99999728367278895</v>
      </c>
      <c r="S21" s="44">
        <v>0.86993349689740196</v>
      </c>
      <c r="T21" s="25">
        <v>2.0490100610616602</v>
      </c>
      <c r="U21" s="47">
        <v>0.99999654913068703</v>
      </c>
      <c r="V21" s="44">
        <v>0.869933450042088</v>
      </c>
      <c r="W21" s="25">
        <v>2.0490102667113499</v>
      </c>
      <c r="X21" s="47">
        <v>0.99999641336960499</v>
      </c>
      <c r="Y21" s="44">
        <v>0.86993344138208295</v>
      </c>
      <c r="Z21" s="25">
        <v>2.04900686507187</v>
      </c>
      <c r="AA21" s="47">
        <v>0.99999865899343698</v>
      </c>
      <c r="AB21" s="44">
        <v>0.86993358462666404</v>
      </c>
      <c r="AC21" s="25">
        <v>2.0490069172231302</v>
      </c>
      <c r="AD21" s="47">
        <v>0.99999862456517297</v>
      </c>
      <c r="AE21" s="44">
        <v>0.86993358243055197</v>
      </c>
      <c r="AF21" s="25">
        <v>2.0490105148470201</v>
      </c>
      <c r="AG21" s="47">
        <v>0.99999624956119104</v>
      </c>
      <c r="AH21" s="44">
        <v>0.86993343093297404</v>
      </c>
      <c r="AI21" s="25">
        <v>2.0490139173390598</v>
      </c>
      <c r="AJ21" s="47">
        <v>0.99999400339230204</v>
      </c>
      <c r="AK21" s="44">
        <v>0.86993328765237998</v>
      </c>
      <c r="AL21" s="47">
        <v>2.5</v>
      </c>
      <c r="AM21" s="47">
        <v>0.8</v>
      </c>
      <c r="AN21" s="44">
        <v>4.48E-2</v>
      </c>
    </row>
    <row r="22" spans="1:40" x14ac:dyDescent="0.25">
      <c r="A22" s="22">
        <v>0.59</v>
      </c>
      <c r="B22" s="47">
        <v>2.0770197000000001</v>
      </c>
      <c r="C22" s="47">
        <v>0.99999899999999997</v>
      </c>
      <c r="D22" s="47">
        <v>0.87267039999999996</v>
      </c>
      <c r="E22" s="25">
        <v>2.347</v>
      </c>
      <c r="F22" s="47">
        <v>0.86399999999999999</v>
      </c>
      <c r="G22" s="44">
        <v>0.85840000000000005</v>
      </c>
      <c r="H22" s="25">
        <v>2.0770204148354998</v>
      </c>
      <c r="I22" s="47">
        <v>0.99999851032012999</v>
      </c>
      <c r="J22" s="47">
        <v>0.87267036447575597</v>
      </c>
      <c r="K22" s="25">
        <v>2.0770209080705802</v>
      </c>
      <c r="L22" s="47">
        <v>0.99999817244241795</v>
      </c>
      <c r="M22" s="44">
        <v>0.87267033996409304</v>
      </c>
      <c r="N22" s="25">
        <v>2.0770214259217701</v>
      </c>
      <c r="O22" s="47">
        <v>0.99999781770247198</v>
      </c>
      <c r="P22" s="44">
        <v>0.87267031422911101</v>
      </c>
      <c r="Q22" s="25">
        <v>2.0770219963052798</v>
      </c>
      <c r="R22" s="47">
        <v>0.99999742697713201</v>
      </c>
      <c r="S22" s="44">
        <v>0.87267028588349305</v>
      </c>
      <c r="T22" s="25">
        <v>2.0770230398683802</v>
      </c>
      <c r="U22" s="47">
        <v>0.99999671211452201</v>
      </c>
      <c r="V22" s="44">
        <v>0.87267023402286203</v>
      </c>
      <c r="W22" s="25">
        <v>2.0770232327442599</v>
      </c>
      <c r="X22" s="47">
        <v>0.99999657999066904</v>
      </c>
      <c r="Y22" s="44">
        <v>0.872670224437752</v>
      </c>
      <c r="Z22" s="25">
        <v>2.0770200423956502</v>
      </c>
      <c r="AA22" s="47">
        <v>0.99999876545048305</v>
      </c>
      <c r="AB22" s="44">
        <v>0.87267038298441302</v>
      </c>
      <c r="AC22" s="25">
        <v>2.0770200913075598</v>
      </c>
      <c r="AD22" s="47">
        <v>0.99999873194461897</v>
      </c>
      <c r="AE22" s="44">
        <v>0.87267038055370305</v>
      </c>
      <c r="AF22" s="25">
        <v>2.07702346546712</v>
      </c>
      <c r="AG22" s="47">
        <v>0.99999642057090599</v>
      </c>
      <c r="AH22" s="44">
        <v>0.87267021287241497</v>
      </c>
      <c r="AI22" s="25">
        <v>2.0770266566153399</v>
      </c>
      <c r="AJ22" s="47">
        <v>0.99999423457922398</v>
      </c>
      <c r="AK22" s="44">
        <v>0.87267005428583</v>
      </c>
      <c r="AL22" s="47">
        <v>2.5</v>
      </c>
      <c r="AM22" s="47">
        <v>0.8</v>
      </c>
      <c r="AN22" s="44">
        <v>4.4499999999999998E-2</v>
      </c>
    </row>
    <row r="23" spans="1:40" x14ac:dyDescent="0.25">
      <c r="A23" s="22">
        <v>0.6</v>
      </c>
      <c r="B23" s="47">
        <v>2.1451096999999999</v>
      </c>
      <c r="C23" s="47">
        <v>0.99999859999999996</v>
      </c>
      <c r="D23" s="47">
        <v>0.87649949999999999</v>
      </c>
      <c r="E23" s="25">
        <v>2.3717000000000001</v>
      </c>
      <c r="F23" s="47">
        <v>0.86539999999999995</v>
      </c>
      <c r="G23" s="44">
        <v>0.86</v>
      </c>
      <c r="H23" s="25">
        <v>2.1451102997635898</v>
      </c>
      <c r="I23" s="47">
        <v>0.99999814091440398</v>
      </c>
      <c r="J23" s="47">
        <v>0.87649946106986298</v>
      </c>
      <c r="K23" s="25">
        <v>2.1451107135992902</v>
      </c>
      <c r="L23" s="47">
        <v>0.99999782414657101</v>
      </c>
      <c r="M23" s="44">
        <v>0.87649943420813503</v>
      </c>
      <c r="N23" s="25">
        <v>2.1451111480884699</v>
      </c>
      <c r="O23" s="47">
        <v>0.99999749156994899</v>
      </c>
      <c r="P23" s="44">
        <v>0.87649940600579801</v>
      </c>
      <c r="Q23" s="25">
        <v>2.14511162665349</v>
      </c>
      <c r="R23" s="47">
        <v>0.99999712525613105</v>
      </c>
      <c r="S23" s="44">
        <v>0.87649937494252295</v>
      </c>
      <c r="T23" s="25">
        <v>2.1451125022271702</v>
      </c>
      <c r="U23" s="47">
        <v>0.99999645505608203</v>
      </c>
      <c r="V23" s="44">
        <v>0.87649931810970405</v>
      </c>
      <c r="W23" s="25">
        <v>2.1451126640545199</v>
      </c>
      <c r="X23" s="47">
        <v>0.999996331186914</v>
      </c>
      <c r="Y23" s="44">
        <v>0.87649930760561101</v>
      </c>
      <c r="Z23" s="25">
        <v>2.1451099872779</v>
      </c>
      <c r="AA23" s="47">
        <v>0.99999838010471198</v>
      </c>
      <c r="AB23" s="44">
        <v>0.87649948135304001</v>
      </c>
      <c r="AC23" s="25">
        <v>2.1451100283161399</v>
      </c>
      <c r="AD23" s="47">
        <v>0.99999834869223203</v>
      </c>
      <c r="AE23" s="44">
        <v>0.87649947868928502</v>
      </c>
      <c r="AF23" s="25">
        <v>2.14511285931441</v>
      </c>
      <c r="AG23" s="47">
        <v>0.99999618172718696</v>
      </c>
      <c r="AH23" s="44">
        <v>0.87649929493143197</v>
      </c>
      <c r="AI23" s="25">
        <v>2.1451155367619101</v>
      </c>
      <c r="AJ23" s="47">
        <v>0.99999413230774903</v>
      </c>
      <c r="AK23" s="44">
        <v>0.87649912114008699</v>
      </c>
      <c r="AL23" s="47">
        <v>2.5</v>
      </c>
      <c r="AM23" s="47">
        <v>0.8</v>
      </c>
      <c r="AN23" s="44">
        <v>4.41E-2</v>
      </c>
    </row>
    <row r="24" spans="1:40" x14ac:dyDescent="0.25">
      <c r="A24" s="22">
        <v>0.61</v>
      </c>
      <c r="B24" s="47">
        <v>2.1453316</v>
      </c>
      <c r="C24" s="47">
        <v>0.99999859999999996</v>
      </c>
      <c r="D24" s="47">
        <v>0.87761619999999996</v>
      </c>
      <c r="E24" s="25">
        <v>2.3717000000000001</v>
      </c>
      <c r="F24" s="47">
        <v>0.86539999999999995</v>
      </c>
      <c r="G24" s="44">
        <v>0.86040000000000005</v>
      </c>
      <c r="H24" s="25">
        <v>2.1453321993885801</v>
      </c>
      <c r="I24" s="47">
        <v>0.99999814100937001</v>
      </c>
      <c r="J24" s="47">
        <v>0.87761615943772198</v>
      </c>
      <c r="K24" s="25">
        <v>2.1453326129655199</v>
      </c>
      <c r="L24" s="47">
        <v>0.99999782430706197</v>
      </c>
      <c r="M24" s="44">
        <v>0.87761613144981998</v>
      </c>
      <c r="N24" s="25">
        <v>2.1453330471830299</v>
      </c>
      <c r="O24" s="47">
        <v>0.99999749179923603</v>
      </c>
      <c r="P24" s="44">
        <v>0.87761610206510399</v>
      </c>
      <c r="Q24" s="25">
        <v>2.1453335254488199</v>
      </c>
      <c r="R24" s="47">
        <v>0.99999712556119302</v>
      </c>
      <c r="S24" s="44">
        <v>0.87761606969950701</v>
      </c>
      <c r="T24" s="25">
        <v>2.1453344004750399</v>
      </c>
      <c r="U24" s="47">
        <v>0.99999645549977501</v>
      </c>
      <c r="V24" s="44">
        <v>0.87761601048397997</v>
      </c>
      <c r="W24" s="25">
        <v>2.1453345622011999</v>
      </c>
      <c r="X24" s="47">
        <v>0.99999633165623103</v>
      </c>
      <c r="Y24" s="44">
        <v>0.87761599953950398</v>
      </c>
      <c r="Z24" s="25">
        <v>2.1453318870982798</v>
      </c>
      <c r="AA24" s="47">
        <v>0.99999838015019904</v>
      </c>
      <c r="AB24" s="44">
        <v>0.877616180571271</v>
      </c>
      <c r="AC24" s="25">
        <v>2.1453319281108501</v>
      </c>
      <c r="AD24" s="47">
        <v>0.999998348744218</v>
      </c>
      <c r="AE24" s="44">
        <v>0.87761617779583501</v>
      </c>
      <c r="AF24" s="25">
        <v>2.145334757339</v>
      </c>
      <c r="AG24" s="47">
        <v>0.99999618222741804</v>
      </c>
      <c r="AH24" s="44">
        <v>0.87761598633396398</v>
      </c>
      <c r="AI24" s="25">
        <v>2.1453374331124002</v>
      </c>
      <c r="AJ24" s="47">
        <v>0.999994133231904</v>
      </c>
      <c r="AK24" s="44">
        <v>0.87761580525644201</v>
      </c>
      <c r="AL24" s="47">
        <v>2.5</v>
      </c>
      <c r="AM24" s="47">
        <v>0.8</v>
      </c>
      <c r="AN24" s="44">
        <v>4.3900000000000002E-2</v>
      </c>
    </row>
    <row r="25" spans="1:40" x14ac:dyDescent="0.25">
      <c r="A25" s="22">
        <v>0.62</v>
      </c>
      <c r="B25" s="47">
        <v>2.0678619999999999</v>
      </c>
      <c r="C25" s="47">
        <v>0.99999819999999995</v>
      </c>
      <c r="D25" s="47">
        <v>0.87546780000000002</v>
      </c>
      <c r="E25" s="25">
        <v>2.3437000000000001</v>
      </c>
      <c r="F25" s="47">
        <v>0.86380000000000001</v>
      </c>
      <c r="G25" s="44">
        <v>0.85940000000000005</v>
      </c>
      <c r="H25" s="25">
        <v>2.0678627303119899</v>
      </c>
      <c r="I25" s="47">
        <v>0.99999770597533599</v>
      </c>
      <c r="J25" s="47">
        <v>0.87546775973794799</v>
      </c>
      <c r="K25" s="25">
        <v>2.0678632342258201</v>
      </c>
      <c r="L25" s="47">
        <v>0.99999736509974102</v>
      </c>
      <c r="M25" s="44">
        <v>0.87546773195720695</v>
      </c>
      <c r="N25" s="25">
        <v>2.0678637632886998</v>
      </c>
      <c r="O25" s="47">
        <v>0.99999700721231</v>
      </c>
      <c r="P25" s="44">
        <v>0.87546770278999497</v>
      </c>
      <c r="Q25" s="25">
        <v>2.06786434602125</v>
      </c>
      <c r="R25" s="47">
        <v>0.99999661302021203</v>
      </c>
      <c r="S25" s="44">
        <v>0.87546767066397202</v>
      </c>
      <c r="T25" s="25">
        <v>2.0678654121779201</v>
      </c>
      <c r="U25" s="47">
        <v>0.99999589181493298</v>
      </c>
      <c r="V25" s="44">
        <v>0.87546761188678202</v>
      </c>
      <c r="W25" s="25">
        <v>2.0678656092296501</v>
      </c>
      <c r="X25" s="47">
        <v>0.99999575851880695</v>
      </c>
      <c r="Y25" s="44">
        <v>0.87546760102332299</v>
      </c>
      <c r="Z25" s="25">
        <v>2.0678623498086601</v>
      </c>
      <c r="AA25" s="47">
        <v>0.99999796336938696</v>
      </c>
      <c r="AB25" s="44">
        <v>0.87546778071507203</v>
      </c>
      <c r="AC25" s="25">
        <v>2.0678623997795298</v>
      </c>
      <c r="AD25" s="47">
        <v>0.99999792956623601</v>
      </c>
      <c r="AE25" s="44">
        <v>0.87546777796018305</v>
      </c>
      <c r="AF25" s="25">
        <v>2.0678658469910598</v>
      </c>
      <c r="AG25" s="47">
        <v>0.99999559768459001</v>
      </c>
      <c r="AH25" s="44">
        <v>0.87546758791554002</v>
      </c>
      <c r="AI25" s="25">
        <v>2.0678691072289701</v>
      </c>
      <c r="AJ25" s="47">
        <v>0.99999339229788098</v>
      </c>
      <c r="AK25" s="44">
        <v>0.87546740817856605</v>
      </c>
      <c r="AL25" s="47">
        <v>2.5</v>
      </c>
      <c r="AM25" s="47">
        <v>0.8</v>
      </c>
      <c r="AN25" s="44">
        <v>4.4200000000000003E-2</v>
      </c>
    </row>
    <row r="26" spans="1:40" x14ac:dyDescent="0.25">
      <c r="A26" s="22">
        <v>0.63</v>
      </c>
      <c r="B26" s="47">
        <v>2.0130701000000002</v>
      </c>
      <c r="C26" s="47">
        <v>0.99999760000000004</v>
      </c>
      <c r="D26" s="47">
        <v>0.86880469999999999</v>
      </c>
      <c r="E26" s="25">
        <v>2.3239000000000001</v>
      </c>
      <c r="F26" s="47">
        <v>0.86260000000000003</v>
      </c>
      <c r="G26" s="44">
        <v>0.85680000000000001</v>
      </c>
      <c r="H26" s="25">
        <v>2.0130709229101398</v>
      </c>
      <c r="I26" s="47">
        <v>0.999997078718182</v>
      </c>
      <c r="J26" s="47">
        <v>0.86880466863129102</v>
      </c>
      <c r="K26" s="25">
        <v>2.0130714907165101</v>
      </c>
      <c r="L26" s="47">
        <v>0.99999671903531195</v>
      </c>
      <c r="M26" s="44">
        <v>0.86880464698694104</v>
      </c>
      <c r="N26" s="25">
        <v>2.0130720868606602</v>
      </c>
      <c r="O26" s="47">
        <v>0.99999634140207705</v>
      </c>
      <c r="P26" s="44">
        <v>0.86880462426237703</v>
      </c>
      <c r="Q26" s="25">
        <v>2.01307274347938</v>
      </c>
      <c r="R26" s="47">
        <v>0.99999592546121696</v>
      </c>
      <c r="S26" s="44">
        <v>0.86880459923256603</v>
      </c>
      <c r="T26" s="25">
        <v>2.0130739448168198</v>
      </c>
      <c r="U26" s="47">
        <v>0.99999516446510806</v>
      </c>
      <c r="V26" s="44">
        <v>0.86880455343848695</v>
      </c>
      <c r="W26" s="25">
        <v>2.0130741668532499</v>
      </c>
      <c r="X26" s="47">
        <v>0.99999502381470995</v>
      </c>
      <c r="Y26" s="44">
        <v>0.868804544974625</v>
      </c>
      <c r="Z26" s="25">
        <v>2.0130704941617998</v>
      </c>
      <c r="AA26" s="47">
        <v>0.99999735031359005</v>
      </c>
      <c r="AB26" s="44">
        <v>0.86880468497485097</v>
      </c>
      <c r="AC26" s="25">
        <v>2.0130705504686199</v>
      </c>
      <c r="AD26" s="47">
        <v>0.99999731464539598</v>
      </c>
      <c r="AE26" s="44">
        <v>0.868804682828477</v>
      </c>
      <c r="AF26" s="25">
        <v>2.0130744347610499</v>
      </c>
      <c r="AG26" s="47">
        <v>0.99999485410688904</v>
      </c>
      <c r="AH26" s="44">
        <v>0.86880453476218</v>
      </c>
      <c r="AI26" s="25">
        <v>2.0130781083729898</v>
      </c>
      <c r="AJ26" s="47">
        <v>0.99999252704534303</v>
      </c>
      <c r="AK26" s="44">
        <v>0.86880439472683402</v>
      </c>
      <c r="AL26" s="47">
        <v>2.5</v>
      </c>
      <c r="AM26" s="47">
        <v>0.8</v>
      </c>
      <c r="AN26" s="44">
        <v>4.4999999999999998E-2</v>
      </c>
    </row>
    <row r="27" spans="1:40" x14ac:dyDescent="0.25">
      <c r="A27" s="22">
        <v>0.64</v>
      </c>
      <c r="B27" s="47">
        <v>2.0478844999999999</v>
      </c>
      <c r="C27" s="47">
        <v>0.99999760000000004</v>
      </c>
      <c r="D27" s="47">
        <v>0.86839929999999999</v>
      </c>
      <c r="E27" s="25">
        <v>2.3365</v>
      </c>
      <c r="F27" s="47">
        <v>0.86339999999999995</v>
      </c>
      <c r="G27" s="44">
        <v>0.85680000000000001</v>
      </c>
      <c r="H27" s="25">
        <v>2.0478852640739</v>
      </c>
      <c r="I27" s="47">
        <v>0.99999709629125</v>
      </c>
      <c r="J27" s="47">
        <v>0.86839927034223197</v>
      </c>
      <c r="K27" s="25">
        <v>2.0478857912833899</v>
      </c>
      <c r="L27" s="47">
        <v>0.99999674873369204</v>
      </c>
      <c r="M27" s="44">
        <v>0.86839924987842798</v>
      </c>
      <c r="N27" s="25">
        <v>2.0478863448045601</v>
      </c>
      <c r="O27" s="47">
        <v>0.99999638383085199</v>
      </c>
      <c r="P27" s="44">
        <v>0.86839922839332495</v>
      </c>
      <c r="Q27" s="25">
        <v>2.0478869544765099</v>
      </c>
      <c r="R27" s="47">
        <v>0.99999598191172101</v>
      </c>
      <c r="S27" s="44">
        <v>0.86839920472870902</v>
      </c>
      <c r="T27" s="25">
        <v>2.0478880699210098</v>
      </c>
      <c r="U27" s="47">
        <v>0.99999524656930805</v>
      </c>
      <c r="V27" s="44">
        <v>0.86839916143235696</v>
      </c>
      <c r="W27" s="25">
        <v>2.0478882760823298</v>
      </c>
      <c r="X27" s="47">
        <v>0.99999511066030899</v>
      </c>
      <c r="Y27" s="44">
        <v>0.86839915343013596</v>
      </c>
      <c r="Z27" s="25">
        <v>2.0478848659801101</v>
      </c>
      <c r="AA27" s="47">
        <v>0.99999735873084505</v>
      </c>
      <c r="AB27" s="44">
        <v>0.86839928579436798</v>
      </c>
      <c r="AC27" s="25">
        <v>2.0478849182611198</v>
      </c>
      <c r="AD27" s="47">
        <v>0.99999732426507204</v>
      </c>
      <c r="AE27" s="44">
        <v>0.86839928376506303</v>
      </c>
      <c r="AF27" s="25">
        <v>2.04788852483532</v>
      </c>
      <c r="AG27" s="47">
        <v>0.99999494667342403</v>
      </c>
      <c r="AH27" s="44">
        <v>0.86839914377470395</v>
      </c>
      <c r="AI27" s="25">
        <v>2.0478919357922201</v>
      </c>
      <c r="AJ27" s="47">
        <v>0.99999269805729496</v>
      </c>
      <c r="AK27" s="44">
        <v>0.86839901137719899</v>
      </c>
      <c r="AL27" s="47">
        <v>2.5</v>
      </c>
      <c r="AM27" s="47">
        <v>0.8</v>
      </c>
      <c r="AN27" s="44">
        <v>4.4999999999999998E-2</v>
      </c>
    </row>
    <row r="28" spans="1:40" x14ac:dyDescent="0.25">
      <c r="A28" s="22">
        <v>0.65</v>
      </c>
      <c r="B28" s="47">
        <v>2.1078855999999999</v>
      </c>
      <c r="C28" s="47">
        <v>0.99999729999999998</v>
      </c>
      <c r="D28" s="47">
        <v>0.87391569999999996</v>
      </c>
      <c r="E28" s="25">
        <v>2.3582000000000001</v>
      </c>
      <c r="F28" s="47">
        <v>0.86460000000000004</v>
      </c>
      <c r="G28" s="44">
        <v>0.8589</v>
      </c>
      <c r="H28" s="25">
        <v>2.1078862626722099</v>
      </c>
      <c r="I28" s="47">
        <v>0.99999682455996697</v>
      </c>
      <c r="J28" s="47">
        <v>0.87391566361374096</v>
      </c>
      <c r="K28" s="25">
        <v>2.10788671991474</v>
      </c>
      <c r="L28" s="47">
        <v>0.99999649650766098</v>
      </c>
      <c r="M28" s="44">
        <v>0.87391563850728704</v>
      </c>
      <c r="N28" s="25">
        <v>2.1078871999770699</v>
      </c>
      <c r="O28" s="47">
        <v>0.99999615208343795</v>
      </c>
      <c r="P28" s="44">
        <v>0.87391561214782798</v>
      </c>
      <c r="Q28" s="25">
        <v>2.10788772873831</v>
      </c>
      <c r="R28" s="47">
        <v>0.999995772720223</v>
      </c>
      <c r="S28" s="44">
        <v>0.873915583114382</v>
      </c>
      <c r="T28" s="25">
        <v>2.10788869615007</v>
      </c>
      <c r="U28" s="47">
        <v>0.99999507864539805</v>
      </c>
      <c r="V28" s="44">
        <v>0.87391552999530697</v>
      </c>
      <c r="W28" s="25">
        <v>2.10788887495133</v>
      </c>
      <c r="X28" s="47">
        <v>0.99999495036361297</v>
      </c>
      <c r="Y28" s="44">
        <v>0.87391552017760399</v>
      </c>
      <c r="Z28" s="25">
        <v>2.10788591741021</v>
      </c>
      <c r="AA28" s="47">
        <v>0.99999707227116397</v>
      </c>
      <c r="AB28" s="44">
        <v>0.87391568257152197</v>
      </c>
      <c r="AC28" s="25">
        <v>2.1078859627529001</v>
      </c>
      <c r="AD28" s="47">
        <v>0.99999703973964904</v>
      </c>
      <c r="AE28" s="44">
        <v>0.87391568008182696</v>
      </c>
      <c r="AF28" s="25">
        <v>2.1078890906918399</v>
      </c>
      <c r="AG28" s="47">
        <v>0.99999479557965698</v>
      </c>
      <c r="AH28" s="44">
        <v>0.87391550833162301</v>
      </c>
      <c r="AI28" s="25">
        <v>2.1078920489742199</v>
      </c>
      <c r="AJ28" s="47">
        <v>0.99999267315425699</v>
      </c>
      <c r="AK28" s="44">
        <v>0.87391534589674302</v>
      </c>
      <c r="AL28" s="47">
        <v>2.5</v>
      </c>
      <c r="AM28" s="47">
        <v>0.8</v>
      </c>
      <c r="AN28" s="44">
        <v>4.4400000000000002E-2</v>
      </c>
    </row>
    <row r="29" spans="1:40" x14ac:dyDescent="0.25">
      <c r="A29" s="22">
        <v>0.66</v>
      </c>
      <c r="B29" s="47">
        <v>2.1379454</v>
      </c>
      <c r="C29" s="47">
        <v>0.99999689999999997</v>
      </c>
      <c r="D29" s="47">
        <v>0.87409460000000005</v>
      </c>
      <c r="E29" s="25">
        <v>2.3691</v>
      </c>
      <c r="F29" s="47">
        <v>0.86529999999999996</v>
      </c>
      <c r="G29" s="44">
        <v>0.85909999999999997</v>
      </c>
      <c r="H29" s="25">
        <v>2.1379460118712399</v>
      </c>
      <c r="I29" s="47">
        <v>0.99999643783637304</v>
      </c>
      <c r="J29" s="47">
        <v>0.874094564365125</v>
      </c>
      <c r="K29" s="25">
        <v>2.13794643406119</v>
      </c>
      <c r="L29" s="47">
        <v>0.99999611894471496</v>
      </c>
      <c r="M29" s="44">
        <v>0.87409453977712204</v>
      </c>
      <c r="N29" s="25">
        <v>2.1379468773215602</v>
      </c>
      <c r="O29" s="47">
        <v>0.99999578413828305</v>
      </c>
      <c r="P29" s="44">
        <v>0.87409451396198801</v>
      </c>
      <c r="Q29" s="25">
        <v>2.13794736554755</v>
      </c>
      <c r="R29" s="47">
        <v>0.99999541536846803</v>
      </c>
      <c r="S29" s="44">
        <v>0.874094485528081</v>
      </c>
      <c r="T29" s="25">
        <v>2.13794825879675</v>
      </c>
      <c r="U29" s="47">
        <v>0.99999474067500105</v>
      </c>
      <c r="V29" s="44">
        <v>0.87409443350590998</v>
      </c>
      <c r="W29" s="25">
        <v>2.1379484238909701</v>
      </c>
      <c r="X29" s="47">
        <v>0.999994615975345</v>
      </c>
      <c r="Y29" s="44">
        <v>0.87409442389094205</v>
      </c>
      <c r="Z29" s="25">
        <v>2.13794569307729</v>
      </c>
      <c r="AA29" s="47">
        <v>0.999996678630378</v>
      </c>
      <c r="AB29" s="44">
        <v>0.87409458293142395</v>
      </c>
      <c r="AC29" s="25">
        <v>2.1379457349439699</v>
      </c>
      <c r="AD29" s="47">
        <v>0.99999664700728896</v>
      </c>
      <c r="AE29" s="44">
        <v>0.87409458049314104</v>
      </c>
      <c r="AF29" s="25">
        <v>2.1379486230926399</v>
      </c>
      <c r="AG29" s="47">
        <v>0.99999446551355697</v>
      </c>
      <c r="AH29" s="44">
        <v>0.87409441228957696</v>
      </c>
      <c r="AI29" s="25">
        <v>2.13795135459076</v>
      </c>
      <c r="AJ29" s="47">
        <v>0.99999240235382403</v>
      </c>
      <c r="AK29" s="44">
        <v>0.87409425320891299</v>
      </c>
      <c r="AL29" s="47">
        <v>2.5</v>
      </c>
      <c r="AM29" s="47">
        <v>0.8</v>
      </c>
      <c r="AN29" s="44">
        <v>4.4299999999999999E-2</v>
      </c>
    </row>
    <row r="30" spans="1:40" x14ac:dyDescent="0.25">
      <c r="A30" s="22">
        <v>0.67</v>
      </c>
      <c r="B30" s="47">
        <v>2.1153993999999998</v>
      </c>
      <c r="C30" s="47">
        <v>0.99999649999999995</v>
      </c>
      <c r="D30" s="47">
        <v>0.87384969999999995</v>
      </c>
      <c r="E30" s="25">
        <v>2.3609</v>
      </c>
      <c r="F30" s="47">
        <v>0.86480000000000001</v>
      </c>
      <c r="G30" s="44">
        <v>0.8589</v>
      </c>
      <c r="H30" s="25">
        <v>2.1154000499739198</v>
      </c>
      <c r="I30" s="47">
        <v>0.99999602793332898</v>
      </c>
      <c r="J30" s="47">
        <v>0.87384966397140995</v>
      </c>
      <c r="K30" s="25">
        <v>2.11540049845464</v>
      </c>
      <c r="L30" s="47">
        <v>0.99999570220862699</v>
      </c>
      <c r="M30" s="44">
        <v>0.87384963911174796</v>
      </c>
      <c r="N30" s="25">
        <v>2.1154009693178901</v>
      </c>
      <c r="O30" s="47">
        <v>0.99999536022815905</v>
      </c>
      <c r="P30" s="44">
        <v>0.87384961301139696</v>
      </c>
      <c r="Q30" s="25">
        <v>2.1154014879468601</v>
      </c>
      <c r="R30" s="47">
        <v>0.99999498355659</v>
      </c>
      <c r="S30" s="44">
        <v>0.87384958426334203</v>
      </c>
      <c r="T30" s="25">
        <v>2.11540243682082</v>
      </c>
      <c r="U30" s="47">
        <v>0.99999429440631604</v>
      </c>
      <c r="V30" s="44">
        <v>0.87384953166641399</v>
      </c>
      <c r="W30" s="25">
        <v>2.1154026121958398</v>
      </c>
      <c r="X30" s="47">
        <v>0.99999416703470301</v>
      </c>
      <c r="Y30" s="44">
        <v>0.87384952194521703</v>
      </c>
      <c r="Z30" s="25">
        <v>2.1153997113279002</v>
      </c>
      <c r="AA30" s="47">
        <v>0.99999627388696</v>
      </c>
      <c r="AB30" s="44">
        <v>0.87384968274284003</v>
      </c>
      <c r="AC30" s="25">
        <v>2.1153997558017301</v>
      </c>
      <c r="AD30" s="47">
        <v>0.99999624158626399</v>
      </c>
      <c r="AE30" s="44">
        <v>0.873849680277618</v>
      </c>
      <c r="AF30" s="25">
        <v>2.1154028238022802</v>
      </c>
      <c r="AG30" s="47">
        <v>0.99999401334895499</v>
      </c>
      <c r="AH30" s="44">
        <v>0.87384951021568003</v>
      </c>
      <c r="AI30" s="25">
        <v>2.1154057253972698</v>
      </c>
      <c r="AJ30" s="47">
        <v>0.99999190598218601</v>
      </c>
      <c r="AK30" s="44">
        <v>0.87384934937748104</v>
      </c>
      <c r="AL30" s="47">
        <v>2.5</v>
      </c>
      <c r="AM30" s="47">
        <v>0.8</v>
      </c>
      <c r="AN30" s="44">
        <v>4.4400000000000002E-2</v>
      </c>
    </row>
    <row r="31" spans="1:40" x14ac:dyDescent="0.25">
      <c r="A31" s="22">
        <v>0.68</v>
      </c>
      <c r="B31" s="47">
        <v>2.0954518000000002</v>
      </c>
      <c r="C31" s="47">
        <v>0.99999610000000005</v>
      </c>
      <c r="D31" s="47">
        <v>0.86956440000000002</v>
      </c>
      <c r="E31" s="25">
        <v>2.3536999999999999</v>
      </c>
      <c r="F31" s="47">
        <v>0.86439999999999995</v>
      </c>
      <c r="G31" s="44">
        <v>0.85729999999999995</v>
      </c>
      <c r="H31" s="25">
        <v>2.0954524836853001</v>
      </c>
      <c r="I31" s="47">
        <v>0.999995618903882</v>
      </c>
      <c r="J31" s="47">
        <v>0.86956436987960894</v>
      </c>
      <c r="K31" s="25">
        <v>2.09545295542681</v>
      </c>
      <c r="L31" s="47">
        <v>0.99999528694890905</v>
      </c>
      <c r="M31" s="44">
        <v>0.86956434909659397</v>
      </c>
      <c r="N31" s="25">
        <v>2.0954534507117399</v>
      </c>
      <c r="O31" s="47">
        <v>0.99999493842726495</v>
      </c>
      <c r="P31" s="44">
        <v>0.86956432727634703</v>
      </c>
      <c r="Q31" s="25">
        <v>2.0954539962398</v>
      </c>
      <c r="R31" s="47">
        <v>0.99999455455099595</v>
      </c>
      <c r="S31" s="44">
        <v>0.86956430324258505</v>
      </c>
      <c r="T31" s="25">
        <v>2.0954549943278198</v>
      </c>
      <c r="U31" s="47">
        <v>0.99999385221922799</v>
      </c>
      <c r="V31" s="44">
        <v>0.86956425927084602</v>
      </c>
      <c r="W31" s="25">
        <v>2.0954551787988001</v>
      </c>
      <c r="X31" s="47">
        <v>0.99999372241136797</v>
      </c>
      <c r="Y31" s="44">
        <v>0.86956425114379499</v>
      </c>
      <c r="Z31" s="25">
        <v>2.0954521274751601</v>
      </c>
      <c r="AA31" s="47">
        <v>0.99999586956198105</v>
      </c>
      <c r="AB31" s="44">
        <v>0.86956438557277904</v>
      </c>
      <c r="AC31" s="25">
        <v>2.09545217425566</v>
      </c>
      <c r="AD31" s="47">
        <v>0.99999583664345304</v>
      </c>
      <c r="AE31" s="44">
        <v>0.86956438351182197</v>
      </c>
      <c r="AF31" s="25">
        <v>2.0954554013803599</v>
      </c>
      <c r="AG31" s="47">
        <v>0.99999356578606402</v>
      </c>
      <c r="AH31" s="44">
        <v>0.86956424133774401</v>
      </c>
      <c r="AI31" s="25">
        <v>2.0954584534687699</v>
      </c>
      <c r="AJ31" s="47">
        <v>0.99999141811202297</v>
      </c>
      <c r="AK31" s="44">
        <v>0.86956410687487495</v>
      </c>
      <c r="AL31" s="47">
        <v>2.5</v>
      </c>
      <c r="AM31" s="47">
        <v>0.8</v>
      </c>
      <c r="AN31" s="44">
        <v>4.4900000000000002E-2</v>
      </c>
    </row>
    <row r="32" spans="1:40" x14ac:dyDescent="0.25">
      <c r="A32" s="22">
        <v>0.69</v>
      </c>
      <c r="B32" s="47">
        <v>2.0809836000000002</v>
      </c>
      <c r="C32" s="47">
        <v>0.99999559999999998</v>
      </c>
      <c r="D32" s="47">
        <v>0.87077470000000001</v>
      </c>
      <c r="E32" s="25">
        <v>2.3485</v>
      </c>
      <c r="F32" s="47">
        <v>0.86409999999999998</v>
      </c>
      <c r="G32" s="44">
        <v>0.85770000000000002</v>
      </c>
      <c r="H32" s="25">
        <v>2.0809843081365198</v>
      </c>
      <c r="I32" s="47">
        <v>0.99999511219214599</v>
      </c>
      <c r="J32" s="47">
        <v>0.87077466756997501</v>
      </c>
      <c r="K32" s="25">
        <v>2.0809847967493198</v>
      </c>
      <c r="L32" s="47">
        <v>0.99999477560611405</v>
      </c>
      <c r="M32" s="44">
        <v>0.87077464519331704</v>
      </c>
      <c r="N32" s="25">
        <v>2.0809853097475401</v>
      </c>
      <c r="O32" s="47">
        <v>0.99999442222230694</v>
      </c>
      <c r="P32" s="44">
        <v>0.87077462169989295</v>
      </c>
      <c r="Q32" s="25">
        <v>2.0809858747857799</v>
      </c>
      <c r="R32" s="47">
        <v>0.99999403299066902</v>
      </c>
      <c r="S32" s="44">
        <v>0.87077459582322203</v>
      </c>
      <c r="T32" s="25">
        <v>2.0809869085692698</v>
      </c>
      <c r="U32" s="47">
        <v>0.99999332086088999</v>
      </c>
      <c r="V32" s="44">
        <v>0.87077454847973201</v>
      </c>
      <c r="W32" s="25">
        <v>2.0809870996376398</v>
      </c>
      <c r="X32" s="47">
        <v>0.99999318924212799</v>
      </c>
      <c r="Y32" s="44">
        <v>0.87077453972950003</v>
      </c>
      <c r="Z32" s="25">
        <v>2.08098393918694</v>
      </c>
      <c r="AA32" s="47">
        <v>0.99999536634715203</v>
      </c>
      <c r="AB32" s="44">
        <v>0.87077468446649797</v>
      </c>
      <c r="AC32" s="25">
        <v>2.0809839876404799</v>
      </c>
      <c r="AD32" s="47">
        <v>0.99999533296938004</v>
      </c>
      <c r="AE32" s="44">
        <v>0.87077468224750598</v>
      </c>
      <c r="AF32" s="25">
        <v>2.08098733017958</v>
      </c>
      <c r="AG32" s="47">
        <v>0.99999303043180099</v>
      </c>
      <c r="AH32" s="44">
        <v>0.87077452917152198</v>
      </c>
      <c r="AI32" s="25">
        <v>2.0809904914224</v>
      </c>
      <c r="AJ32" s="47">
        <v>0.99999085279675004</v>
      </c>
      <c r="AK32" s="44">
        <v>0.87077438439806698</v>
      </c>
      <c r="AL32" s="47">
        <v>2.5</v>
      </c>
      <c r="AM32" s="47">
        <v>0.8</v>
      </c>
      <c r="AN32" s="44">
        <v>4.4699999999999997E-2</v>
      </c>
    </row>
    <row r="33" spans="1:40" x14ac:dyDescent="0.25">
      <c r="A33" s="22">
        <v>0.7</v>
      </c>
      <c r="B33" s="47">
        <v>2.0904508000000002</v>
      </c>
      <c r="C33" s="47">
        <v>0.99999479999999996</v>
      </c>
      <c r="D33" s="47">
        <v>0.86976129999999996</v>
      </c>
      <c r="E33" s="25">
        <v>2.3519000000000001</v>
      </c>
      <c r="F33" s="47">
        <v>0.86429999999999996</v>
      </c>
      <c r="G33" s="44">
        <v>0.85729999999999995</v>
      </c>
      <c r="H33" s="25">
        <v>2.0904514921369799</v>
      </c>
      <c r="I33" s="47">
        <v>0.999994316602416</v>
      </c>
      <c r="J33" s="47">
        <v>0.86976126943065402</v>
      </c>
      <c r="K33" s="25">
        <v>2.0904519697101298</v>
      </c>
      <c r="L33" s="47">
        <v>0.99999398305944498</v>
      </c>
      <c r="M33" s="44">
        <v>0.86976124833785995</v>
      </c>
      <c r="N33" s="25">
        <v>2.0904524711177399</v>
      </c>
      <c r="O33" s="47">
        <v>0.99999363287055798</v>
      </c>
      <c r="P33" s="44">
        <v>0.86976122619237395</v>
      </c>
      <c r="Q33" s="25">
        <v>2.0904530233895802</v>
      </c>
      <c r="R33" s="47">
        <v>0.99999324715792304</v>
      </c>
      <c r="S33" s="44">
        <v>0.86976120180038097</v>
      </c>
      <c r="T33" s="25">
        <v>2.0904540338159099</v>
      </c>
      <c r="U33" s="47">
        <v>0.99999254146640204</v>
      </c>
      <c r="V33" s="44">
        <v>0.86976115717322799</v>
      </c>
      <c r="W33" s="25">
        <v>2.09045422056731</v>
      </c>
      <c r="X33" s="47">
        <v>0.99999241103757996</v>
      </c>
      <c r="Y33" s="44">
        <v>0.86976114892504097</v>
      </c>
      <c r="Z33" s="25">
        <v>2.0904511315233898</v>
      </c>
      <c r="AA33" s="47">
        <v>0.99999456845961099</v>
      </c>
      <c r="AB33" s="44">
        <v>0.869761285357736</v>
      </c>
      <c r="AC33" s="25">
        <v>2.09045117888218</v>
      </c>
      <c r="AD33" s="47">
        <v>0.99999453538360805</v>
      </c>
      <c r="AE33" s="44">
        <v>0.86976128326605995</v>
      </c>
      <c r="AF33" s="25">
        <v>2.0904544459004</v>
      </c>
      <c r="AG33" s="47">
        <v>0.99999225366303002</v>
      </c>
      <c r="AH33" s="44">
        <v>0.86976113897283003</v>
      </c>
      <c r="AI33" s="25">
        <v>2.09045753571854</v>
      </c>
      <c r="AJ33" s="47">
        <v>0.99999009571530995</v>
      </c>
      <c r="AK33" s="44">
        <v>0.86976100250575195</v>
      </c>
      <c r="AL33" s="47">
        <v>2.5</v>
      </c>
      <c r="AM33" s="47">
        <v>0.8</v>
      </c>
      <c r="AN33" s="44">
        <v>4.4900000000000002E-2</v>
      </c>
    </row>
    <row r="34" spans="1:40" x14ac:dyDescent="0.25">
      <c r="A34" s="22">
        <v>0.71</v>
      </c>
      <c r="B34" s="47">
        <v>2.0973239000000001</v>
      </c>
      <c r="C34" s="47">
        <v>0.99999389999999999</v>
      </c>
      <c r="D34" s="47">
        <v>0.87111760000000005</v>
      </c>
      <c r="E34" s="25">
        <v>2.3544</v>
      </c>
      <c r="F34" s="47">
        <v>0.86439999999999995</v>
      </c>
      <c r="G34" s="44">
        <v>0.8579</v>
      </c>
      <c r="H34" s="25">
        <v>2.0973245805214602</v>
      </c>
      <c r="I34" s="47">
        <v>0.999993419767644</v>
      </c>
      <c r="J34" s="47">
        <v>0.87111756754625103</v>
      </c>
      <c r="K34" s="25">
        <v>2.0973250500799199</v>
      </c>
      <c r="L34" s="47">
        <v>0.99999308840866497</v>
      </c>
      <c r="M34" s="44">
        <v>0.87111754515322304</v>
      </c>
      <c r="N34" s="25">
        <v>2.0973255430728499</v>
      </c>
      <c r="O34" s="47">
        <v>0.999992740512753</v>
      </c>
      <c r="P34" s="44">
        <v>0.87111752164261003</v>
      </c>
      <c r="Q34" s="25">
        <v>2.0973260860764098</v>
      </c>
      <c r="R34" s="47">
        <v>0.99999235732569103</v>
      </c>
      <c r="S34" s="44">
        <v>0.87111749574700703</v>
      </c>
      <c r="T34" s="25">
        <v>2.09732707954565</v>
      </c>
      <c r="U34" s="47">
        <v>0.99999165625487396</v>
      </c>
      <c r="V34" s="44">
        <v>0.87111744836887495</v>
      </c>
      <c r="W34" s="25">
        <v>2.09732726316297</v>
      </c>
      <c r="X34" s="47">
        <v>0.99999152668006597</v>
      </c>
      <c r="Y34" s="44">
        <v>0.87111743961223997</v>
      </c>
      <c r="Z34" s="25">
        <v>2.09732422595973</v>
      </c>
      <c r="AA34" s="47">
        <v>0.99999366997571104</v>
      </c>
      <c r="AB34" s="44">
        <v>0.87111758445513399</v>
      </c>
      <c r="AC34" s="25">
        <v>2.09732427252374</v>
      </c>
      <c r="AD34" s="47">
        <v>0.99999363711628397</v>
      </c>
      <c r="AE34" s="44">
        <v>0.87111758223451996</v>
      </c>
      <c r="AF34" s="25">
        <v>2.0973274847145</v>
      </c>
      <c r="AG34" s="47">
        <v>0.99999137033596197</v>
      </c>
      <c r="AH34" s="44">
        <v>0.871117429046534</v>
      </c>
      <c r="AI34" s="25">
        <v>2.09733052267896</v>
      </c>
      <c r="AJ34" s="47">
        <v>0.99998922651774202</v>
      </c>
      <c r="AK34" s="44">
        <v>0.87111728416712497</v>
      </c>
      <c r="AL34" s="47">
        <v>2.5</v>
      </c>
      <c r="AM34" s="47">
        <v>0.8</v>
      </c>
      <c r="AN34" s="44">
        <v>4.4699999999999997E-2</v>
      </c>
    </row>
    <row r="35" spans="1:40" x14ac:dyDescent="0.25">
      <c r="A35" s="22">
        <v>0.72</v>
      </c>
      <c r="B35" s="47">
        <v>2.0968664000000001</v>
      </c>
      <c r="C35" s="47">
        <v>0.99999300000000002</v>
      </c>
      <c r="D35" s="47">
        <v>0.8722375</v>
      </c>
      <c r="E35" s="25">
        <v>2.3542000000000001</v>
      </c>
      <c r="F35" s="47">
        <v>0.86439999999999995</v>
      </c>
      <c r="G35" s="44">
        <v>0.85829999999999995</v>
      </c>
      <c r="H35" s="25">
        <v>2.0968670812946302</v>
      </c>
      <c r="I35" s="47">
        <v>0.99999251956022694</v>
      </c>
      <c r="J35" s="47">
        <v>0.87223746581020001</v>
      </c>
      <c r="K35" s="25">
        <v>2.0968675513865902</v>
      </c>
      <c r="L35" s="47">
        <v>0.99999218805812995</v>
      </c>
      <c r="M35" s="44">
        <v>0.8722374422193</v>
      </c>
      <c r="N35" s="25">
        <v>2.09686804493963</v>
      </c>
      <c r="O35" s="47">
        <v>0.99999184001196095</v>
      </c>
      <c r="P35" s="44">
        <v>0.872237417451033</v>
      </c>
      <c r="Q35" s="25">
        <v>2.0968685885601199</v>
      </c>
      <c r="R35" s="47">
        <v>0.99999145665939804</v>
      </c>
      <c r="S35" s="44">
        <v>0.87223739017019497</v>
      </c>
      <c r="T35" s="25">
        <v>2.0968695831580901</v>
      </c>
      <c r="U35" s="47">
        <v>0.99999075528578696</v>
      </c>
      <c r="V35" s="44">
        <v>0.87223734025766297</v>
      </c>
      <c r="W35" s="25">
        <v>2.0968697669840202</v>
      </c>
      <c r="X35" s="47">
        <v>0.99999062565501595</v>
      </c>
      <c r="Y35" s="44">
        <v>0.87223733103260903</v>
      </c>
      <c r="Z35" s="25">
        <v>2.0968667263300702</v>
      </c>
      <c r="AA35" s="47">
        <v>0.99999276987635999</v>
      </c>
      <c r="AB35" s="44">
        <v>0.87223748362359199</v>
      </c>
      <c r="AC35" s="25">
        <v>2.0968667729469801</v>
      </c>
      <c r="AD35" s="47">
        <v>0.99999273700274305</v>
      </c>
      <c r="AE35" s="44">
        <v>0.87223748128418799</v>
      </c>
      <c r="AF35" s="25">
        <v>2.0968699887872702</v>
      </c>
      <c r="AG35" s="47">
        <v>0.99999046924338597</v>
      </c>
      <c r="AH35" s="44">
        <v>0.87223731990171405</v>
      </c>
      <c r="AI35" s="25">
        <v>2.0968730302033101</v>
      </c>
      <c r="AJ35" s="47">
        <v>0.99998832449926101</v>
      </c>
      <c r="AK35" s="44">
        <v>0.87223716727226397</v>
      </c>
      <c r="AL35" s="47">
        <v>2.5</v>
      </c>
      <c r="AM35" s="47">
        <v>0.8</v>
      </c>
      <c r="AN35" s="44">
        <v>4.4600000000000001E-2</v>
      </c>
    </row>
    <row r="36" spans="1:40" x14ac:dyDescent="0.25">
      <c r="A36" s="22">
        <v>0.73</v>
      </c>
      <c r="B36" s="47">
        <v>2.1035279999999998</v>
      </c>
      <c r="C36" s="47">
        <v>0.99999199999999999</v>
      </c>
      <c r="D36" s="47">
        <v>0.87115989999999999</v>
      </c>
      <c r="E36" s="25">
        <v>2.3565999999999998</v>
      </c>
      <c r="F36" s="47">
        <v>0.86460000000000004</v>
      </c>
      <c r="G36" s="44">
        <v>0.8579</v>
      </c>
      <c r="H36" s="25">
        <v>2.1035286700365501</v>
      </c>
      <c r="I36" s="47">
        <v>0.99999152260077095</v>
      </c>
      <c r="J36" s="47">
        <v>0.87115986767265796</v>
      </c>
      <c r="K36" s="25">
        <v>2.1035291323604399</v>
      </c>
      <c r="L36" s="47">
        <v>0.99999119319663099</v>
      </c>
      <c r="M36" s="44">
        <v>0.87115984536684998</v>
      </c>
      <c r="N36" s="25">
        <v>2.1035296177577498</v>
      </c>
      <c r="O36" s="47">
        <v>0.99999084735311305</v>
      </c>
      <c r="P36" s="44">
        <v>0.87115982194781005</v>
      </c>
      <c r="Q36" s="25">
        <v>2.10353015239515</v>
      </c>
      <c r="R36" s="47">
        <v>0.99999046642663203</v>
      </c>
      <c r="S36" s="44">
        <v>0.87115979615306904</v>
      </c>
      <c r="T36" s="25">
        <v>2.1035311305578399</v>
      </c>
      <c r="U36" s="47">
        <v>0.99998976949170804</v>
      </c>
      <c r="V36" s="44">
        <v>0.87115974895947201</v>
      </c>
      <c r="W36" s="25">
        <v>2.10353131134613</v>
      </c>
      <c r="X36" s="47">
        <v>0.99998964068130902</v>
      </c>
      <c r="Y36" s="44">
        <v>0.87115974023694298</v>
      </c>
      <c r="Z36" s="25">
        <v>2.1035283209376101</v>
      </c>
      <c r="AA36" s="47">
        <v>0.99999177133273898</v>
      </c>
      <c r="AB36" s="44">
        <v>0.87115988451568105</v>
      </c>
      <c r="AC36" s="25">
        <v>2.1035283667842002</v>
      </c>
      <c r="AD36" s="47">
        <v>0.99999173866716495</v>
      </c>
      <c r="AE36" s="44">
        <v>0.87115988230371599</v>
      </c>
      <c r="AF36" s="25">
        <v>2.1035315294841901</v>
      </c>
      <c r="AG36" s="47">
        <v>0.99998948525953302</v>
      </c>
      <c r="AH36" s="44">
        <v>0.87115972971239097</v>
      </c>
      <c r="AI36" s="25">
        <v>2.10353452064221</v>
      </c>
      <c r="AJ36" s="47">
        <v>0.99998735408832096</v>
      </c>
      <c r="AK36" s="44">
        <v>0.87115958539726801</v>
      </c>
      <c r="AL36" s="47">
        <v>2.5</v>
      </c>
      <c r="AM36" s="47">
        <v>0.8</v>
      </c>
      <c r="AN36" s="44">
        <v>4.4699999999999997E-2</v>
      </c>
    </row>
    <row r="37" spans="1:40" x14ac:dyDescent="0.25">
      <c r="A37" s="22">
        <v>0.74</v>
      </c>
      <c r="B37" s="47">
        <v>2.0964624999999999</v>
      </c>
      <c r="C37" s="47">
        <v>0.9999903</v>
      </c>
      <c r="D37" s="47">
        <v>0.87170970000000003</v>
      </c>
      <c r="E37" s="25">
        <v>2.3540999999999999</v>
      </c>
      <c r="F37" s="47">
        <v>0.86439999999999995</v>
      </c>
      <c r="G37" s="44">
        <v>0.85809999999999997</v>
      </c>
      <c r="H37" s="25">
        <v>2.0964631819772199</v>
      </c>
      <c r="I37" s="47">
        <v>0.99998981938157905</v>
      </c>
      <c r="J37" s="47">
        <v>0.87170966660864302</v>
      </c>
      <c r="K37" s="25">
        <v>2.0964636525401601</v>
      </c>
      <c r="L37" s="47">
        <v>0.99998948775621399</v>
      </c>
      <c r="M37" s="44">
        <v>0.87170964356866598</v>
      </c>
      <c r="N37" s="25">
        <v>2.0964641465876901</v>
      </c>
      <c r="O37" s="47">
        <v>0.99998913958062696</v>
      </c>
      <c r="P37" s="44">
        <v>0.87170961937881697</v>
      </c>
      <c r="Q37" s="25">
        <v>2.0964646907528399</v>
      </c>
      <c r="R37" s="47">
        <v>0.99998875608551696</v>
      </c>
      <c r="S37" s="44">
        <v>0.87170959273507398</v>
      </c>
      <c r="T37" s="25">
        <v>2.0964656863472899</v>
      </c>
      <c r="U37" s="47">
        <v>0.99998805445110805</v>
      </c>
      <c r="V37" s="44">
        <v>0.87170954398816003</v>
      </c>
      <c r="W37" s="25">
        <v>2.0964658703574002</v>
      </c>
      <c r="X37" s="47">
        <v>0.99998792477213505</v>
      </c>
      <c r="Y37" s="44">
        <v>0.87170953497853998</v>
      </c>
      <c r="Z37" s="25">
        <v>2.09646282665702</v>
      </c>
      <c r="AA37" s="47">
        <v>0.99999006979079097</v>
      </c>
      <c r="AB37" s="44">
        <v>0.87170968400603399</v>
      </c>
      <c r="AC37" s="25">
        <v>2.0964628733206299</v>
      </c>
      <c r="AD37" s="47">
        <v>0.99999003690494803</v>
      </c>
      <c r="AE37" s="44">
        <v>0.87170968172126295</v>
      </c>
      <c r="AF37" s="25">
        <v>2.09646609238288</v>
      </c>
      <c r="AG37" s="47">
        <v>0.99998776830234304</v>
      </c>
      <c r="AH37" s="44">
        <v>0.87170952410758695</v>
      </c>
      <c r="AI37" s="25">
        <v>2.0964691368461201</v>
      </c>
      <c r="AJ37" s="47">
        <v>0.999985622760732</v>
      </c>
      <c r="AK37" s="44">
        <v>0.87170937504252299</v>
      </c>
      <c r="AL37" s="47">
        <v>2.5</v>
      </c>
      <c r="AM37" s="47">
        <v>0.8</v>
      </c>
      <c r="AN37" s="44">
        <v>4.4600000000000001E-2</v>
      </c>
    </row>
    <row r="38" spans="1:40" x14ac:dyDescent="0.25">
      <c r="A38" s="22">
        <v>0.75</v>
      </c>
      <c r="B38" s="47">
        <v>2.0980886999999999</v>
      </c>
      <c r="C38" s="47">
        <v>0.99999020000000005</v>
      </c>
      <c r="D38" s="47">
        <v>0.87236880000000006</v>
      </c>
      <c r="E38" s="25">
        <v>2.3546999999999998</v>
      </c>
      <c r="F38" s="47">
        <v>0.86439999999999995</v>
      </c>
      <c r="G38" s="44">
        <v>0.85829999999999995</v>
      </c>
      <c r="H38" s="25">
        <v>2.0980893792289499</v>
      </c>
      <c r="I38" s="47">
        <v>0.99998972012656895</v>
      </c>
      <c r="J38" s="47">
        <v>0.87236876564819699</v>
      </c>
      <c r="K38" s="25">
        <v>2.0980898478955798</v>
      </c>
      <c r="L38" s="47">
        <v>0.99998938901524403</v>
      </c>
      <c r="M38" s="44">
        <v>0.87236874194551395</v>
      </c>
      <c r="N38" s="25">
        <v>2.0980903399521802</v>
      </c>
      <c r="O38" s="47">
        <v>0.99998904137934796</v>
      </c>
      <c r="P38" s="44">
        <v>0.87236871705988495</v>
      </c>
      <c r="Q38" s="25">
        <v>2.09809088192441</v>
      </c>
      <c r="R38" s="47">
        <v>0.99998865847867502</v>
      </c>
      <c r="S38" s="44">
        <v>0.87236868964977998</v>
      </c>
      <c r="T38" s="25">
        <v>2.09809187350676</v>
      </c>
      <c r="U38" s="47">
        <v>0.99998795793182804</v>
      </c>
      <c r="V38" s="44">
        <v>0.87236863950074295</v>
      </c>
      <c r="W38" s="25">
        <v>2.0980920567753301</v>
      </c>
      <c r="X38" s="47">
        <v>0.99998782845386402</v>
      </c>
      <c r="Y38" s="44">
        <v>0.87236863023197697</v>
      </c>
      <c r="Z38" s="25">
        <v>2.0980890253406299</v>
      </c>
      <c r="AA38" s="47">
        <v>0.99998997014763102</v>
      </c>
      <c r="AB38" s="44">
        <v>0.87236878354599501</v>
      </c>
      <c r="AC38" s="25">
        <v>2.0980890718162</v>
      </c>
      <c r="AD38" s="47">
        <v>0.99998993731276298</v>
      </c>
      <c r="AE38" s="44">
        <v>0.87236878119550698</v>
      </c>
      <c r="AF38" s="25">
        <v>2.0980922779060802</v>
      </c>
      <c r="AG38" s="47">
        <v>0.99998767222660601</v>
      </c>
      <c r="AH38" s="44">
        <v>0.87236861904833995</v>
      </c>
      <c r="AI38" s="25">
        <v>2.0980953101005499</v>
      </c>
      <c r="AJ38" s="47">
        <v>0.99998553001061696</v>
      </c>
      <c r="AK38" s="44">
        <v>0.87236846569567095</v>
      </c>
      <c r="AL38" s="47">
        <v>2.5</v>
      </c>
      <c r="AM38" s="47">
        <v>0.8</v>
      </c>
      <c r="AN38" s="44">
        <v>4.4600000000000001E-2</v>
      </c>
    </row>
    <row r="39" spans="1:40" x14ac:dyDescent="0.25">
      <c r="A39" s="22">
        <v>0.76</v>
      </c>
      <c r="B39" s="47">
        <v>2.1014781</v>
      </c>
      <c r="C39" s="47">
        <v>0.99998730000000002</v>
      </c>
      <c r="D39" s="47">
        <v>0.86982499999999996</v>
      </c>
      <c r="E39" s="25">
        <v>2.3559000000000001</v>
      </c>
      <c r="F39" s="47">
        <v>0.86450000000000005</v>
      </c>
      <c r="G39" s="44">
        <v>0.85740000000000005</v>
      </c>
      <c r="H39" s="25">
        <v>2.1014787735008702</v>
      </c>
      <c r="I39" s="47">
        <v>0.99998682168019604</v>
      </c>
      <c r="J39" s="47">
        <v>0.86982496965266698</v>
      </c>
      <c r="K39" s="25">
        <v>2.1014792382151501</v>
      </c>
      <c r="L39" s="47">
        <v>0.99998649164086395</v>
      </c>
      <c r="M39" s="44">
        <v>0.86982494871306204</v>
      </c>
      <c r="N39" s="25">
        <v>2.1014797261221201</v>
      </c>
      <c r="O39" s="47">
        <v>0.99998614513045703</v>
      </c>
      <c r="P39" s="44">
        <v>0.86982492672840905</v>
      </c>
      <c r="Q39" s="25">
        <v>2.1014802635238001</v>
      </c>
      <c r="R39" s="47">
        <v>0.99998576346943902</v>
      </c>
      <c r="S39" s="44">
        <v>0.86982490251356503</v>
      </c>
      <c r="T39" s="25">
        <v>2.1014812467439299</v>
      </c>
      <c r="U39" s="47">
        <v>0.99998506519062802</v>
      </c>
      <c r="V39" s="44">
        <v>0.86982485821051703</v>
      </c>
      <c r="W39" s="25">
        <v>2.1014814284669598</v>
      </c>
      <c r="X39" s="47">
        <v>0.99998493613184802</v>
      </c>
      <c r="Y39" s="44">
        <v>0.86982485002223298</v>
      </c>
      <c r="Z39" s="25">
        <v>2.10147842259697</v>
      </c>
      <c r="AA39" s="47">
        <v>0.99998707089179595</v>
      </c>
      <c r="AB39" s="44">
        <v>0.86982498546407805</v>
      </c>
      <c r="AC39" s="25">
        <v>2.1014784686805998</v>
      </c>
      <c r="AD39" s="47">
        <v>0.99998703816323398</v>
      </c>
      <c r="AE39" s="44">
        <v>0.86982498338759195</v>
      </c>
      <c r="AF39" s="25">
        <v>2.1014816477328599</v>
      </c>
      <c r="AG39" s="47">
        <v>0.99998478041037797</v>
      </c>
      <c r="AH39" s="44">
        <v>0.869824840142297</v>
      </c>
      <c r="AI39" s="25">
        <v>2.1014846543562302</v>
      </c>
      <c r="AJ39" s="47">
        <v>0.999982645129743</v>
      </c>
      <c r="AK39" s="44">
        <v>0.86982470466630102</v>
      </c>
      <c r="AL39" s="47">
        <v>2.5</v>
      </c>
      <c r="AM39" s="47">
        <v>0.8</v>
      </c>
      <c r="AN39" s="44">
        <v>4.48E-2</v>
      </c>
    </row>
    <row r="40" spans="1:40" x14ac:dyDescent="0.25">
      <c r="A40" s="22">
        <v>0.77</v>
      </c>
      <c r="B40" s="47">
        <v>2.1019956999999998</v>
      </c>
      <c r="C40" s="47">
        <v>0.99998589999999998</v>
      </c>
      <c r="D40" s="47">
        <v>0.86976359999999997</v>
      </c>
      <c r="E40" s="25">
        <v>2.3561000000000001</v>
      </c>
      <c r="F40" s="47">
        <v>0.86450000000000005</v>
      </c>
      <c r="G40" s="44">
        <v>0.85740000000000005</v>
      </c>
      <c r="H40" s="25">
        <v>2.1019963726261301</v>
      </c>
      <c r="I40" s="47">
        <v>0.99998542191907802</v>
      </c>
      <c r="J40" s="47">
        <v>0.86976356976146796</v>
      </c>
      <c r="K40" s="25">
        <v>2.1019968367368298</v>
      </c>
      <c r="L40" s="47">
        <v>0.99998509204457298</v>
      </c>
      <c r="M40" s="44">
        <v>0.86976354889693597</v>
      </c>
      <c r="N40" s="25">
        <v>2.10199732401012</v>
      </c>
      <c r="O40" s="47">
        <v>0.99998474570721896</v>
      </c>
      <c r="P40" s="44">
        <v>0.86976352699110204</v>
      </c>
      <c r="Q40" s="25">
        <v>2.1019978607138099</v>
      </c>
      <c r="R40" s="47">
        <v>0.99998436423680803</v>
      </c>
      <c r="S40" s="44">
        <v>0.86976350286307302</v>
      </c>
      <c r="T40" s="25">
        <v>2.1019988426569398</v>
      </c>
      <c r="U40" s="47">
        <v>0.99998366630672497</v>
      </c>
      <c r="V40" s="44">
        <v>0.86976345871886196</v>
      </c>
      <c r="W40" s="25">
        <v>2.1019990241439501</v>
      </c>
      <c r="X40" s="47">
        <v>0.99998353731239997</v>
      </c>
      <c r="Y40" s="44">
        <v>0.86976345055993398</v>
      </c>
      <c r="Z40" s="25">
        <v>2.1019960221779801</v>
      </c>
      <c r="AA40" s="47">
        <v>0.99998567100621705</v>
      </c>
      <c r="AB40" s="44">
        <v>0.86976358551619004</v>
      </c>
      <c r="AC40" s="25">
        <v>2.10199606820176</v>
      </c>
      <c r="AD40" s="47">
        <v>0.999985638294001</v>
      </c>
      <c r="AE40" s="44">
        <v>0.86976358344714999</v>
      </c>
      <c r="AF40" s="25">
        <v>2.10199924312507</v>
      </c>
      <c r="AG40" s="47">
        <v>0.99998338166869705</v>
      </c>
      <c r="AH40" s="44">
        <v>0.869763440715421</v>
      </c>
      <c r="AI40" s="25">
        <v>2.1020022458434302</v>
      </c>
      <c r="AJ40" s="47">
        <v>0.99998124745442796</v>
      </c>
      <c r="AK40" s="44">
        <v>0.86976330572513205</v>
      </c>
      <c r="AL40" s="47">
        <v>2.5</v>
      </c>
      <c r="AM40" s="47">
        <v>0.8</v>
      </c>
      <c r="AN40" s="44">
        <v>4.4900000000000002E-2</v>
      </c>
    </row>
    <row r="41" spans="1:40" x14ac:dyDescent="0.25">
      <c r="A41" s="22">
        <v>0.78</v>
      </c>
      <c r="B41" s="47">
        <v>2.1001865999999998</v>
      </c>
      <c r="C41" s="47">
        <v>0.99998379999999998</v>
      </c>
      <c r="D41" s="47">
        <v>0.87162759999999995</v>
      </c>
      <c r="E41" s="25">
        <v>2.3553999999999999</v>
      </c>
      <c r="F41" s="47">
        <v>0.86450000000000005</v>
      </c>
      <c r="G41" s="44">
        <v>0.85809999999999997</v>
      </c>
      <c r="H41" s="25">
        <v>2.1001872756835001</v>
      </c>
      <c r="I41" s="47">
        <v>0.99998332110011601</v>
      </c>
      <c r="J41" s="47">
        <v>0.87162756685235598</v>
      </c>
      <c r="K41" s="25">
        <v>2.10018774190379</v>
      </c>
      <c r="L41" s="47">
        <v>0.99998299066053298</v>
      </c>
      <c r="M41" s="44">
        <v>0.87162754398054099</v>
      </c>
      <c r="N41" s="25">
        <v>2.10018823139194</v>
      </c>
      <c r="O41" s="47">
        <v>0.99998264372989998</v>
      </c>
      <c r="P41" s="44">
        <v>0.87162751996724597</v>
      </c>
      <c r="Q41" s="25">
        <v>2.1001887705351798</v>
      </c>
      <c r="R41" s="47">
        <v>0.99998226160603199</v>
      </c>
      <c r="S41" s="44">
        <v>0.87162749351796798</v>
      </c>
      <c r="T41" s="25">
        <v>2.1001897569416599</v>
      </c>
      <c r="U41" s="47">
        <v>0.99998156248040104</v>
      </c>
      <c r="V41" s="44">
        <v>0.87162744512684098</v>
      </c>
      <c r="W41" s="25">
        <v>2.1001899392536099</v>
      </c>
      <c r="X41" s="47">
        <v>0.99998143326511002</v>
      </c>
      <c r="Y41" s="44">
        <v>0.87162743618298</v>
      </c>
      <c r="Z41" s="25">
        <v>2.1001869236424202</v>
      </c>
      <c r="AA41" s="47">
        <v>0.99998357061394505</v>
      </c>
      <c r="AB41" s="44">
        <v>0.87162758412276897</v>
      </c>
      <c r="AC41" s="25">
        <v>2.1001869698753901</v>
      </c>
      <c r="AD41" s="47">
        <v>0.99998353784569505</v>
      </c>
      <c r="AE41" s="44">
        <v>0.87162758185467404</v>
      </c>
      <c r="AF41" s="25">
        <v>2.10019015923009</v>
      </c>
      <c r="AG41" s="47">
        <v>0.99998127735479403</v>
      </c>
      <c r="AH41" s="44">
        <v>0.87162742539136995</v>
      </c>
      <c r="AI41" s="25">
        <v>2.1001931755970902</v>
      </c>
      <c r="AJ41" s="47">
        <v>0.99997913948469797</v>
      </c>
      <c r="AK41" s="44">
        <v>0.87162727741428003</v>
      </c>
      <c r="AL41" s="47">
        <v>2.5</v>
      </c>
      <c r="AM41" s="47">
        <v>0.8</v>
      </c>
      <c r="AN41" s="44">
        <v>4.4600000000000001E-2</v>
      </c>
    </row>
    <row r="42" spans="1:40" ht="15.75" thickBot="1" x14ac:dyDescent="0.3">
      <c r="A42" s="22">
        <v>0.79</v>
      </c>
      <c r="B42" s="47">
        <v>2.1049039</v>
      </c>
      <c r="C42" s="47">
        <v>0.99998100000000001</v>
      </c>
      <c r="D42" s="47">
        <v>0.8698671</v>
      </c>
      <c r="E42" s="25">
        <v>2.3571</v>
      </c>
      <c r="F42" s="47">
        <v>0.86460000000000004</v>
      </c>
      <c r="G42" s="44">
        <v>0.85740000000000005</v>
      </c>
      <c r="H42" s="25">
        <v>2.1049045677112801</v>
      </c>
      <c r="I42" s="47">
        <v>0.99998052325090603</v>
      </c>
      <c r="J42" s="47">
        <v>0.86986706968675298</v>
      </c>
      <c r="K42" s="25">
        <v>2.1049050284307498</v>
      </c>
      <c r="L42" s="47">
        <v>0.99998019429535601</v>
      </c>
      <c r="M42" s="44">
        <v>0.86986704877066601</v>
      </c>
      <c r="N42" s="25">
        <v>2.1049055121435498</v>
      </c>
      <c r="O42" s="47">
        <v>0.999979848922814</v>
      </c>
      <c r="P42" s="44">
        <v>0.86986702681070505</v>
      </c>
      <c r="Q42" s="25">
        <v>2.1049060449255701</v>
      </c>
      <c r="R42" s="47">
        <v>0.99997946851508401</v>
      </c>
      <c r="S42" s="44">
        <v>0.86986700262305705</v>
      </c>
      <c r="T42" s="25">
        <v>2.1049070196936799</v>
      </c>
      <c r="U42" s="47">
        <v>0.99997877252925005</v>
      </c>
      <c r="V42" s="44">
        <v>0.86986695836976702</v>
      </c>
      <c r="W42" s="25">
        <v>2.1049071998545799</v>
      </c>
      <c r="X42" s="47">
        <v>0.99997864389426605</v>
      </c>
      <c r="Y42" s="44">
        <v>0.86986695019067894</v>
      </c>
      <c r="Z42" s="25">
        <v>2.1049042198238399</v>
      </c>
      <c r="AA42" s="47">
        <v>0.99998077164414401</v>
      </c>
      <c r="AB42" s="44">
        <v>0.86986708548040304</v>
      </c>
      <c r="AC42" s="25">
        <v>2.1049042655113301</v>
      </c>
      <c r="AD42" s="47">
        <v>0.99998073902305795</v>
      </c>
      <c r="AE42" s="44">
        <v>0.86986708340624896</v>
      </c>
      <c r="AF42" s="25">
        <v>2.1049074172356099</v>
      </c>
      <c r="AG42" s="47">
        <v>0.99997848868414396</v>
      </c>
      <c r="AH42" s="44">
        <v>0.86986694032183998</v>
      </c>
      <c r="AI42" s="25">
        <v>2.10491039801324</v>
      </c>
      <c r="AJ42" s="47">
        <v>0.99997636041513005</v>
      </c>
      <c r="AK42" s="44">
        <v>0.86986680499799296</v>
      </c>
      <c r="AL42" s="47">
        <v>2.5</v>
      </c>
      <c r="AM42" s="47">
        <v>0.8</v>
      </c>
      <c r="AN42" s="44">
        <v>4.48E-2</v>
      </c>
    </row>
    <row r="43" spans="1:40" ht="15.75" thickBot="1" x14ac:dyDescent="0.3">
      <c r="A43" s="24" t="s">
        <v>54</v>
      </c>
      <c r="B43" s="80">
        <f>AVERAGE(B3:B42)</f>
        <v>2.0858491150000003</v>
      </c>
      <c r="C43" s="80">
        <f t="shared" ref="C43:D43" si="0">AVERAGE(C3:C42)</f>
        <v>0.99999648500000016</v>
      </c>
      <c r="D43" s="81">
        <f t="shared" si="0"/>
        <v>0.87305111749999997</v>
      </c>
      <c r="E43" s="82">
        <f>AVERAGE(E3:E42)</f>
        <v>2.3502350000000005</v>
      </c>
      <c r="F43" s="80">
        <f t="shared" ref="F43:Y43" si="1">AVERAGE(F3:F42)</f>
        <v>0.86417750000000026</v>
      </c>
      <c r="G43" s="81">
        <f t="shared" si="1"/>
        <v>0.85855749999999986</v>
      </c>
      <c r="H43" s="82">
        <f t="shared" si="1"/>
        <v>2.0858498149138134</v>
      </c>
      <c r="I43" s="80">
        <f t="shared" si="1"/>
        <v>0.99999599925723515</v>
      </c>
      <c r="J43" s="81">
        <f t="shared" si="1"/>
        <v>0.87305108168493517</v>
      </c>
      <c r="K43" s="82">
        <f t="shared" si="1"/>
        <v>2.0858502978529634</v>
      </c>
      <c r="L43" s="80">
        <f t="shared" si="1"/>
        <v>0.99999566409610363</v>
      </c>
      <c r="M43" s="81">
        <f t="shared" si="1"/>
        <v>0.87305105697260554</v>
      </c>
      <c r="N43" s="82">
        <f t="shared" si="1"/>
        <v>2.0858508048943758</v>
      </c>
      <c r="O43" s="80">
        <f t="shared" si="1"/>
        <v>0.9999953122083044</v>
      </c>
      <c r="P43" s="81">
        <f t="shared" si="1"/>
        <v>0.87305103102694159</v>
      </c>
      <c r="Q43" s="82">
        <f t="shared" si="1"/>
        <v>2.0858513633715323</v>
      </c>
      <c r="R43" s="80">
        <f t="shared" si="1"/>
        <v>0.99999492462442663</v>
      </c>
      <c r="S43" s="81">
        <f t="shared" si="1"/>
        <v>0.87305100244926837</v>
      </c>
      <c r="T43" s="82">
        <f t="shared" si="1"/>
        <v>2.0858523851509823</v>
      </c>
      <c r="U43" s="80">
        <f t="shared" si="1"/>
        <v>0.99999421550933842</v>
      </c>
      <c r="V43" s="81">
        <f t="shared" si="1"/>
        <v>0.87305095016407219</v>
      </c>
      <c r="W43" s="82">
        <f t="shared" si="1"/>
        <v>2.0858525740007159</v>
      </c>
      <c r="X43" s="80">
        <f t="shared" si="1"/>
        <v>0.99999408444776172</v>
      </c>
      <c r="Y43" s="81">
        <f t="shared" si="1"/>
        <v>0.87305094050049181</v>
      </c>
      <c r="Z43" s="82">
        <f>AVERAGE(Table14[Qmix78])</f>
        <v>2.0858494502483795</v>
      </c>
      <c r="AA43" s="80">
        <f>AVERAGE(Table14[Wmix79])</f>
        <v>0.99999625233630129</v>
      </c>
      <c r="AB43" s="81">
        <f>AVERAGE(Table14[Gmix80])</f>
        <v>0.87305110034511435</v>
      </c>
      <c r="AC43" s="82">
        <f>AVERAGE(Table14[Qmix75])</f>
        <v>2.0858494981392917</v>
      </c>
      <c r="AD43" s="80">
        <f>AVERAGE(Table14[Wmix76])</f>
        <v>0.99999621909983127</v>
      </c>
      <c r="AE43" s="81">
        <f>AVERAGE(Table14[Gmix77])</f>
        <v>0.87305109789450397</v>
      </c>
      <c r="AF43" s="82">
        <f>AVERAGE(Table14[Qmix72])</f>
        <v>2.0858528018656548</v>
      </c>
      <c r="AG43" s="80">
        <f>AVERAGE(Table14[Wmix73])</f>
        <v>0.99999392630973283</v>
      </c>
      <c r="AH43" s="81">
        <f>AVERAGE(Table14[Gmix74])</f>
        <v>0.87305092884047375</v>
      </c>
      <c r="AI43" s="82">
        <f>AVERAGE(AI3:AI42)</f>
        <v>2.0858559264009093</v>
      </c>
      <c r="AJ43" s="80">
        <f>AVERAGE(Table14[Wmix9])</f>
        <v>0.99999175789322248</v>
      </c>
      <c r="AK43" s="81">
        <f>AVERAGE(Table14[Gmix10])</f>
        <v>0.87305076895558131</v>
      </c>
      <c r="AL43" s="80">
        <f>AVERAGE(Table5[Q(Dark)])</f>
        <v>2.5</v>
      </c>
      <c r="AM43" s="80">
        <f>AVERAGE(Table5[W(Dark)])</f>
        <v>0.80000000000000038</v>
      </c>
      <c r="AN43" s="81">
        <f>AVERAGE(Table5[A(Dark)])</f>
        <v>4.4464999999999984E-2</v>
      </c>
    </row>
  </sheetData>
  <mergeCells count="13">
    <mergeCell ref="AL1:AN1"/>
    <mergeCell ref="B1:D1"/>
    <mergeCell ref="W1:Y1"/>
    <mergeCell ref="E1:G1"/>
    <mergeCell ref="H1:J1"/>
    <mergeCell ref="K1:M1"/>
    <mergeCell ref="N1:P1"/>
    <mergeCell ref="Q1:S1"/>
    <mergeCell ref="T1:V1"/>
    <mergeCell ref="Z1:AB1"/>
    <mergeCell ref="AC1:AE1"/>
    <mergeCell ref="AF1:AH1"/>
    <mergeCell ref="AI1:AK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"/>
  <sheetViews>
    <sheetView zoomScale="90" zoomScaleNormal="90" workbookViewId="0">
      <selection activeCell="L30" sqref="L30"/>
    </sheetView>
  </sheetViews>
  <sheetFormatPr defaultRowHeight="15" x14ac:dyDescent="0.25"/>
  <cols>
    <col min="1" max="1" width="15.28515625" bestFit="1" customWidth="1"/>
    <col min="2" max="2" width="9.85546875" bestFit="1" customWidth="1"/>
    <col min="3" max="3" width="10.28515625" bestFit="1" customWidth="1"/>
    <col min="4" max="4" width="15.28515625" customWidth="1"/>
    <col min="5" max="5" width="9.28515625" bestFit="1" customWidth="1"/>
    <col min="6" max="6" width="9.85546875" bestFit="1" customWidth="1"/>
    <col min="7" max="7" width="9.140625" bestFit="1" customWidth="1"/>
    <col min="8" max="8" width="9.28515625" bestFit="1" customWidth="1"/>
    <col min="9" max="9" width="9.85546875" bestFit="1" customWidth="1"/>
    <col min="10" max="10" width="9.140625" bestFit="1" customWidth="1"/>
    <col min="11" max="11" width="9.28515625" bestFit="1" customWidth="1"/>
    <col min="12" max="12" width="9.85546875" bestFit="1" customWidth="1"/>
    <col min="13" max="13" width="9.140625" bestFit="1" customWidth="1"/>
    <col min="14" max="14" width="9.28515625" bestFit="1" customWidth="1"/>
    <col min="15" max="15" width="9.85546875" bestFit="1" customWidth="1"/>
    <col min="16" max="16" width="9.140625" bestFit="1" customWidth="1"/>
    <col min="17" max="17" width="9.28515625" bestFit="1" customWidth="1"/>
    <col min="18" max="18" width="9.85546875" bestFit="1" customWidth="1"/>
    <col min="19" max="19" width="9.140625" bestFit="1" customWidth="1"/>
    <col min="20" max="20" width="9.28515625" bestFit="1" customWidth="1"/>
    <col min="21" max="21" width="9.85546875" bestFit="1" customWidth="1"/>
    <col min="22" max="22" width="9.140625" bestFit="1" customWidth="1"/>
    <col min="23" max="23" width="9.28515625" bestFit="1" customWidth="1"/>
    <col min="24" max="24" width="9.85546875" bestFit="1" customWidth="1"/>
    <col min="25" max="25" width="9.140625" bestFit="1" customWidth="1"/>
    <col min="26" max="37" width="9.140625" customWidth="1"/>
    <col min="38" max="38" width="10.28515625" bestFit="1" customWidth="1"/>
    <col min="39" max="39" width="10.7109375" bestFit="1" customWidth="1"/>
    <col min="40" max="40" width="10.140625" bestFit="1" customWidth="1"/>
  </cols>
  <sheetData>
    <row r="1" spans="1:40" ht="15.75" thickBot="1" x14ac:dyDescent="0.3">
      <c r="A1" s="139" t="s">
        <v>55</v>
      </c>
      <c r="B1" s="139"/>
      <c r="C1" s="139"/>
      <c r="D1" s="139"/>
    </row>
    <row r="2" spans="1:40" ht="15.75" thickBot="1" x14ac:dyDescent="0.3">
      <c r="A2" s="97" t="s">
        <v>0</v>
      </c>
      <c r="B2" s="134" t="s">
        <v>1</v>
      </c>
      <c r="C2" s="134"/>
      <c r="D2" s="135"/>
      <c r="E2" s="136" t="s">
        <v>2</v>
      </c>
      <c r="F2" s="137"/>
      <c r="G2" s="138"/>
      <c r="H2" s="136" t="s">
        <v>3</v>
      </c>
      <c r="I2" s="137"/>
      <c r="J2" s="138"/>
      <c r="K2" s="136" t="s">
        <v>4</v>
      </c>
      <c r="L2" s="137"/>
      <c r="M2" s="138"/>
      <c r="N2" s="136" t="s">
        <v>5</v>
      </c>
      <c r="O2" s="137"/>
      <c r="P2" s="138"/>
      <c r="Q2" s="136" t="s">
        <v>6</v>
      </c>
      <c r="R2" s="137"/>
      <c r="S2" s="138"/>
      <c r="T2" s="136" t="s">
        <v>7</v>
      </c>
      <c r="U2" s="137"/>
      <c r="V2" s="138"/>
      <c r="W2" s="136" t="s">
        <v>8</v>
      </c>
      <c r="X2" s="137"/>
      <c r="Y2" s="138"/>
      <c r="Z2" s="136" t="s">
        <v>9</v>
      </c>
      <c r="AA2" s="137"/>
      <c r="AB2" s="138"/>
      <c r="AC2" s="136" t="s">
        <v>10</v>
      </c>
      <c r="AD2" s="137"/>
      <c r="AE2" s="138"/>
      <c r="AF2" s="136" t="s">
        <v>11</v>
      </c>
      <c r="AG2" s="137"/>
      <c r="AH2" s="138"/>
      <c r="AI2" s="136" t="s">
        <v>12</v>
      </c>
      <c r="AJ2" s="137"/>
      <c r="AK2" s="138"/>
      <c r="AL2" s="136" t="s">
        <v>13</v>
      </c>
      <c r="AM2" s="137"/>
      <c r="AN2" s="138"/>
    </row>
    <row r="3" spans="1:40" x14ac:dyDescent="0.25">
      <c r="A3" s="3" t="s">
        <v>14</v>
      </c>
      <c r="B3" s="28" t="s">
        <v>15</v>
      </c>
      <c r="C3" s="29" t="s">
        <v>16</v>
      </c>
      <c r="D3" s="31" t="s">
        <v>56</v>
      </c>
      <c r="E3" s="10" t="s">
        <v>18</v>
      </c>
      <c r="F3" s="4" t="s">
        <v>19</v>
      </c>
      <c r="G3" s="32" t="s">
        <v>57</v>
      </c>
      <c r="H3" s="10" t="s">
        <v>21</v>
      </c>
      <c r="I3" s="4" t="s">
        <v>22</v>
      </c>
      <c r="J3" s="11" t="s">
        <v>58</v>
      </c>
      <c r="K3" s="10" t="s">
        <v>24</v>
      </c>
      <c r="L3" s="4" t="s">
        <v>25</v>
      </c>
      <c r="M3" s="32" t="s">
        <v>59</v>
      </c>
      <c r="N3" s="10" t="s">
        <v>27</v>
      </c>
      <c r="O3" s="4" t="s">
        <v>28</v>
      </c>
      <c r="P3" s="32" t="s">
        <v>60</v>
      </c>
      <c r="Q3" s="10" t="s">
        <v>30</v>
      </c>
      <c r="R3" s="4" t="s">
        <v>31</v>
      </c>
      <c r="S3" s="32" t="s">
        <v>61</v>
      </c>
      <c r="T3" s="10" t="s">
        <v>33</v>
      </c>
      <c r="U3" s="4" t="s">
        <v>34</v>
      </c>
      <c r="V3" s="32" t="s">
        <v>62</v>
      </c>
      <c r="W3" s="10" t="s">
        <v>36</v>
      </c>
      <c r="X3" s="4" t="s">
        <v>37</v>
      </c>
      <c r="Y3" s="32" t="s">
        <v>63</v>
      </c>
      <c r="Z3" s="10" t="s">
        <v>39</v>
      </c>
      <c r="AA3" s="4" t="s">
        <v>40</v>
      </c>
      <c r="AB3" s="32" t="s">
        <v>64</v>
      </c>
      <c r="AC3" s="10" t="s">
        <v>42</v>
      </c>
      <c r="AD3" s="4" t="s">
        <v>43</v>
      </c>
      <c r="AE3" s="32" t="s">
        <v>65</v>
      </c>
      <c r="AF3" s="10" t="s">
        <v>45</v>
      </c>
      <c r="AG3" s="4" t="s">
        <v>46</v>
      </c>
      <c r="AH3" s="32" t="s">
        <v>66</v>
      </c>
      <c r="AI3" s="10" t="s">
        <v>48</v>
      </c>
      <c r="AJ3" s="4" t="s">
        <v>49</v>
      </c>
      <c r="AK3" s="32" t="s">
        <v>67</v>
      </c>
      <c r="AL3" s="36" t="s">
        <v>51</v>
      </c>
      <c r="AM3" s="31" t="s">
        <v>52</v>
      </c>
      <c r="AN3" s="30" t="s">
        <v>53</v>
      </c>
    </row>
    <row r="4" spans="1:40" x14ac:dyDescent="0.25">
      <c r="A4" s="27">
        <v>0.4</v>
      </c>
      <c r="B4" s="25">
        <v>2.0640941000000002</v>
      </c>
      <c r="C4" s="47">
        <v>1</v>
      </c>
      <c r="D4" s="47">
        <v>0.29859999999999998</v>
      </c>
      <c r="E4" s="25">
        <v>2.3424</v>
      </c>
      <c r="F4" s="47">
        <v>0.99999259846950095</v>
      </c>
      <c r="G4" s="44">
        <v>0.21162594734411699</v>
      </c>
      <c r="H4" s="25">
        <v>2.0640948366797298</v>
      </c>
      <c r="I4" s="47">
        <v>0.99999950416559802</v>
      </c>
      <c r="J4" s="44">
        <v>0.21225296360603199</v>
      </c>
      <c r="K4" s="25">
        <v>2.0640953449872801</v>
      </c>
      <c r="L4" s="47">
        <v>0.99999916204129302</v>
      </c>
      <c r="M4" s="44">
        <v>0.21208142894165399</v>
      </c>
      <c r="N4" s="25">
        <v>2.06409587866318</v>
      </c>
      <c r="O4" s="47">
        <v>0.99999880284284004</v>
      </c>
      <c r="P4" s="44">
        <v>0.21193641628069301</v>
      </c>
      <c r="Q4" s="25">
        <v>2.0640964664766899</v>
      </c>
      <c r="R4" s="47">
        <v>0.99999840720673205</v>
      </c>
      <c r="S4" s="44">
        <v>0.21180030246744599</v>
      </c>
      <c r="T4" s="25">
        <v>2.0640975419293999</v>
      </c>
      <c r="U4" s="47">
        <v>0.99999768335953798</v>
      </c>
      <c r="V4" s="44">
        <v>0.211589756085</v>
      </c>
      <c r="W4" s="25">
        <v>2.06409774069926</v>
      </c>
      <c r="X4" s="47">
        <v>0.99999754957512499</v>
      </c>
      <c r="Y4" s="44">
        <v>0.21155468987659201</v>
      </c>
      <c r="Z4" s="25">
        <v>2.06409445285871</v>
      </c>
      <c r="AA4" s="47">
        <v>0.99999976250254796</v>
      </c>
      <c r="AB4" s="44">
        <v>0.21242919855397399</v>
      </c>
      <c r="AC4" s="25">
        <v>2.0640945032652902</v>
      </c>
      <c r="AD4" s="47">
        <v>0.99999972857556796</v>
      </c>
      <c r="AE4" s="44">
        <v>0.212401837789716</v>
      </c>
      <c r="AF4" s="25">
        <v>2.0640979805337598</v>
      </c>
      <c r="AG4" s="47">
        <v>0.99999738815174299</v>
      </c>
      <c r="AH4" s="44">
        <v>0.21151363923143901</v>
      </c>
      <c r="AI4" s="25">
        <v>2.0641012691983498</v>
      </c>
      <c r="AJ4" s="47">
        <v>0.99999517468641996</v>
      </c>
      <c r="AK4" s="44">
        <v>0.21104463140574301</v>
      </c>
      <c r="AL4" s="25">
        <v>2.5</v>
      </c>
      <c r="AM4" s="47">
        <v>0.8</v>
      </c>
      <c r="AN4" s="44">
        <v>4.41E-2</v>
      </c>
    </row>
    <row r="5" spans="1:40" x14ac:dyDescent="0.25">
      <c r="A5" s="27">
        <v>0.41</v>
      </c>
      <c r="B5" s="25">
        <v>2.0649524000000001</v>
      </c>
      <c r="C5" s="47">
        <v>1</v>
      </c>
      <c r="D5" s="47">
        <v>0.29859999999999998</v>
      </c>
      <c r="E5" s="25">
        <v>2.3426999999999998</v>
      </c>
      <c r="F5" s="47">
        <v>0.99999260036494997</v>
      </c>
      <c r="G5" s="44">
        <v>0.211626227738513</v>
      </c>
      <c r="H5" s="25">
        <v>2.0649531352291999</v>
      </c>
      <c r="I5" s="47">
        <v>0.99999950457770004</v>
      </c>
      <c r="J5" s="44">
        <v>0.21225683121737901</v>
      </c>
      <c r="K5" s="25">
        <v>2.0649536425359001</v>
      </c>
      <c r="L5" s="47">
        <v>0.99999916273774303</v>
      </c>
      <c r="M5" s="44">
        <v>0.21208536757733901</v>
      </c>
      <c r="N5" s="25">
        <v>2.0649541751609899</v>
      </c>
      <c r="O5" s="47">
        <v>0.99999880383782702</v>
      </c>
      <c r="P5" s="44">
        <v>0.21194041490298099</v>
      </c>
      <c r="Q5" s="25">
        <v>2.06495476181709</v>
      </c>
      <c r="R5" s="47">
        <v>0.99999840853053901</v>
      </c>
      <c r="S5" s="44">
        <v>0.21180435734838801</v>
      </c>
      <c r="T5" s="25">
        <v>2.0649558351522299</v>
      </c>
      <c r="U5" s="47">
        <v>0.99999768528494404</v>
      </c>
      <c r="V5" s="44">
        <v>0.21159389789996899</v>
      </c>
      <c r="W5" s="25">
        <v>2.0649560335307098</v>
      </c>
      <c r="X5" s="47">
        <v>0.99999755161172099</v>
      </c>
      <c r="Y5" s="44">
        <v>0.21155884615984999</v>
      </c>
      <c r="Z5" s="25">
        <v>2.0649527521639301</v>
      </c>
      <c r="AA5" s="47">
        <v>0.99999976269993895</v>
      </c>
      <c r="AB5" s="44">
        <v>0.21243299312083999</v>
      </c>
      <c r="AC5" s="25">
        <v>2.06495280247126</v>
      </c>
      <c r="AD5" s="47">
        <v>0.99999972880115695</v>
      </c>
      <c r="AE5" s="44">
        <v>0.21240564370151599</v>
      </c>
      <c r="AF5" s="25">
        <v>2.0649562728929798</v>
      </c>
      <c r="AG5" s="47">
        <v>0.99999739032250001</v>
      </c>
      <c r="AH5" s="44">
        <v>0.211517812448376</v>
      </c>
      <c r="AI5" s="25">
        <v>2.0649595550821802</v>
      </c>
      <c r="AJ5" s="47">
        <v>0.999995178696785</v>
      </c>
      <c r="AK5" s="44">
        <v>0.21104899779649</v>
      </c>
      <c r="AL5" s="25">
        <v>2.5</v>
      </c>
      <c r="AM5" s="47">
        <v>0.8</v>
      </c>
      <c r="AN5" s="44">
        <v>4.41E-2</v>
      </c>
    </row>
    <row r="6" spans="1:40" x14ac:dyDescent="0.25">
      <c r="A6" s="27">
        <v>0.42</v>
      </c>
      <c r="B6" s="25">
        <v>2.0675995</v>
      </c>
      <c r="C6" s="47">
        <v>1</v>
      </c>
      <c r="D6" s="47">
        <v>0.29859999999999998</v>
      </c>
      <c r="E6" s="25">
        <v>2.3435999999999999</v>
      </c>
      <c r="F6" s="47">
        <v>0.99999260604693196</v>
      </c>
      <c r="G6" s="44">
        <v>0.211639262167785</v>
      </c>
      <c r="H6" s="25">
        <v>2.0676002307556098</v>
      </c>
      <c r="I6" s="47">
        <v>0.99999950584543995</v>
      </c>
      <c r="J6" s="44">
        <v>0.212295849564589</v>
      </c>
      <c r="K6" s="25">
        <v>2.0676007349755401</v>
      </c>
      <c r="L6" s="47">
        <v>0.99999916488021701</v>
      </c>
      <c r="M6" s="44">
        <v>0.21212460456271501</v>
      </c>
      <c r="N6" s="25">
        <v>2.0676012643598001</v>
      </c>
      <c r="O6" s="47">
        <v>0.99999880689868603</v>
      </c>
      <c r="P6" s="44">
        <v>0.211979836541941</v>
      </c>
      <c r="Q6" s="25">
        <v>2.0676018474463298</v>
      </c>
      <c r="R6" s="47">
        <v>0.99999841260294198</v>
      </c>
      <c r="S6" s="44">
        <v>0.21184395215924201</v>
      </c>
      <c r="T6" s="25">
        <v>2.0676029142506298</v>
      </c>
      <c r="U6" s="47">
        <v>0.99999769120803506</v>
      </c>
      <c r="V6" s="44">
        <v>0.21163376029329101</v>
      </c>
      <c r="W6" s="25">
        <v>2.0676031114220499</v>
      </c>
      <c r="X6" s="47">
        <v>0.99999755787686095</v>
      </c>
      <c r="Y6" s="44">
        <v>0.211598753084668</v>
      </c>
      <c r="Z6" s="25">
        <v>2.0675998500211401</v>
      </c>
      <c r="AA6" s="47">
        <v>0.999999763307169</v>
      </c>
      <c r="AB6" s="44">
        <v>0.212471786598912</v>
      </c>
      <c r="AC6" s="25">
        <v>2.0675999000223801</v>
      </c>
      <c r="AD6" s="47">
        <v>0.99999972949513105</v>
      </c>
      <c r="AE6" s="44">
        <v>0.212444472106426</v>
      </c>
      <c r="AF6" s="25">
        <v>2.0676033493278898</v>
      </c>
      <c r="AG6" s="47">
        <v>0.99999739700035495</v>
      </c>
      <c r="AH6" s="44">
        <v>0.21155777149232999</v>
      </c>
      <c r="AI6" s="25">
        <v>2.0676066115462199</v>
      </c>
      <c r="AJ6" s="47">
        <v>0.99999519103379197</v>
      </c>
      <c r="AK6" s="44">
        <v>0.21108955136202801</v>
      </c>
      <c r="AL6" s="25">
        <v>2.5</v>
      </c>
      <c r="AM6" s="47">
        <v>0.8</v>
      </c>
      <c r="AN6" s="44">
        <v>4.4200000000000003E-2</v>
      </c>
    </row>
    <row r="7" spans="1:40" x14ac:dyDescent="0.25">
      <c r="A7" s="27">
        <v>0.43</v>
      </c>
      <c r="B7" s="25">
        <v>2.0678839999999998</v>
      </c>
      <c r="C7" s="47">
        <v>1</v>
      </c>
      <c r="D7" s="47">
        <v>0.29859999999999998</v>
      </c>
      <c r="E7" s="25">
        <v>2.3437000000000001</v>
      </c>
      <c r="F7" s="47">
        <v>0.99999260667785905</v>
      </c>
      <c r="G7" s="44">
        <v>0.21163325863111099</v>
      </c>
      <c r="H7" s="25">
        <v>2.0678847302748098</v>
      </c>
      <c r="I7" s="47">
        <v>0.99999950598140197</v>
      </c>
      <c r="J7" s="44">
        <v>0.212269889558581</v>
      </c>
      <c r="K7" s="25">
        <v>2.0678852341629801</v>
      </c>
      <c r="L7" s="47">
        <v>0.99999916510999198</v>
      </c>
      <c r="M7" s="44">
        <v>0.212098668064789</v>
      </c>
      <c r="N7" s="25">
        <v>2.0678857631989298</v>
      </c>
      <c r="O7" s="47">
        <v>0.999998807226955</v>
      </c>
      <c r="P7" s="44">
        <v>0.21195391990660201</v>
      </c>
      <c r="Q7" s="25">
        <v>2.0678863459018202</v>
      </c>
      <c r="R7" s="47">
        <v>0.99999841303969805</v>
      </c>
      <c r="S7" s="44">
        <v>0.21181805415916299</v>
      </c>
      <c r="T7" s="25">
        <v>2.0678874120042101</v>
      </c>
      <c r="U7" s="47">
        <v>0.99999769184327203</v>
      </c>
      <c r="V7" s="44">
        <v>0.21160789110182099</v>
      </c>
      <c r="W7" s="25">
        <v>2.0678876090459002</v>
      </c>
      <c r="X7" s="47">
        <v>0.99999755854878303</v>
      </c>
      <c r="Y7" s="44">
        <v>0.21157288868944599</v>
      </c>
      <c r="Z7" s="25">
        <v>2.0678843497908499</v>
      </c>
      <c r="AA7" s="47">
        <v>0.99999976337229302</v>
      </c>
      <c r="AB7" s="44">
        <v>0.21244580242656699</v>
      </c>
      <c r="AC7" s="25">
        <v>2.0678843997591798</v>
      </c>
      <c r="AD7" s="47">
        <v>0.99999972956955796</v>
      </c>
      <c r="AE7" s="44">
        <v>0.21241849168698401</v>
      </c>
      <c r="AF7" s="25">
        <v>2.0678878467952102</v>
      </c>
      <c r="AG7" s="47">
        <v>0.99999739771653895</v>
      </c>
      <c r="AH7" s="44">
        <v>0.211531912710681</v>
      </c>
      <c r="AI7" s="25">
        <v>2.0678911068671399</v>
      </c>
      <c r="AJ7" s="47">
        <v>0.99999519235690704</v>
      </c>
      <c r="AK7" s="44">
        <v>0.21106375666430599</v>
      </c>
      <c r="AL7" s="25">
        <v>2.5</v>
      </c>
      <c r="AM7" s="47">
        <v>0.8</v>
      </c>
      <c r="AN7" s="44">
        <v>4.41E-2</v>
      </c>
    </row>
    <row r="8" spans="1:40" x14ac:dyDescent="0.25">
      <c r="A8" s="27">
        <v>0.44</v>
      </c>
      <c r="B8" s="25">
        <v>2.0669558000000001</v>
      </c>
      <c r="C8" s="47">
        <v>1</v>
      </c>
      <c r="D8" s="47">
        <v>0.29859999999999998</v>
      </c>
      <c r="E8" s="25">
        <v>2.3433999999999999</v>
      </c>
      <c r="F8" s="47">
        <v>0.99999260478483498</v>
      </c>
      <c r="G8" s="44">
        <v>0.21162688171456101</v>
      </c>
      <c r="H8" s="25">
        <v>2.0669565318434602</v>
      </c>
      <c r="I8" s="47">
        <v>0.99999950553760897</v>
      </c>
      <c r="J8" s="44">
        <v>0.21225704610826099</v>
      </c>
      <c r="K8" s="25">
        <v>2.06695703681401</v>
      </c>
      <c r="L8" s="47">
        <v>0.99999916435998504</v>
      </c>
      <c r="M8" s="44">
        <v>0.212085748032834</v>
      </c>
      <c r="N8" s="25">
        <v>2.06695756698634</v>
      </c>
      <c r="O8" s="47">
        <v>0.999998806155453</v>
      </c>
      <c r="P8" s="44">
        <v>0.21194093519636301</v>
      </c>
      <c r="Q8" s="25">
        <v>2.0669581509408901</v>
      </c>
      <c r="R8" s="47">
        <v>0.99999841161408798</v>
      </c>
      <c r="S8" s="44">
        <v>0.21180500879181</v>
      </c>
      <c r="T8" s="25">
        <v>2.0669592193333099</v>
      </c>
      <c r="U8" s="47">
        <v>0.99999768976979997</v>
      </c>
      <c r="V8" s="44">
        <v>0.21159475200810701</v>
      </c>
      <c r="W8" s="25">
        <v>2.0669594167982499</v>
      </c>
      <c r="X8" s="47">
        <v>0.99999755635556997</v>
      </c>
      <c r="Y8" s="44">
        <v>0.21155973399739</v>
      </c>
      <c r="Z8" s="25">
        <v>2.06695615054221</v>
      </c>
      <c r="AA8" s="47">
        <v>0.99999976315972205</v>
      </c>
      <c r="AB8" s="44">
        <v>0.21243303773988101</v>
      </c>
      <c r="AC8" s="25">
        <v>2.0669562006178701</v>
      </c>
      <c r="AD8" s="47">
        <v>0.99999972932662096</v>
      </c>
      <c r="AE8" s="44">
        <v>0.21240571476692699</v>
      </c>
      <c r="AF8" s="25">
        <v>2.0669596550582501</v>
      </c>
      <c r="AG8" s="47">
        <v>0.99999739537885002</v>
      </c>
      <c r="AH8" s="44">
        <v>0.21151873976295901</v>
      </c>
      <c r="AI8" s="25">
        <v>2.0669629221329302</v>
      </c>
      <c r="AJ8" s="47">
        <v>0.99999518803814103</v>
      </c>
      <c r="AK8" s="44">
        <v>0.21105037546986599</v>
      </c>
      <c r="AL8" s="25">
        <v>2.5</v>
      </c>
      <c r="AM8" s="47">
        <v>0.8</v>
      </c>
      <c r="AN8" s="44">
        <v>4.41E-2</v>
      </c>
    </row>
    <row r="9" spans="1:40" x14ac:dyDescent="0.25">
      <c r="A9" s="27">
        <v>0.45</v>
      </c>
      <c r="B9" s="25">
        <v>2.070713</v>
      </c>
      <c r="C9" s="47">
        <v>1</v>
      </c>
      <c r="D9" s="47">
        <v>0.29859999999999998</v>
      </c>
      <c r="E9" s="25">
        <v>2.3448000000000002</v>
      </c>
      <c r="F9" s="47">
        <v>0.99999261361273395</v>
      </c>
      <c r="G9" s="44">
        <v>0.211640382177571</v>
      </c>
      <c r="H9" s="25">
        <v>2.0707137254938002</v>
      </c>
      <c r="I9" s="47">
        <v>0.99999950733033005</v>
      </c>
      <c r="J9" s="44">
        <v>0.212302321559142</v>
      </c>
      <c r="K9" s="25">
        <v>2.0707142260831</v>
      </c>
      <c r="L9" s="47">
        <v>0.99999916738967098</v>
      </c>
      <c r="M9" s="44">
        <v>0.212131333061154</v>
      </c>
      <c r="N9" s="25">
        <v>2.07071475165553</v>
      </c>
      <c r="O9" s="47">
        <v>0.99999881048383299</v>
      </c>
      <c r="P9" s="44">
        <v>0.211986781685886</v>
      </c>
      <c r="Q9" s="25">
        <v>2.07071533054354</v>
      </c>
      <c r="R9" s="47">
        <v>0.99999841737289896</v>
      </c>
      <c r="S9" s="44">
        <v>0.21185110048806699</v>
      </c>
      <c r="T9" s="25">
        <v>2.0707163896663201</v>
      </c>
      <c r="U9" s="47">
        <v>0.99999769814568096</v>
      </c>
      <c r="V9" s="44">
        <v>0.21164122259903301</v>
      </c>
      <c r="W9" s="25">
        <v>2.0707165854180101</v>
      </c>
      <c r="X9" s="47">
        <v>0.99999756521514704</v>
      </c>
      <c r="Y9" s="44">
        <v>0.21160626764535501</v>
      </c>
      <c r="Z9" s="25">
        <v>2.0707133475008201</v>
      </c>
      <c r="AA9" s="47">
        <v>0.99999976401840995</v>
      </c>
      <c r="AB9" s="44">
        <v>0.21247799479485899</v>
      </c>
      <c r="AC9" s="25">
        <v>2.07071339714201</v>
      </c>
      <c r="AD9" s="47">
        <v>0.99999973030797396</v>
      </c>
      <c r="AE9" s="44">
        <v>0.212450721275775</v>
      </c>
      <c r="AF9" s="25">
        <v>2.0707168216107998</v>
      </c>
      <c r="AG9" s="47">
        <v>0.99999740482204902</v>
      </c>
      <c r="AH9" s="44">
        <v>0.21156534721216</v>
      </c>
      <c r="AI9" s="25">
        <v>2.0707200603395299</v>
      </c>
      <c r="AJ9" s="47">
        <v>0.99999520548398502</v>
      </c>
      <c r="AK9" s="44">
        <v>0.211097824787988</v>
      </c>
      <c r="AL9" s="25">
        <v>2.5</v>
      </c>
      <c r="AM9" s="47">
        <v>0.8</v>
      </c>
      <c r="AN9" s="44">
        <v>4.4200000000000003E-2</v>
      </c>
    </row>
    <row r="10" spans="1:40" x14ac:dyDescent="0.25">
      <c r="A10" s="27">
        <v>0.46</v>
      </c>
      <c r="B10" s="25">
        <v>2.0770862000000001</v>
      </c>
      <c r="C10" s="47">
        <v>1</v>
      </c>
      <c r="D10" s="47">
        <v>0.29859999999999998</v>
      </c>
      <c r="E10" s="25">
        <v>2.3471000000000002</v>
      </c>
      <c r="F10" s="47">
        <v>0.99999262808143197</v>
      </c>
      <c r="G10" s="44">
        <v>0.21170350313753999</v>
      </c>
      <c r="H10" s="25">
        <v>2.0770869147231199</v>
      </c>
      <c r="I10" s="47">
        <v>0.999999510349036</v>
      </c>
      <c r="J10" s="44">
        <v>0.21246077669669799</v>
      </c>
      <c r="K10" s="25">
        <v>2.07708740788066</v>
      </c>
      <c r="L10" s="47">
        <v>0.99999917249126902</v>
      </c>
      <c r="M10" s="44">
        <v>0.21229031065884299</v>
      </c>
      <c r="N10" s="25">
        <v>2.0770879256504302</v>
      </c>
      <c r="O10" s="47">
        <v>0.99999881777226396</v>
      </c>
      <c r="P10" s="44">
        <v>0.21214620051723199</v>
      </c>
      <c r="Q10" s="25">
        <v>2.0770884959442699</v>
      </c>
      <c r="R10" s="47">
        <v>0.99999842706998898</v>
      </c>
      <c r="S10" s="44">
        <v>0.21201093310403599</v>
      </c>
      <c r="T10" s="25">
        <v>2.07708953934329</v>
      </c>
      <c r="U10" s="47">
        <v>0.99999771224957701</v>
      </c>
      <c r="V10" s="44">
        <v>0.21180169456376799</v>
      </c>
      <c r="W10" s="25">
        <v>2.07708973218885</v>
      </c>
      <c r="X10" s="47">
        <v>0.99999758013352302</v>
      </c>
      <c r="Y10" s="44">
        <v>0.21176684600872001</v>
      </c>
      <c r="Z10" s="25">
        <v>2.0770865423418101</v>
      </c>
      <c r="AA10" s="47">
        <v>0.999999765464329</v>
      </c>
      <c r="AB10" s="44">
        <v>0.21263591256348499</v>
      </c>
      <c r="AC10" s="25">
        <v>2.0770865912460401</v>
      </c>
      <c r="AD10" s="47">
        <v>0.999999731960445</v>
      </c>
      <c r="AE10" s="44">
        <v>0.21260872251117399</v>
      </c>
      <c r="AF10" s="25">
        <v>2.0770899648751202</v>
      </c>
      <c r="AG10" s="47">
        <v>0.99999742072317099</v>
      </c>
      <c r="AH10" s="44">
        <v>0.211726050101844</v>
      </c>
      <c r="AI10" s="25">
        <v>2.0770931555216401</v>
      </c>
      <c r="AJ10" s="47">
        <v>0.99999523486052599</v>
      </c>
      <c r="AK10" s="44">
        <v>0.21125994806540499</v>
      </c>
      <c r="AL10" s="25">
        <v>2.5</v>
      </c>
      <c r="AM10" s="47">
        <v>0.8</v>
      </c>
      <c r="AN10" s="44">
        <v>4.4499999999999998E-2</v>
      </c>
    </row>
    <row r="11" spans="1:40" x14ac:dyDescent="0.25">
      <c r="A11" s="27">
        <v>0.47</v>
      </c>
      <c r="B11" s="25">
        <v>2.0744126000000001</v>
      </c>
      <c r="C11" s="47">
        <v>0.99999990000000005</v>
      </c>
      <c r="D11" s="47">
        <v>0.2984</v>
      </c>
      <c r="E11" s="25">
        <v>2.3460999999999999</v>
      </c>
      <c r="F11" s="47">
        <v>0.99999262179592197</v>
      </c>
      <c r="G11" s="44">
        <v>0.211659885899112</v>
      </c>
      <c r="H11" s="25">
        <v>2.07441331924149</v>
      </c>
      <c r="I11" s="47">
        <v>0.99999940908630203</v>
      </c>
      <c r="J11" s="44">
        <v>0.21229312254093499</v>
      </c>
      <c r="K11" s="25">
        <v>2.0744138155166998</v>
      </c>
      <c r="L11" s="47">
        <v>0.99999907035725499</v>
      </c>
      <c r="M11" s="44">
        <v>0.21213443916521599</v>
      </c>
      <c r="N11" s="25">
        <v>2.0744143365597401</v>
      </c>
      <c r="O11" s="47">
        <v>0.999998714723491</v>
      </c>
      <c r="P11" s="44">
        <v>0.211996938992041</v>
      </c>
      <c r="Q11" s="25">
        <v>2.07441491045889</v>
      </c>
      <c r="R11" s="47">
        <v>0.99999832301366598</v>
      </c>
      <c r="S11" s="44">
        <v>0.21186621960482599</v>
      </c>
      <c r="T11" s="25">
        <v>2.0744159604541301</v>
      </c>
      <c r="U11" s="47">
        <v>0.999997606349872</v>
      </c>
      <c r="V11" s="44">
        <v>0.21166204522274701</v>
      </c>
      <c r="W11" s="25">
        <v>2.07441615451883</v>
      </c>
      <c r="X11" s="47">
        <v>0.99999747389311899</v>
      </c>
      <c r="Y11" s="44">
        <v>0.21162787413405601</v>
      </c>
      <c r="Z11" s="25">
        <v>2.07441294450605</v>
      </c>
      <c r="AA11" s="47">
        <v>0.99999966485949598</v>
      </c>
      <c r="AB11" s="44">
        <v>0.212447337300955</v>
      </c>
      <c r="AC11" s="25">
        <v>2.0744129937194402</v>
      </c>
      <c r="AD11" s="47">
        <v>0.99999963126920999</v>
      </c>
      <c r="AE11" s="44">
        <v>0.212424318740808</v>
      </c>
      <c r="AF11" s="25">
        <v>2.07441638867612</v>
      </c>
      <c r="AG11" s="47">
        <v>0.99999731407168002</v>
      </c>
      <c r="AH11" s="44">
        <v>0.21158782371913101</v>
      </c>
      <c r="AI11" s="25">
        <v>2.07441959949344</v>
      </c>
      <c r="AJ11" s="47">
        <v>0.99999512257222201</v>
      </c>
      <c r="AK11" s="44">
        <v>0.21112768103632701</v>
      </c>
      <c r="AL11" s="25">
        <v>2.5</v>
      </c>
      <c r="AM11" s="47">
        <v>0.8</v>
      </c>
      <c r="AN11" s="44">
        <v>4.4299999999999999E-2</v>
      </c>
    </row>
    <row r="12" spans="1:40" s="103" customFormat="1" x14ac:dyDescent="0.25">
      <c r="A12" s="104">
        <v>0.48</v>
      </c>
      <c r="B12" s="101">
        <v>2.0742712000000001</v>
      </c>
      <c r="C12" s="100">
        <v>0.99999990000000005</v>
      </c>
      <c r="D12" s="100">
        <v>0.2984</v>
      </c>
      <c r="E12" s="101">
        <v>2.3460999999999999</v>
      </c>
      <c r="F12" s="100">
        <v>0.99999262179592197</v>
      </c>
      <c r="G12" s="102">
        <v>0.21164769130508601</v>
      </c>
      <c r="H12" s="101">
        <v>2.0742719194804602</v>
      </c>
      <c r="I12" s="100">
        <v>0.99999940901937001</v>
      </c>
      <c r="J12" s="102">
        <v>0.21226216384892099</v>
      </c>
      <c r="K12" s="101">
        <v>2.0742724159205501</v>
      </c>
      <c r="L12" s="100">
        <v>0.99999907024414003</v>
      </c>
      <c r="M12" s="102">
        <v>0.21210346827781401</v>
      </c>
      <c r="N12" s="101">
        <v>2.0742729371367101</v>
      </c>
      <c r="O12" s="100">
        <v>0.99999871456188905</v>
      </c>
      <c r="P12" s="102">
        <v>0.21196595796150999</v>
      </c>
      <c r="Q12" s="101">
        <v>2.0742735112265298</v>
      </c>
      <c r="R12" s="100">
        <v>0.99999832279865697</v>
      </c>
      <c r="S12" s="102">
        <v>0.211835229153644</v>
      </c>
      <c r="T12" s="101">
        <v>2.0742745615706299</v>
      </c>
      <c r="U12" s="100">
        <v>0.99999760603715504</v>
      </c>
      <c r="V12" s="102">
        <v>0.21163104033900901</v>
      </c>
      <c r="W12" s="101">
        <v>2.0742747556998098</v>
      </c>
      <c r="X12" s="100">
        <v>0.99999747356234303</v>
      </c>
      <c r="Y12" s="102">
        <v>0.21159686685956</v>
      </c>
      <c r="Z12" s="101">
        <v>2.07427154462051</v>
      </c>
      <c r="AA12" s="100">
        <v>0.99999966482743596</v>
      </c>
      <c r="AB12" s="102">
        <v>0.21241639142462301</v>
      </c>
      <c r="AC12" s="101">
        <v>2.0742715938502498</v>
      </c>
      <c r="AD12" s="100">
        <v>0.99999963123257196</v>
      </c>
      <c r="AE12" s="102">
        <v>0.21239337085774501</v>
      </c>
      <c r="AF12" s="101">
        <v>2.0742749899348998</v>
      </c>
      <c r="AG12" s="100">
        <v>0.99999731371911504</v>
      </c>
      <c r="AH12" s="102">
        <v>0.21155681365043699</v>
      </c>
      <c r="AI12" s="101">
        <v>2.0742782018189998</v>
      </c>
      <c r="AJ12" s="100">
        <v>0.99999512192087703</v>
      </c>
      <c r="AK12" s="102">
        <v>0.211096639290204</v>
      </c>
      <c r="AL12" s="101">
        <v>2.5</v>
      </c>
      <c r="AM12" s="100">
        <v>0.8</v>
      </c>
      <c r="AN12" s="102">
        <v>4.4200000000000003E-2</v>
      </c>
    </row>
    <row r="13" spans="1:40" x14ac:dyDescent="0.25">
      <c r="A13" s="27">
        <v>0.49</v>
      </c>
      <c r="B13" s="25">
        <v>2.0792742</v>
      </c>
      <c r="C13" s="47">
        <v>1</v>
      </c>
      <c r="D13" s="47">
        <v>0.29870000000000002</v>
      </c>
      <c r="E13" s="25">
        <v>2.3479000000000001</v>
      </c>
      <c r="F13" s="47">
        <v>0.99999263310405895</v>
      </c>
      <c r="G13" s="44">
        <v>0.21168595292849601</v>
      </c>
      <c r="H13" s="25">
        <v>2.0792749110253999</v>
      </c>
      <c r="I13" s="47">
        <v>0.999999511379001</v>
      </c>
      <c r="J13" s="44">
        <v>0.212420238298764</v>
      </c>
      <c r="K13" s="25">
        <v>2.0792754016315298</v>
      </c>
      <c r="L13" s="47">
        <v>0.99999917423190399</v>
      </c>
      <c r="M13" s="44">
        <v>0.21224995102581001</v>
      </c>
      <c r="N13" s="25">
        <v>2.0792759167225499</v>
      </c>
      <c r="O13" s="47">
        <v>0.99999882025903397</v>
      </c>
      <c r="P13" s="44">
        <v>0.21210599188451601</v>
      </c>
      <c r="Q13" s="25">
        <v>2.0792764840658999</v>
      </c>
      <c r="R13" s="47">
        <v>0.99999843037857905</v>
      </c>
      <c r="S13" s="44">
        <v>0.211970866101996</v>
      </c>
      <c r="T13" s="25">
        <v>2.0792775220667599</v>
      </c>
      <c r="U13" s="47">
        <v>0.99999771706174401</v>
      </c>
      <c r="V13" s="44">
        <v>0.21176184644305501</v>
      </c>
      <c r="W13" s="25">
        <v>2.0792777139146099</v>
      </c>
      <c r="X13" s="47">
        <v>0.99999758522358595</v>
      </c>
      <c r="Y13" s="44">
        <v>0.211727034319108</v>
      </c>
      <c r="Z13" s="25">
        <v>2.0792745405706601</v>
      </c>
      <c r="AA13" s="47">
        <v>0.99999976595766804</v>
      </c>
      <c r="AB13" s="44">
        <v>0.21259519033648799</v>
      </c>
      <c r="AC13" s="25">
        <v>2.07927458922188</v>
      </c>
      <c r="AD13" s="47">
        <v>0.999999732524257</v>
      </c>
      <c r="AE13" s="44">
        <v>0.21256802883456699</v>
      </c>
      <c r="AF13" s="25">
        <v>2.0792779453970498</v>
      </c>
      <c r="AG13" s="47">
        <v>0.99999742614854104</v>
      </c>
      <c r="AH13" s="44">
        <v>0.21168628105202</v>
      </c>
      <c r="AI13" s="25">
        <v>2.0792811195363399</v>
      </c>
      <c r="AJ13" s="47">
        <v>0.99999524488363101</v>
      </c>
      <c r="AK13" s="44">
        <v>0.21122066552721</v>
      </c>
      <c r="AL13" s="25">
        <v>2.5</v>
      </c>
      <c r="AM13" s="47">
        <v>0.8</v>
      </c>
      <c r="AN13" s="44">
        <v>4.4400000000000002E-2</v>
      </c>
    </row>
    <row r="14" spans="1:40" x14ac:dyDescent="0.25">
      <c r="A14" s="27">
        <v>0.5</v>
      </c>
      <c r="B14" s="25">
        <v>2.0788422</v>
      </c>
      <c r="C14" s="47">
        <v>0.99999990000000005</v>
      </c>
      <c r="D14" s="47">
        <v>0.2984</v>
      </c>
      <c r="E14" s="25">
        <v>2.3477000000000001</v>
      </c>
      <c r="F14" s="47">
        <v>0.99999263184888398</v>
      </c>
      <c r="G14" s="44">
        <v>0.211691864948266</v>
      </c>
      <c r="H14" s="25">
        <v>2.0788429117554799</v>
      </c>
      <c r="I14" s="47">
        <v>0.99999941117614699</v>
      </c>
      <c r="J14" s="44">
        <v>0.212375560158615</v>
      </c>
      <c r="K14" s="25">
        <v>2.0788434028653602</v>
      </c>
      <c r="L14" s="47">
        <v>0.99999907388908105</v>
      </c>
      <c r="M14" s="44">
        <v>0.212217259259665</v>
      </c>
      <c r="N14" s="25">
        <v>2.0788439184852798</v>
      </c>
      <c r="O14" s="47">
        <v>0.99999871976925703</v>
      </c>
      <c r="P14" s="44">
        <v>0.212080077476346</v>
      </c>
      <c r="Q14" s="25">
        <v>2.0788444864111701</v>
      </c>
      <c r="R14" s="47">
        <v>0.99999832972694203</v>
      </c>
      <c r="S14" s="44">
        <v>0.211949654013766</v>
      </c>
      <c r="T14" s="25">
        <v>2.07884552547785</v>
      </c>
      <c r="U14" s="47">
        <v>0.99999761611397298</v>
      </c>
      <c r="V14" s="44">
        <v>0.21174593344221801</v>
      </c>
      <c r="W14" s="25">
        <v>2.0788457175226802</v>
      </c>
      <c r="X14" s="47">
        <v>0.99999748422108303</v>
      </c>
      <c r="Y14" s="44">
        <v>0.21171183757392201</v>
      </c>
      <c r="Z14" s="25">
        <v>2.0788425409203599</v>
      </c>
      <c r="AA14" s="47">
        <v>0.99999966586050404</v>
      </c>
      <c r="AB14" s="44">
        <v>0.21252937333885799</v>
      </c>
      <c r="AC14" s="25">
        <v>2.0788425896215301</v>
      </c>
      <c r="AD14" s="47">
        <v>0.99999963241321399</v>
      </c>
      <c r="AE14" s="44">
        <v>0.212506417673515</v>
      </c>
      <c r="AF14" s="25">
        <v>2.07884594924281</v>
      </c>
      <c r="AG14" s="47">
        <v>0.99999732507999695</v>
      </c>
      <c r="AH14" s="44">
        <v>0.21167187510661201</v>
      </c>
      <c r="AI14" s="25">
        <v>2.0788491266412898</v>
      </c>
      <c r="AJ14" s="47">
        <v>0.99999514290955005</v>
      </c>
      <c r="AK14" s="44">
        <v>0.21121273072008601</v>
      </c>
      <c r="AL14" s="25">
        <v>2.5</v>
      </c>
      <c r="AM14" s="47">
        <v>0.8</v>
      </c>
      <c r="AN14" s="44">
        <v>4.4400000000000002E-2</v>
      </c>
    </row>
    <row r="15" spans="1:40" x14ac:dyDescent="0.25">
      <c r="A15" s="27">
        <v>0.51</v>
      </c>
      <c r="B15" s="25">
        <v>2.0755110000000001</v>
      </c>
      <c r="C15" s="47">
        <v>0.99999979999999999</v>
      </c>
      <c r="D15" s="47">
        <v>0.29830000000000001</v>
      </c>
      <c r="E15" s="25">
        <v>2.3464999999999998</v>
      </c>
      <c r="F15" s="47">
        <v>0.99999262431109004</v>
      </c>
      <c r="G15" s="44">
        <v>0.21164196690946199</v>
      </c>
      <c r="H15" s="25">
        <v>2.0755117173851998</v>
      </c>
      <c r="I15" s="47">
        <v>0.99999930960600902</v>
      </c>
      <c r="J15" s="44">
        <v>0.21220134220047099</v>
      </c>
      <c r="K15" s="25">
        <v>2.0755122123795702</v>
      </c>
      <c r="L15" s="47">
        <v>0.99999897123555803</v>
      </c>
      <c r="M15" s="44">
        <v>0.21205251242440101</v>
      </c>
      <c r="N15" s="25">
        <v>2.0755127320778501</v>
      </c>
      <c r="O15" s="47">
        <v>0.99999861597828399</v>
      </c>
      <c r="P15" s="44">
        <v>0.21192100747241499</v>
      </c>
      <c r="Q15" s="25">
        <v>2.0755133044958201</v>
      </c>
      <c r="R15" s="47">
        <v>0.99999822468314004</v>
      </c>
      <c r="S15" s="44">
        <v>0.21179462275442301</v>
      </c>
      <c r="T15" s="25">
        <v>2.0755143517811301</v>
      </c>
      <c r="U15" s="47">
        <v>0.99999750877803395</v>
      </c>
      <c r="V15" s="44">
        <v>0.21159550624821699</v>
      </c>
      <c r="W15" s="25">
        <v>2.0755145453449702</v>
      </c>
      <c r="X15" s="47">
        <v>0.999997376461503</v>
      </c>
      <c r="Y15" s="44">
        <v>0.21156203341098001</v>
      </c>
      <c r="Z15" s="25">
        <v>2.0755113436169101</v>
      </c>
      <c r="AA15" s="47">
        <v>0.99999956510843002</v>
      </c>
      <c r="AB15" s="44">
        <v>0.21234059302069999</v>
      </c>
      <c r="AC15" s="25">
        <v>2.07551139270329</v>
      </c>
      <c r="AD15" s="47">
        <v>0.99999953155370302</v>
      </c>
      <c r="AE15" s="44">
        <v>0.212320305392773</v>
      </c>
      <c r="AF15" s="25">
        <v>2.0755147788979098</v>
      </c>
      <c r="AG15" s="47">
        <v>0.99999721680925702</v>
      </c>
      <c r="AH15" s="44">
        <v>0.21152275815366001</v>
      </c>
      <c r="AI15" s="25">
        <v>2.0755179814284199</v>
      </c>
      <c r="AJ15" s="47">
        <v>0.999995027629763</v>
      </c>
      <c r="AK15" s="44">
        <v>0.21106914670659799</v>
      </c>
      <c r="AL15" s="25">
        <v>2.5</v>
      </c>
      <c r="AM15" s="47">
        <v>0.8</v>
      </c>
      <c r="AN15" s="44">
        <v>4.4200000000000003E-2</v>
      </c>
    </row>
    <row r="16" spans="1:40" x14ac:dyDescent="0.25">
      <c r="A16" s="27">
        <v>0.52</v>
      </c>
      <c r="B16" s="25">
        <v>2.0781101999999998</v>
      </c>
      <c r="C16" s="47">
        <v>0.99999979999999999</v>
      </c>
      <c r="D16" s="47">
        <v>0.29830000000000001</v>
      </c>
      <c r="E16" s="25">
        <v>2.3473999999999999</v>
      </c>
      <c r="F16" s="47">
        <v>0.99999262996551896</v>
      </c>
      <c r="G16" s="44">
        <v>0.21164280496180299</v>
      </c>
      <c r="H16" s="25">
        <v>2.0781109129925599</v>
      </c>
      <c r="I16" s="47">
        <v>0.99999931083196203</v>
      </c>
      <c r="J16" s="44">
        <v>0.212200868451386</v>
      </c>
      <c r="K16" s="25">
        <v>2.0781114049560201</v>
      </c>
      <c r="L16" s="47">
        <v>0.99999897330741205</v>
      </c>
      <c r="M16" s="44">
        <v>0.212052268398955</v>
      </c>
      <c r="N16" s="25">
        <v>2.0781119214721202</v>
      </c>
      <c r="O16" s="47">
        <v>0.99999861893825004</v>
      </c>
      <c r="P16" s="44">
        <v>0.21192095480613399</v>
      </c>
      <c r="Q16" s="25">
        <v>2.0781124903851</v>
      </c>
      <c r="R16" s="47">
        <v>0.99999822862130705</v>
      </c>
      <c r="S16" s="44">
        <v>0.211794747536037</v>
      </c>
      <c r="T16" s="25">
        <v>2.0781135312577499</v>
      </c>
      <c r="U16" s="47">
        <v>0.99999751450588403</v>
      </c>
      <c r="V16" s="44">
        <v>0.211595902243049</v>
      </c>
      <c r="W16" s="25">
        <v>2.07811372363637</v>
      </c>
      <c r="X16" s="47">
        <v>0.99999738252013004</v>
      </c>
      <c r="Y16" s="44">
        <v>0.21156247426159799</v>
      </c>
      <c r="Z16" s="25">
        <v>2.0781105415129</v>
      </c>
      <c r="AA16" s="47">
        <v>0.99999956569564397</v>
      </c>
      <c r="AB16" s="44">
        <v>0.21233988191949699</v>
      </c>
      <c r="AC16" s="25">
        <v>2.0781105902987198</v>
      </c>
      <c r="AD16" s="47">
        <v>0.99999953222480398</v>
      </c>
      <c r="AE16" s="44">
        <v>0.212319630864304</v>
      </c>
      <c r="AF16" s="25">
        <v>2.0781139557592399</v>
      </c>
      <c r="AG16" s="47">
        <v>0.99999722326699403</v>
      </c>
      <c r="AH16" s="44">
        <v>0.21152325141707001</v>
      </c>
      <c r="AI16" s="25">
        <v>2.0781171386802502</v>
      </c>
      <c r="AJ16" s="47">
        <v>0.99999503956011504</v>
      </c>
      <c r="AK16" s="44">
        <v>0.21107023296831701</v>
      </c>
      <c r="AL16" s="25">
        <v>2.5</v>
      </c>
      <c r="AM16" s="47">
        <v>0.8</v>
      </c>
      <c r="AN16" s="44">
        <v>4.4200000000000003E-2</v>
      </c>
    </row>
    <row r="17" spans="1:40" x14ac:dyDescent="0.25">
      <c r="A17" s="27">
        <v>0.53</v>
      </c>
      <c r="B17" s="25">
        <v>2.0835105999999999</v>
      </c>
      <c r="C17" s="47">
        <v>0.99999959999999999</v>
      </c>
      <c r="D17" s="47">
        <v>0.29820000000000002</v>
      </c>
      <c r="E17" s="25">
        <v>2.3494000000000002</v>
      </c>
      <c r="F17" s="47">
        <v>0.99999264250765896</v>
      </c>
      <c r="G17" s="44">
        <v>0.21174223596688199</v>
      </c>
      <c r="H17" s="25">
        <v>2.0835113038659001</v>
      </c>
      <c r="I17" s="47">
        <v>0.99999911336497405</v>
      </c>
      <c r="J17" s="44">
        <v>0.212360635832055</v>
      </c>
      <c r="K17" s="25">
        <v>2.0835117895319799</v>
      </c>
      <c r="L17" s="47">
        <v>0.999998777588187</v>
      </c>
      <c r="M17" s="44">
        <v>0.212227585829564</v>
      </c>
      <c r="N17" s="25">
        <v>2.0835122994364101</v>
      </c>
      <c r="O17" s="47">
        <v>0.99999842505401004</v>
      </c>
      <c r="P17" s="44">
        <v>0.21210652706064001</v>
      </c>
      <c r="Q17" s="25">
        <v>2.0835128610670299</v>
      </c>
      <c r="R17" s="47">
        <v>0.99999803675818399</v>
      </c>
      <c r="S17" s="44">
        <v>0.21198810504678101</v>
      </c>
      <c r="T17" s="25">
        <v>2.0835138886159799</v>
      </c>
      <c r="U17" s="47">
        <v>0.99999732634053895</v>
      </c>
      <c r="V17" s="44">
        <v>0.21179873763697599</v>
      </c>
      <c r="W17" s="25">
        <v>2.0835140785320698</v>
      </c>
      <c r="X17" s="47">
        <v>0.99999719503821805</v>
      </c>
      <c r="Y17" s="44">
        <v>0.21176665192726801</v>
      </c>
      <c r="Z17" s="25">
        <v>2.0835109371413698</v>
      </c>
      <c r="AA17" s="47">
        <v>0.999999366908919</v>
      </c>
      <c r="AB17" s="44">
        <v>0.212479111373262</v>
      </c>
      <c r="AC17" s="25">
        <v>2.0835109853026998</v>
      </c>
      <c r="AD17" s="47">
        <v>0.99999933361139803</v>
      </c>
      <c r="AE17" s="44">
        <v>0.21246233799900499</v>
      </c>
      <c r="AF17" s="25">
        <v>2.0835143076836502</v>
      </c>
      <c r="AG17" s="47">
        <v>0.99999703660971195</v>
      </c>
      <c r="AH17" s="44">
        <v>0.21172892902916499</v>
      </c>
      <c r="AI17" s="25">
        <v>2.08351744986168</v>
      </c>
      <c r="AJ17" s="47">
        <v>0.99999486421013295</v>
      </c>
      <c r="AK17" s="44">
        <v>0.211288987396163</v>
      </c>
      <c r="AL17" s="25">
        <v>2.5</v>
      </c>
      <c r="AM17" s="47">
        <v>0.8</v>
      </c>
      <c r="AN17" s="44">
        <v>4.4699999999999997E-2</v>
      </c>
    </row>
    <row r="18" spans="1:40" x14ac:dyDescent="0.25">
      <c r="A18" s="27">
        <v>0.54</v>
      </c>
      <c r="B18" s="25">
        <v>2.0800046999999999</v>
      </c>
      <c r="C18" s="47">
        <v>0.99999950000000004</v>
      </c>
      <c r="D18" s="47">
        <v>0.29809999999999998</v>
      </c>
      <c r="E18" s="25">
        <v>2.3481000000000001</v>
      </c>
      <c r="F18" s="47">
        <v>0.99999263435891395</v>
      </c>
      <c r="G18" s="44">
        <v>0.211692237117028</v>
      </c>
      <c r="H18" s="25">
        <v>2.0800054097908598</v>
      </c>
      <c r="I18" s="47">
        <v>0.99999901172337002</v>
      </c>
      <c r="J18" s="44">
        <v>0.21218983193240001</v>
      </c>
      <c r="K18" s="25">
        <v>2.0800058995451498</v>
      </c>
      <c r="L18" s="47">
        <v>0.99999867481388505</v>
      </c>
      <c r="M18" s="44">
        <v>0.21206246373590801</v>
      </c>
      <c r="N18" s="25">
        <v>2.0800064137418302</v>
      </c>
      <c r="O18" s="47">
        <v>0.99999832109048403</v>
      </c>
      <c r="P18" s="44">
        <v>0.21194530427571001</v>
      </c>
      <c r="Q18" s="25">
        <v>2.08000698010011</v>
      </c>
      <c r="R18" s="47">
        <v>0.99999793148480398</v>
      </c>
      <c r="S18" s="44">
        <v>0.211829886677353</v>
      </c>
      <c r="T18" s="25">
        <v>2.0800080162987</v>
      </c>
      <c r="U18" s="47">
        <v>0.99999721867068903</v>
      </c>
      <c r="V18" s="44">
        <v>0.211644173251754</v>
      </c>
      <c r="W18" s="25">
        <v>2.0800082078134499</v>
      </c>
      <c r="X18" s="47">
        <v>0.99999708692544598</v>
      </c>
      <c r="Y18" s="44">
        <v>0.21161260013331901</v>
      </c>
      <c r="Z18" s="25">
        <v>2.0800050399793402</v>
      </c>
      <c r="AA18" s="47">
        <v>0.99999926612261603</v>
      </c>
      <c r="AB18" s="44">
        <v>0.21230138722355801</v>
      </c>
      <c r="AC18" s="25">
        <v>2.0800050885460801</v>
      </c>
      <c r="AD18" s="47">
        <v>0.99999923271276803</v>
      </c>
      <c r="AE18" s="44">
        <v>0.212285733324969</v>
      </c>
      <c r="AF18" s="25">
        <v>2.0800084388939699</v>
      </c>
      <c r="AG18" s="47">
        <v>0.99999692796250905</v>
      </c>
      <c r="AH18" s="44">
        <v>0.21157544747443999</v>
      </c>
      <c r="AI18" s="25">
        <v>2.0800116075220498</v>
      </c>
      <c r="AJ18" s="47">
        <v>0.99999474823484802</v>
      </c>
      <c r="AK18" s="44">
        <v>0.211140270718505</v>
      </c>
      <c r="AL18" s="25">
        <v>2.5</v>
      </c>
      <c r="AM18" s="47">
        <v>0.8</v>
      </c>
      <c r="AN18" s="44">
        <v>4.4400000000000002E-2</v>
      </c>
    </row>
    <row r="19" spans="1:40" x14ac:dyDescent="0.25">
      <c r="A19" s="27">
        <v>0.55000000000000004</v>
      </c>
      <c r="B19" s="25">
        <v>2.0854764000000001</v>
      </c>
      <c r="C19" s="47">
        <v>0.99999939999999998</v>
      </c>
      <c r="D19" s="47">
        <v>0.29809999999999998</v>
      </c>
      <c r="E19" s="25">
        <v>2.3500999999999999</v>
      </c>
      <c r="F19" s="47">
        <v>0.99999264688984701</v>
      </c>
      <c r="G19" s="44">
        <v>0.21168189997984799</v>
      </c>
      <c r="H19" s="25">
        <v>2.0854771005437001</v>
      </c>
      <c r="I19" s="47">
        <v>0.99999891428244403</v>
      </c>
      <c r="J19" s="44">
        <v>0.212122499436255</v>
      </c>
      <c r="K19" s="25">
        <v>2.08547758391747</v>
      </c>
      <c r="L19" s="47">
        <v>0.99999857913870605</v>
      </c>
      <c r="M19" s="44">
        <v>0.212000853891497</v>
      </c>
      <c r="N19" s="25">
        <v>2.0854780914152</v>
      </c>
      <c r="O19" s="47">
        <v>0.99999822726916798</v>
      </c>
      <c r="P19" s="44">
        <v>0.21188786379135299</v>
      </c>
      <c r="Q19" s="25">
        <v>2.0854786503949598</v>
      </c>
      <c r="R19" s="47">
        <v>0.99999783970540201</v>
      </c>
      <c r="S19" s="44">
        <v>0.21177582593042199</v>
      </c>
      <c r="T19" s="25">
        <v>2.0854796730939502</v>
      </c>
      <c r="U19" s="47">
        <v>0.99999713062710804</v>
      </c>
      <c r="V19" s="44">
        <v>0.21159448253110899</v>
      </c>
      <c r="W19" s="25">
        <v>2.0854798621136399</v>
      </c>
      <c r="X19" s="47">
        <v>0.99999699957233201</v>
      </c>
      <c r="Y19" s="44">
        <v>0.21156355155801901</v>
      </c>
      <c r="Z19" s="25">
        <v>2.0854767355500901</v>
      </c>
      <c r="AA19" s="47">
        <v>0.99999916734837502</v>
      </c>
      <c r="AB19" s="44">
        <v>0.21222755754002301</v>
      </c>
      <c r="AC19" s="25">
        <v>2.0854767834841001</v>
      </c>
      <c r="AD19" s="47">
        <v>0.99999913411362995</v>
      </c>
      <c r="AE19" s="44">
        <v>0.212212922324343</v>
      </c>
      <c r="AF19" s="25">
        <v>2.0854800901836499</v>
      </c>
      <c r="AG19" s="47">
        <v>0.999996841442506</v>
      </c>
      <c r="AH19" s="44">
        <v>0.21152712347684299</v>
      </c>
      <c r="AI19" s="25">
        <v>2.0854832175308302</v>
      </c>
      <c r="AJ19" s="47">
        <v>0.999994673138488</v>
      </c>
      <c r="AK19" s="44">
        <v>0.21109859561493299</v>
      </c>
      <c r="AL19" s="25">
        <v>2.5</v>
      </c>
      <c r="AM19" s="47">
        <v>0.8</v>
      </c>
      <c r="AN19" s="44">
        <v>4.4400000000000002E-2</v>
      </c>
    </row>
    <row r="20" spans="1:40" x14ac:dyDescent="0.25">
      <c r="A20" s="27">
        <v>0.56000000000000005</v>
      </c>
      <c r="B20" s="25">
        <v>2.0944213999999999</v>
      </c>
      <c r="C20" s="47">
        <v>0.99999930000000004</v>
      </c>
      <c r="D20" s="47">
        <v>0.29809999999999998</v>
      </c>
      <c r="E20" s="25">
        <v>2.3532999999999999</v>
      </c>
      <c r="F20" s="47">
        <v>0.99999266687292798</v>
      </c>
      <c r="G20" s="44">
        <v>0.21167267227697201</v>
      </c>
      <c r="H20" s="25">
        <v>2.0944220854266802</v>
      </c>
      <c r="I20" s="47">
        <v>0.99999881842268701</v>
      </c>
      <c r="J20" s="44">
        <v>0.21206560469164301</v>
      </c>
      <c r="K20" s="25">
        <v>2.0944225583697298</v>
      </c>
      <c r="L20" s="47">
        <v>0.99999848613569398</v>
      </c>
      <c r="M20" s="44">
        <v>0.21194936016974</v>
      </c>
      <c r="N20" s="25">
        <v>2.0944230549161702</v>
      </c>
      <c r="O20" s="47">
        <v>0.99999813726545905</v>
      </c>
      <c r="P20" s="44">
        <v>0.21184044964565499</v>
      </c>
      <c r="Q20" s="25">
        <v>2.0944236018337099</v>
      </c>
      <c r="R20" s="47">
        <v>0.99999775300523996</v>
      </c>
      <c r="S20" s="44">
        <v>0.21173181018204501</v>
      </c>
      <c r="T20" s="25">
        <v>2.0944246024639002</v>
      </c>
      <c r="U20" s="47">
        <v>0.99999704997101102</v>
      </c>
      <c r="V20" s="44">
        <v>0.21155498827396699</v>
      </c>
      <c r="W20" s="25">
        <v>2.0944247874047299</v>
      </c>
      <c r="X20" s="47">
        <v>0.99999692003331797</v>
      </c>
      <c r="Y20" s="44">
        <v>0.21152473445690201</v>
      </c>
      <c r="Z20" s="25">
        <v>2.0944217283092499</v>
      </c>
      <c r="AA20" s="47">
        <v>0.99999906933149396</v>
      </c>
      <c r="AB20" s="44">
        <v>0.21216480807638399</v>
      </c>
      <c r="AC20" s="25">
        <v>2.0944217752088998</v>
      </c>
      <c r="AD20" s="47">
        <v>0.99999903638004295</v>
      </c>
      <c r="AE20" s="44">
        <v>0.21215107122906399</v>
      </c>
      <c r="AF20" s="25">
        <v>2.0944250105532198</v>
      </c>
      <c r="AG20" s="47">
        <v>0.999996763251359</v>
      </c>
      <c r="AH20" s="44">
        <v>0.21148907457154001</v>
      </c>
      <c r="AI20" s="25">
        <v>2.0944280704154101</v>
      </c>
      <c r="AJ20" s="47">
        <v>0.99999461342928198</v>
      </c>
      <c r="AK20" s="44">
        <v>0.211067818447989</v>
      </c>
      <c r="AL20" s="25">
        <v>2.5</v>
      </c>
      <c r="AM20" s="47">
        <v>0.8</v>
      </c>
      <c r="AN20" s="44">
        <v>4.4400000000000002E-2</v>
      </c>
    </row>
    <row r="21" spans="1:40" x14ac:dyDescent="0.25">
      <c r="A21" s="27">
        <v>0.56999999999999995</v>
      </c>
      <c r="B21" s="25">
        <v>2.0766106</v>
      </c>
      <c r="C21" s="47">
        <v>0.99999919999999998</v>
      </c>
      <c r="D21" s="47">
        <v>0.2979</v>
      </c>
      <c r="E21" s="25">
        <v>2.3469000000000002</v>
      </c>
      <c r="F21" s="47">
        <v>0.99999262682497303</v>
      </c>
      <c r="G21" s="44">
        <v>0.21166672864291999</v>
      </c>
      <c r="H21" s="25">
        <v>2.0766113155268799</v>
      </c>
      <c r="I21" s="47">
        <v>0.99999871012668295</v>
      </c>
      <c r="J21" s="44">
        <v>0.212003995664693</v>
      </c>
      <c r="K21" s="25">
        <v>2.0766118092390098</v>
      </c>
      <c r="L21" s="47">
        <v>0.99999837211549403</v>
      </c>
      <c r="M21" s="44">
        <v>0.211890393189827</v>
      </c>
      <c r="N21" s="25">
        <v>2.07661232759106</v>
      </c>
      <c r="O21" s="47">
        <v>0.99999801723541104</v>
      </c>
      <c r="P21" s="44">
        <v>0.21178329321417799</v>
      </c>
      <c r="Q21" s="25">
        <v>2.0766128985262302</v>
      </c>
      <c r="R21" s="47">
        <v>0.99999762635571898</v>
      </c>
      <c r="S21" s="44">
        <v>0.21167598723986</v>
      </c>
      <c r="T21" s="25">
        <v>2.0766139430986401</v>
      </c>
      <c r="U21" s="47">
        <v>0.99999691121070999</v>
      </c>
      <c r="V21" s="44">
        <v>0.21150060254766401</v>
      </c>
      <c r="W21" s="25">
        <v>2.0766141361610702</v>
      </c>
      <c r="X21" s="47">
        <v>0.999996779034663</v>
      </c>
      <c r="Y21" s="44">
        <v>0.21147052321974499</v>
      </c>
      <c r="Z21" s="25">
        <v>2.07661094272681</v>
      </c>
      <c r="AA21" s="47">
        <v>0.99999896535782395</v>
      </c>
      <c r="AB21" s="44">
        <v>0.21210014256670801</v>
      </c>
      <c r="AC21" s="25">
        <v>2.0766109916860298</v>
      </c>
      <c r="AD21" s="47">
        <v>0.99999893183872601</v>
      </c>
      <c r="AE21" s="44">
        <v>0.212086883272327</v>
      </c>
      <c r="AF21" s="25">
        <v>2.07661436910902</v>
      </c>
      <c r="AG21" s="47">
        <v>0.99999661955192498</v>
      </c>
      <c r="AH21" s="44">
        <v>0.211435046548169</v>
      </c>
      <c r="AI21" s="25">
        <v>2.0766175633436701</v>
      </c>
      <c r="AJ21" s="47">
        <v>0.99999443269670696</v>
      </c>
      <c r="AK21" s="44">
        <v>0.21101458394129199</v>
      </c>
      <c r="AL21" s="25">
        <v>2.5</v>
      </c>
      <c r="AM21" s="47">
        <v>0.8</v>
      </c>
      <c r="AN21" s="44">
        <v>4.4299999999999999E-2</v>
      </c>
    </row>
    <row r="22" spans="1:40" x14ac:dyDescent="0.25">
      <c r="A22" s="27">
        <v>0.57999999999999996</v>
      </c>
      <c r="B22" s="25">
        <v>2.0490065</v>
      </c>
      <c r="C22" s="47">
        <v>0.99999890000000002</v>
      </c>
      <c r="D22" s="47">
        <v>0.29759999999999998</v>
      </c>
      <c r="E22" s="25">
        <v>2.3369</v>
      </c>
      <c r="F22" s="47">
        <v>0.99999256359012401</v>
      </c>
      <c r="G22" s="44">
        <v>0.21176105711406901</v>
      </c>
      <c r="H22" s="25">
        <v>2.0490072621777302</v>
      </c>
      <c r="I22" s="47">
        <v>0.999998396839472</v>
      </c>
      <c r="J22" s="44">
        <v>0.212171458629582</v>
      </c>
      <c r="K22" s="25">
        <v>2.04900778807886</v>
      </c>
      <c r="L22" s="47">
        <v>0.99999804966018402</v>
      </c>
      <c r="M22" s="44">
        <v>0.21206583943558899</v>
      </c>
      <c r="N22" s="25">
        <v>2.0490083402263699</v>
      </c>
      <c r="O22" s="47">
        <v>0.99999768515448995</v>
      </c>
      <c r="P22" s="44">
        <v>0.211964711179397</v>
      </c>
      <c r="Q22" s="25">
        <v>2.0490089483853202</v>
      </c>
      <c r="R22" s="47">
        <v>0.99999728367278895</v>
      </c>
      <c r="S22" s="44">
        <v>0.21186222543450001</v>
      </c>
      <c r="T22" s="25">
        <v>2.0490100610616602</v>
      </c>
      <c r="U22" s="47">
        <v>0.99999654913068703</v>
      </c>
      <c r="V22" s="44">
        <v>0.21169283307435</v>
      </c>
      <c r="W22" s="25">
        <v>2.0490102667113499</v>
      </c>
      <c r="X22" s="47">
        <v>0.99999641336960499</v>
      </c>
      <c r="Y22" s="44">
        <v>0.21166359253810299</v>
      </c>
      <c r="Z22" s="25">
        <v>2.04900686507187</v>
      </c>
      <c r="AA22" s="47">
        <v>0.99999865899343698</v>
      </c>
      <c r="AB22" s="44">
        <v>0.21225910718831201</v>
      </c>
      <c r="AC22" s="25">
        <v>2.0490069172231302</v>
      </c>
      <c r="AD22" s="47">
        <v>0.99999862456517297</v>
      </c>
      <c r="AE22" s="44">
        <v>0.212247132732302</v>
      </c>
      <c r="AF22" s="25">
        <v>2.0490105148470201</v>
      </c>
      <c r="AG22" s="47">
        <v>0.99999624956119104</v>
      </c>
      <c r="AH22" s="44">
        <v>0.21162904465799501</v>
      </c>
      <c r="AI22" s="25">
        <v>2.0490139173390598</v>
      </c>
      <c r="AJ22" s="47">
        <v>0.99999400339230204</v>
      </c>
      <c r="AK22" s="44">
        <v>0.21121579900843099</v>
      </c>
      <c r="AL22" s="25">
        <v>2.5</v>
      </c>
      <c r="AM22" s="47">
        <v>0.8</v>
      </c>
      <c r="AN22" s="44">
        <v>4.48E-2</v>
      </c>
    </row>
    <row r="23" spans="1:40" x14ac:dyDescent="0.25">
      <c r="A23" s="27">
        <v>0.59</v>
      </c>
      <c r="B23" s="25">
        <v>2.0770197000000001</v>
      </c>
      <c r="C23" s="47">
        <v>0.99999899999999997</v>
      </c>
      <c r="D23" s="47">
        <v>0.29780000000000001</v>
      </c>
      <c r="E23" s="25">
        <v>2.347</v>
      </c>
      <c r="F23" s="47">
        <v>0.99999262745324302</v>
      </c>
      <c r="G23" s="44">
        <v>0.21170341002832299</v>
      </c>
      <c r="H23" s="25">
        <v>2.0770204148354998</v>
      </c>
      <c r="I23" s="47">
        <v>0.99999851032012999</v>
      </c>
      <c r="J23" s="44">
        <v>0.21204223933793201</v>
      </c>
      <c r="K23" s="25">
        <v>2.0770209080705802</v>
      </c>
      <c r="L23" s="47">
        <v>0.99999817244241795</v>
      </c>
      <c r="M23" s="44">
        <v>0.21193581915335599</v>
      </c>
      <c r="N23" s="25">
        <v>2.0770214259217701</v>
      </c>
      <c r="O23" s="47">
        <v>0.99999781770247198</v>
      </c>
      <c r="P23" s="44">
        <v>0.211834287824608</v>
      </c>
      <c r="Q23" s="25">
        <v>2.0770219963052798</v>
      </c>
      <c r="R23" s="47">
        <v>0.99999742697713201</v>
      </c>
      <c r="S23" s="44">
        <v>0.211731669999913</v>
      </c>
      <c r="T23" s="25">
        <v>2.0770230398683802</v>
      </c>
      <c r="U23" s="47">
        <v>0.99999671211452201</v>
      </c>
      <c r="V23" s="44">
        <v>0.211562514159915</v>
      </c>
      <c r="W23" s="25">
        <v>2.0770232327442599</v>
      </c>
      <c r="X23" s="47">
        <v>0.99999657999066904</v>
      </c>
      <c r="Y23" s="44">
        <v>0.21153336027229999</v>
      </c>
      <c r="Z23" s="25">
        <v>2.0770200423956502</v>
      </c>
      <c r="AA23" s="47">
        <v>0.99999876545048305</v>
      </c>
      <c r="AB23" s="44">
        <v>0.21213094440556499</v>
      </c>
      <c r="AC23" s="25">
        <v>2.0770200913075598</v>
      </c>
      <c r="AD23" s="47">
        <v>0.99999873194461897</v>
      </c>
      <c r="AE23" s="44">
        <v>0.212118800449275</v>
      </c>
      <c r="AF23" s="25">
        <v>2.07702346546712</v>
      </c>
      <c r="AG23" s="47">
        <v>0.99999642057090599</v>
      </c>
      <c r="AH23" s="44">
        <v>0.21149892950726801</v>
      </c>
      <c r="AI23" s="25">
        <v>2.0770266566153399</v>
      </c>
      <c r="AJ23" s="47">
        <v>0.99999423457922398</v>
      </c>
      <c r="AK23" s="44">
        <v>0.21108801868451799</v>
      </c>
      <c r="AL23" s="25">
        <v>2.5</v>
      </c>
      <c r="AM23" s="47">
        <v>0.8</v>
      </c>
      <c r="AN23" s="44">
        <v>4.4499999999999998E-2</v>
      </c>
    </row>
    <row r="24" spans="1:40" x14ac:dyDescent="0.25">
      <c r="A24" s="27">
        <v>0.6</v>
      </c>
      <c r="B24" s="25">
        <v>2.1451096999999999</v>
      </c>
      <c r="C24" s="47">
        <v>0.99999859999999996</v>
      </c>
      <c r="D24" s="47">
        <v>0.29809999999999998</v>
      </c>
      <c r="E24" s="25">
        <v>2.3717000000000001</v>
      </c>
      <c r="F24" s="47">
        <v>0.99999278021043603</v>
      </c>
      <c r="G24" s="44">
        <v>0.21162861428199001</v>
      </c>
      <c r="H24" s="25">
        <v>2.1451102997635898</v>
      </c>
      <c r="I24" s="47">
        <v>0.99999814091440398</v>
      </c>
      <c r="J24" s="44">
        <v>0.21169421488859699</v>
      </c>
      <c r="K24" s="25">
        <v>2.1451107135992902</v>
      </c>
      <c r="L24" s="47">
        <v>0.99999782414657101</v>
      </c>
      <c r="M24" s="44">
        <v>0.211603855112763</v>
      </c>
      <c r="N24" s="25">
        <v>2.1451111480884699</v>
      </c>
      <c r="O24" s="47">
        <v>0.99999749156994899</v>
      </c>
      <c r="P24" s="44">
        <v>0.21151586395288199</v>
      </c>
      <c r="Q24" s="25">
        <v>2.14511162665349</v>
      </c>
      <c r="R24" s="47">
        <v>0.99999712525613105</v>
      </c>
      <c r="S24" s="44">
        <v>0.21142550771791799</v>
      </c>
      <c r="T24" s="25">
        <v>2.1451125022271702</v>
      </c>
      <c r="U24" s="47">
        <v>0.99999645505608203</v>
      </c>
      <c r="V24" s="44">
        <v>0.21127411253582901</v>
      </c>
      <c r="W24" s="25">
        <v>2.1451126640545199</v>
      </c>
      <c r="X24" s="47">
        <v>0.999996331186914</v>
      </c>
      <c r="Y24" s="44">
        <v>0.211247764574818</v>
      </c>
      <c r="Z24" s="25">
        <v>2.1451099872779</v>
      </c>
      <c r="AA24" s="47">
        <v>0.99999838010471198</v>
      </c>
      <c r="AB24" s="44">
        <v>0.211767716380347</v>
      </c>
      <c r="AC24" s="25">
        <v>2.1451100283161399</v>
      </c>
      <c r="AD24" s="47">
        <v>0.99999834869223203</v>
      </c>
      <c r="AE24" s="44">
        <v>0.21175776566638899</v>
      </c>
      <c r="AF24" s="25">
        <v>2.14511285931441</v>
      </c>
      <c r="AG24" s="47">
        <v>0.99999618172718696</v>
      </c>
      <c r="AH24" s="44">
        <v>0.21121656374963199</v>
      </c>
      <c r="AI24" s="25">
        <v>2.1451155367619101</v>
      </c>
      <c r="AJ24" s="47">
        <v>0.99999413230774903</v>
      </c>
      <c r="AK24" s="44">
        <v>0.21083873318914201</v>
      </c>
      <c r="AL24" s="25">
        <v>2.5</v>
      </c>
      <c r="AM24" s="47">
        <v>0.8</v>
      </c>
      <c r="AN24" s="44">
        <v>4.41E-2</v>
      </c>
    </row>
    <row r="25" spans="1:40" x14ac:dyDescent="0.25">
      <c r="A25" s="27">
        <v>0.61</v>
      </c>
      <c r="B25" s="25">
        <v>2.1453316</v>
      </c>
      <c r="C25" s="47">
        <v>0.99999859999999996</v>
      </c>
      <c r="D25" s="47">
        <v>0.29809999999999998</v>
      </c>
      <c r="E25" s="25">
        <v>2.3717000000000001</v>
      </c>
      <c r="F25" s="47">
        <v>0.99999278021043603</v>
      </c>
      <c r="G25" s="44">
        <v>0.21160423132614201</v>
      </c>
      <c r="H25" s="25">
        <v>2.1453321993885801</v>
      </c>
      <c r="I25" s="47">
        <v>0.99999814100937001</v>
      </c>
      <c r="J25" s="44">
        <v>0.21162660584778001</v>
      </c>
      <c r="K25" s="25">
        <v>2.1453326129655199</v>
      </c>
      <c r="L25" s="47">
        <v>0.99999782430706197</v>
      </c>
      <c r="M25" s="44">
        <v>0.211536261993747</v>
      </c>
      <c r="N25" s="25">
        <v>2.1453330471830299</v>
      </c>
      <c r="O25" s="47">
        <v>0.99999749179923603</v>
      </c>
      <c r="P25" s="44">
        <v>0.21144828545644301</v>
      </c>
      <c r="Q25" s="25">
        <v>2.1453335254488199</v>
      </c>
      <c r="R25" s="47">
        <v>0.99999712556119302</v>
      </c>
      <c r="S25" s="44">
        <v>0.211357943508378</v>
      </c>
      <c r="T25" s="25">
        <v>2.1453344004750399</v>
      </c>
      <c r="U25" s="47">
        <v>0.99999645549977501</v>
      </c>
      <c r="V25" s="44">
        <v>0.211206570967642</v>
      </c>
      <c r="W25" s="25">
        <v>2.1453345622011999</v>
      </c>
      <c r="X25" s="47">
        <v>0.99999633165623103</v>
      </c>
      <c r="Y25" s="44">
        <v>0.21118022680997101</v>
      </c>
      <c r="Z25" s="25">
        <v>2.1453318870982798</v>
      </c>
      <c r="AA25" s="47">
        <v>0.99999838015019904</v>
      </c>
      <c r="AB25" s="44">
        <v>0.21170009354552199</v>
      </c>
      <c r="AC25" s="25">
        <v>2.1453319281108501</v>
      </c>
      <c r="AD25" s="47">
        <v>0.999998348744218</v>
      </c>
      <c r="AE25" s="44">
        <v>0.21169014475006201</v>
      </c>
      <c r="AF25" s="25">
        <v>2.145334757339</v>
      </c>
      <c r="AG25" s="47">
        <v>0.99999618222741804</v>
      </c>
      <c r="AH25" s="44">
        <v>0.21114903044247499</v>
      </c>
      <c r="AI25" s="25">
        <v>2.1453374331124002</v>
      </c>
      <c r="AJ25" s="47">
        <v>0.999994133231904</v>
      </c>
      <c r="AK25" s="44">
        <v>0.21077125081619499</v>
      </c>
      <c r="AL25" s="25">
        <v>2.5</v>
      </c>
      <c r="AM25" s="47">
        <v>0.8</v>
      </c>
      <c r="AN25" s="44">
        <v>4.3900000000000002E-2</v>
      </c>
    </row>
    <row r="26" spans="1:40" x14ac:dyDescent="0.25">
      <c r="A26" s="27">
        <v>0.62</v>
      </c>
      <c r="B26" s="25">
        <v>2.0678619999999999</v>
      </c>
      <c r="C26" s="47">
        <v>0.99999819999999995</v>
      </c>
      <c r="D26" s="47">
        <v>0.29749999999999999</v>
      </c>
      <c r="E26" s="25">
        <v>2.3437000000000001</v>
      </c>
      <c r="F26" s="47">
        <v>0.99999260667785905</v>
      </c>
      <c r="G26" s="44">
        <v>0.21163935554545099</v>
      </c>
      <c r="H26" s="25">
        <v>2.0678627303119899</v>
      </c>
      <c r="I26" s="47">
        <v>0.99999770597533599</v>
      </c>
      <c r="J26" s="44">
        <v>0.21163438097627699</v>
      </c>
      <c r="K26" s="25">
        <v>2.0678632342258201</v>
      </c>
      <c r="L26" s="47">
        <v>0.99999736509974102</v>
      </c>
      <c r="M26" s="44">
        <v>0.21154647965896001</v>
      </c>
      <c r="N26" s="25">
        <v>2.0678637632886998</v>
      </c>
      <c r="O26" s="47">
        <v>0.99999700721231</v>
      </c>
      <c r="P26" s="44">
        <v>0.21146016204648899</v>
      </c>
      <c r="Q26" s="25">
        <v>2.06786434602125</v>
      </c>
      <c r="R26" s="47">
        <v>0.99999661302021203</v>
      </c>
      <c r="S26" s="44">
        <v>0.21137091537661701</v>
      </c>
      <c r="T26" s="25">
        <v>2.0678654121779201</v>
      </c>
      <c r="U26" s="47">
        <v>0.99999589181493298</v>
      </c>
      <c r="V26" s="44">
        <v>0.21122027126968501</v>
      </c>
      <c r="W26" s="25">
        <v>2.0678656092296501</v>
      </c>
      <c r="X26" s="47">
        <v>0.99999575851880695</v>
      </c>
      <c r="Y26" s="44">
        <v>0.211193934940548</v>
      </c>
      <c r="Z26" s="25">
        <v>2.0678623498086601</v>
      </c>
      <c r="AA26" s="47">
        <v>0.99999796336938696</v>
      </c>
      <c r="AB26" s="44">
        <v>0.211705212596875</v>
      </c>
      <c r="AC26" s="25">
        <v>2.0678623997795298</v>
      </c>
      <c r="AD26" s="47">
        <v>0.99999792956623601</v>
      </c>
      <c r="AE26" s="44">
        <v>0.21169566300109299</v>
      </c>
      <c r="AF26" s="25">
        <v>2.0678658469910598</v>
      </c>
      <c r="AG26" s="47">
        <v>0.99999559768459001</v>
      </c>
      <c r="AH26" s="44">
        <v>0.21116270785164801</v>
      </c>
      <c r="AI26" s="25">
        <v>2.0678691072289701</v>
      </c>
      <c r="AJ26" s="47">
        <v>0.99999339229788098</v>
      </c>
      <c r="AK26" s="44">
        <v>0.21078184046889101</v>
      </c>
      <c r="AL26" s="25">
        <v>2.5</v>
      </c>
      <c r="AM26" s="47">
        <v>0.8</v>
      </c>
      <c r="AN26" s="44">
        <v>4.4200000000000003E-2</v>
      </c>
    </row>
    <row r="27" spans="1:40" x14ac:dyDescent="0.25">
      <c r="A27" s="27">
        <v>0.63</v>
      </c>
      <c r="B27" s="25">
        <v>2.0130701000000002</v>
      </c>
      <c r="C27" s="47">
        <v>0.99999760000000004</v>
      </c>
      <c r="D27" s="47">
        <v>0.29699999999999999</v>
      </c>
      <c r="E27" s="25">
        <v>2.3239000000000001</v>
      </c>
      <c r="F27" s="47">
        <v>0.99999248016133602</v>
      </c>
      <c r="G27" s="44">
        <v>0.211779282131907</v>
      </c>
      <c r="H27" s="25">
        <v>2.0130709229101398</v>
      </c>
      <c r="I27" s="47">
        <v>0.999997078718182</v>
      </c>
      <c r="J27" s="44">
        <v>0.211881458842922</v>
      </c>
      <c r="K27" s="25">
        <v>2.0130714907165101</v>
      </c>
      <c r="L27" s="47">
        <v>0.99999671903531195</v>
      </c>
      <c r="M27" s="44">
        <v>0.21179886256248601</v>
      </c>
      <c r="N27" s="25">
        <v>2.0130720868606602</v>
      </c>
      <c r="O27" s="47">
        <v>0.99999634140207705</v>
      </c>
      <c r="P27" s="44">
        <v>0.21171692324750699</v>
      </c>
      <c r="Q27" s="25">
        <v>2.01307274347938</v>
      </c>
      <c r="R27" s="47">
        <v>0.99999592546121696</v>
      </c>
      <c r="S27" s="44">
        <v>0.211631469844103</v>
      </c>
      <c r="T27" s="25">
        <v>2.0130739448168198</v>
      </c>
      <c r="U27" s="47">
        <v>0.99999516446510806</v>
      </c>
      <c r="V27" s="44">
        <v>0.211485833804716</v>
      </c>
      <c r="W27" s="25">
        <v>2.0130741668532499</v>
      </c>
      <c r="X27" s="47">
        <v>0.99999502381470995</v>
      </c>
      <c r="Y27" s="44">
        <v>0.211460218722999</v>
      </c>
      <c r="Z27" s="25">
        <v>2.0130704941617998</v>
      </c>
      <c r="AA27" s="47">
        <v>0.99999735031359005</v>
      </c>
      <c r="AB27" s="44">
        <v>0.211947285792808</v>
      </c>
      <c r="AC27" s="25">
        <v>2.0130705504686199</v>
      </c>
      <c r="AD27" s="47">
        <v>0.99999731464539598</v>
      </c>
      <c r="AE27" s="44">
        <v>0.21193845289464799</v>
      </c>
      <c r="AF27" s="25">
        <v>2.0130744347610499</v>
      </c>
      <c r="AG27" s="47">
        <v>0.99999485410688904</v>
      </c>
      <c r="AH27" s="44">
        <v>0.211429793869609</v>
      </c>
      <c r="AI27" s="25">
        <v>2.0130781083729898</v>
      </c>
      <c r="AJ27" s="47">
        <v>0.99999252704534303</v>
      </c>
      <c r="AK27" s="44">
        <v>0.21105498656482999</v>
      </c>
      <c r="AL27" s="25">
        <v>2.5</v>
      </c>
      <c r="AM27" s="47">
        <v>0.8</v>
      </c>
      <c r="AN27" s="44">
        <v>4.4999999999999998E-2</v>
      </c>
    </row>
    <row r="28" spans="1:40" x14ac:dyDescent="0.25">
      <c r="A28" s="27">
        <v>0.64</v>
      </c>
      <c r="B28" s="25">
        <v>2.0478844999999999</v>
      </c>
      <c r="C28" s="47">
        <v>0.99999760000000004</v>
      </c>
      <c r="D28" s="47">
        <v>0.29720000000000002</v>
      </c>
      <c r="E28" s="25">
        <v>2.3365</v>
      </c>
      <c r="F28" s="47">
        <v>0.99999256104383105</v>
      </c>
      <c r="G28" s="44">
        <v>0.211791183200643</v>
      </c>
      <c r="H28" s="25">
        <v>2.0478852640739</v>
      </c>
      <c r="I28" s="47">
        <v>0.99999709629125</v>
      </c>
      <c r="J28" s="44">
        <v>0.211910268141529</v>
      </c>
      <c r="K28" s="25">
        <v>2.0478857912833899</v>
      </c>
      <c r="L28" s="47">
        <v>0.99999674873369204</v>
      </c>
      <c r="M28" s="44">
        <v>0.211830149605443</v>
      </c>
      <c r="N28" s="25">
        <v>2.0478863448045601</v>
      </c>
      <c r="O28" s="47">
        <v>0.99999638383085199</v>
      </c>
      <c r="P28" s="44">
        <v>0.21175055560796899</v>
      </c>
      <c r="Q28" s="25">
        <v>2.0478869544765099</v>
      </c>
      <c r="R28" s="47">
        <v>0.99999598191172101</v>
      </c>
      <c r="S28" s="44">
        <v>0.21166744626159001</v>
      </c>
      <c r="T28" s="25">
        <v>2.0478880699210098</v>
      </c>
      <c r="U28" s="47">
        <v>0.99999524656930805</v>
      </c>
      <c r="V28" s="44">
        <v>0.21152560650153801</v>
      </c>
      <c r="W28" s="25">
        <v>2.0478882760823298</v>
      </c>
      <c r="X28" s="47">
        <v>0.99999511066030899</v>
      </c>
      <c r="Y28" s="44">
        <v>0.21150063681383599</v>
      </c>
      <c r="Z28" s="25">
        <v>2.0478848659801101</v>
      </c>
      <c r="AA28" s="47">
        <v>0.99999735873084505</v>
      </c>
      <c r="AB28" s="44">
        <v>0.21197402496187701</v>
      </c>
      <c r="AC28" s="25">
        <v>2.0478849182611198</v>
      </c>
      <c r="AD28" s="47">
        <v>0.99999732426507204</v>
      </c>
      <c r="AE28" s="44">
        <v>0.21196547525701101</v>
      </c>
      <c r="AF28" s="25">
        <v>2.04788852483532</v>
      </c>
      <c r="AG28" s="47">
        <v>0.99999494667342403</v>
      </c>
      <c r="AH28" s="44">
        <v>0.21147097079518201</v>
      </c>
      <c r="AI28" s="25">
        <v>2.0478919357922201</v>
      </c>
      <c r="AJ28" s="47">
        <v>0.99999269805729496</v>
      </c>
      <c r="AK28" s="44">
        <v>0.21110495271461999</v>
      </c>
      <c r="AL28" s="25">
        <v>2.5</v>
      </c>
      <c r="AM28" s="47">
        <v>0.8</v>
      </c>
      <c r="AN28" s="44">
        <v>4.4999999999999998E-2</v>
      </c>
    </row>
    <row r="29" spans="1:40" x14ac:dyDescent="0.25">
      <c r="A29" s="27">
        <v>0.65</v>
      </c>
      <c r="B29" s="25">
        <v>2.1078855999999999</v>
      </c>
      <c r="C29" s="47">
        <v>0.99999729999999998</v>
      </c>
      <c r="D29" s="47">
        <v>0.29749999999999999</v>
      </c>
      <c r="E29" s="25">
        <v>2.3582000000000001</v>
      </c>
      <c r="F29" s="47">
        <v>0.99999269731451901</v>
      </c>
      <c r="G29" s="44">
        <v>0.21168329887992901</v>
      </c>
      <c r="H29" s="25">
        <v>2.1078862626722099</v>
      </c>
      <c r="I29" s="47">
        <v>0.99999682455996697</v>
      </c>
      <c r="J29" s="44">
        <v>0.21151222685703699</v>
      </c>
      <c r="K29" s="25">
        <v>2.10788671991474</v>
      </c>
      <c r="L29" s="47">
        <v>0.99999649650766098</v>
      </c>
      <c r="M29" s="44">
        <v>0.211439663684405</v>
      </c>
      <c r="N29" s="25">
        <v>2.1078871999770699</v>
      </c>
      <c r="O29" s="47">
        <v>0.99999615208343795</v>
      </c>
      <c r="P29" s="44">
        <v>0.21136707948759301</v>
      </c>
      <c r="Q29" s="25">
        <v>2.10788772873831</v>
      </c>
      <c r="R29" s="47">
        <v>0.999995772720223</v>
      </c>
      <c r="S29" s="44">
        <v>0.211290831714467</v>
      </c>
      <c r="T29" s="25">
        <v>2.10788869615007</v>
      </c>
      <c r="U29" s="47">
        <v>0.99999507864539805</v>
      </c>
      <c r="V29" s="44">
        <v>0.211159789581577</v>
      </c>
      <c r="W29" s="25">
        <v>2.10788887495133</v>
      </c>
      <c r="X29" s="47">
        <v>0.99999495036361297</v>
      </c>
      <c r="Y29" s="44">
        <v>0.211136616605442</v>
      </c>
      <c r="Z29" s="25">
        <v>2.10788591741021</v>
      </c>
      <c r="AA29" s="47">
        <v>0.99999707227116397</v>
      </c>
      <c r="AB29" s="44">
        <v>0.21156956124037801</v>
      </c>
      <c r="AC29" s="25">
        <v>2.1078859627529001</v>
      </c>
      <c r="AD29" s="47">
        <v>0.99999703973964904</v>
      </c>
      <c r="AE29" s="44">
        <v>0.211561895711213</v>
      </c>
      <c r="AF29" s="25">
        <v>2.1078890906918399</v>
      </c>
      <c r="AG29" s="47">
        <v>0.99999479557965698</v>
      </c>
      <c r="AH29" s="44">
        <v>0.21110904868275901</v>
      </c>
      <c r="AI29" s="25">
        <v>2.1078920489742199</v>
      </c>
      <c r="AJ29" s="47">
        <v>0.99999267315425699</v>
      </c>
      <c r="AK29" s="44">
        <v>0.210766233756883</v>
      </c>
      <c r="AL29" s="25">
        <v>2.5</v>
      </c>
      <c r="AM29" s="47">
        <v>0.8</v>
      </c>
      <c r="AN29" s="44">
        <v>4.4400000000000002E-2</v>
      </c>
    </row>
    <row r="30" spans="1:40" x14ac:dyDescent="0.25">
      <c r="A30" s="27">
        <v>0.66</v>
      </c>
      <c r="B30" s="25">
        <v>2.1379454</v>
      </c>
      <c r="C30" s="47">
        <v>0.99999689999999997</v>
      </c>
      <c r="D30" s="47">
        <v>0.29759999999999998</v>
      </c>
      <c r="E30" s="25">
        <v>2.3691</v>
      </c>
      <c r="F30" s="47">
        <v>0.99999276435540796</v>
      </c>
      <c r="G30" s="44">
        <v>0.21168111146059199</v>
      </c>
      <c r="H30" s="25">
        <v>2.1379460118712399</v>
      </c>
      <c r="I30" s="47">
        <v>0.99999643783637304</v>
      </c>
      <c r="J30" s="44">
        <v>0.21141619950426499</v>
      </c>
      <c r="K30" s="25">
        <v>2.13794643406119</v>
      </c>
      <c r="L30" s="47">
        <v>0.99999611894471496</v>
      </c>
      <c r="M30" s="44">
        <v>0.211349418559759</v>
      </c>
      <c r="N30" s="25">
        <v>2.1379468773215602</v>
      </c>
      <c r="O30" s="47">
        <v>0.99999578413828305</v>
      </c>
      <c r="P30" s="44">
        <v>0.211282221601788</v>
      </c>
      <c r="Q30" s="25">
        <v>2.13794736554755</v>
      </c>
      <c r="R30" s="47">
        <v>0.99999541536846803</v>
      </c>
      <c r="S30" s="44">
        <v>0.21121125606963501</v>
      </c>
      <c r="T30" s="25">
        <v>2.13794825879675</v>
      </c>
      <c r="U30" s="47">
        <v>0.99999474067500105</v>
      </c>
      <c r="V30" s="44">
        <v>0.21108851629189099</v>
      </c>
      <c r="W30" s="25">
        <v>2.1379484238909701</v>
      </c>
      <c r="X30" s="47">
        <v>0.999994615975345</v>
      </c>
      <c r="Y30" s="44">
        <v>0.21106672107823399</v>
      </c>
      <c r="Z30" s="25">
        <v>2.13794569307729</v>
      </c>
      <c r="AA30" s="47">
        <v>0.999996678630378</v>
      </c>
      <c r="AB30" s="44">
        <v>0.21146864948740199</v>
      </c>
      <c r="AC30" s="25">
        <v>2.1379457349439699</v>
      </c>
      <c r="AD30" s="47">
        <v>0.99999664700728896</v>
      </c>
      <c r="AE30" s="44">
        <v>0.21146165434942099</v>
      </c>
      <c r="AF30" s="25">
        <v>2.1379486230926399</v>
      </c>
      <c r="AG30" s="47">
        <v>0.99999446551355697</v>
      </c>
      <c r="AH30" s="44">
        <v>0.21104076000077701</v>
      </c>
      <c r="AI30" s="25">
        <v>2.13795135459076</v>
      </c>
      <c r="AJ30" s="47">
        <v>0.99999240235382403</v>
      </c>
      <c r="AK30" s="44">
        <v>0.21071548823576999</v>
      </c>
      <c r="AL30" s="25">
        <v>2.5</v>
      </c>
      <c r="AM30" s="47">
        <v>0.8</v>
      </c>
      <c r="AN30" s="44">
        <v>4.4299999999999999E-2</v>
      </c>
    </row>
    <row r="31" spans="1:40" x14ac:dyDescent="0.25">
      <c r="A31" s="27">
        <v>0.67</v>
      </c>
      <c r="B31" s="25">
        <v>2.1153993999999998</v>
      </c>
      <c r="C31" s="47">
        <v>0.99999649999999995</v>
      </c>
      <c r="D31" s="47">
        <v>0.29730000000000001</v>
      </c>
      <c r="E31" s="25">
        <v>2.3609</v>
      </c>
      <c r="F31" s="47">
        <v>0.99999271400752499</v>
      </c>
      <c r="G31" s="44">
        <v>0.21168578642872399</v>
      </c>
      <c r="H31" s="25">
        <v>2.1154000499739198</v>
      </c>
      <c r="I31" s="47">
        <v>0.99999602793332898</v>
      </c>
      <c r="J31" s="44">
        <v>0.21134572514784</v>
      </c>
      <c r="K31" s="25">
        <v>2.11540049845464</v>
      </c>
      <c r="L31" s="47">
        <v>0.99999570220862699</v>
      </c>
      <c r="M31" s="44">
        <v>0.211281045793768</v>
      </c>
      <c r="N31" s="25">
        <v>2.1154009693178901</v>
      </c>
      <c r="O31" s="47">
        <v>0.99999536022815905</v>
      </c>
      <c r="P31" s="44">
        <v>0.21121574948053501</v>
      </c>
      <c r="Q31" s="25">
        <v>2.1154014879468601</v>
      </c>
      <c r="R31" s="47">
        <v>0.99999498355659</v>
      </c>
      <c r="S31" s="44">
        <v>0.211146583675273</v>
      </c>
      <c r="T31" s="25">
        <v>2.11540243682082</v>
      </c>
      <c r="U31" s="47">
        <v>0.99999429440631604</v>
      </c>
      <c r="V31" s="44">
        <v>0.21102651967014199</v>
      </c>
      <c r="W31" s="25">
        <v>2.1154026121958398</v>
      </c>
      <c r="X31" s="47">
        <v>0.99999416703470301</v>
      </c>
      <c r="Y31" s="44">
        <v>0.21100514794303599</v>
      </c>
      <c r="Z31" s="25">
        <v>2.1153997113279002</v>
      </c>
      <c r="AA31" s="47">
        <v>0.99999627388696</v>
      </c>
      <c r="AB31" s="44">
        <v>0.21139635869915999</v>
      </c>
      <c r="AC31" s="25">
        <v>2.1153997558017301</v>
      </c>
      <c r="AD31" s="47">
        <v>0.99999624158626399</v>
      </c>
      <c r="AE31" s="44">
        <v>0.211389614828008</v>
      </c>
      <c r="AF31" s="25">
        <v>2.1154028238022802</v>
      </c>
      <c r="AG31" s="47">
        <v>0.99999401334895499</v>
      </c>
      <c r="AH31" s="44">
        <v>0.21097967268102499</v>
      </c>
      <c r="AI31" s="25">
        <v>2.1154057253972698</v>
      </c>
      <c r="AJ31" s="47">
        <v>0.99999190598218601</v>
      </c>
      <c r="AK31" s="44">
        <v>0.21065904617485501</v>
      </c>
      <c r="AL31" s="25">
        <v>2.5</v>
      </c>
      <c r="AM31" s="47">
        <v>0.8</v>
      </c>
      <c r="AN31" s="44">
        <v>4.4400000000000002E-2</v>
      </c>
    </row>
    <row r="32" spans="1:40" x14ac:dyDescent="0.25">
      <c r="A32" s="27">
        <v>0.68</v>
      </c>
      <c r="B32" s="25">
        <v>2.0954518000000002</v>
      </c>
      <c r="C32" s="47">
        <v>0.99999610000000005</v>
      </c>
      <c r="D32" s="47">
        <v>0.29720000000000002</v>
      </c>
      <c r="E32" s="25">
        <v>2.3536999999999999</v>
      </c>
      <c r="F32" s="47">
        <v>0.99999266936508402</v>
      </c>
      <c r="G32" s="44">
        <v>0.211776722892383</v>
      </c>
      <c r="H32" s="25">
        <v>2.0954524836853001</v>
      </c>
      <c r="I32" s="47">
        <v>0.999995618903882</v>
      </c>
      <c r="J32" s="44">
        <v>0.211525096346319</v>
      </c>
      <c r="K32" s="25">
        <v>2.09545295542681</v>
      </c>
      <c r="L32" s="47">
        <v>0.99999528694890905</v>
      </c>
      <c r="M32" s="44">
        <v>0.211462268350885</v>
      </c>
      <c r="N32" s="25">
        <v>2.0954534507117399</v>
      </c>
      <c r="O32" s="47">
        <v>0.99999493842726495</v>
      </c>
      <c r="P32" s="44">
        <v>0.21139866594266099</v>
      </c>
      <c r="Q32" s="25">
        <v>2.0954539962398</v>
      </c>
      <c r="R32" s="47">
        <v>0.99999455455099595</v>
      </c>
      <c r="S32" s="44">
        <v>0.211331122227984</v>
      </c>
      <c r="T32" s="25">
        <v>2.0954549943278198</v>
      </c>
      <c r="U32" s="47">
        <v>0.99999385221922799</v>
      </c>
      <c r="V32" s="44">
        <v>0.21121350545165199</v>
      </c>
      <c r="W32" s="25">
        <v>2.0954551787988001</v>
      </c>
      <c r="X32" s="47">
        <v>0.99999372241136797</v>
      </c>
      <c r="Y32" s="44">
        <v>0.21119252529385699</v>
      </c>
      <c r="Z32" s="25">
        <v>2.0954521274751601</v>
      </c>
      <c r="AA32" s="47">
        <v>0.99999586956198105</v>
      </c>
      <c r="AB32" s="44">
        <v>0.21157414727439</v>
      </c>
      <c r="AC32" s="25">
        <v>2.09545217425566</v>
      </c>
      <c r="AD32" s="47">
        <v>0.99999583664345304</v>
      </c>
      <c r="AE32" s="44">
        <v>0.21156762138028801</v>
      </c>
      <c r="AF32" s="25">
        <v>2.0954554013803599</v>
      </c>
      <c r="AG32" s="47">
        <v>0.99999356578606402</v>
      </c>
      <c r="AH32" s="44">
        <v>0.21116750078337601</v>
      </c>
      <c r="AI32" s="25">
        <v>2.0954584534687699</v>
      </c>
      <c r="AJ32" s="47">
        <v>0.99999141811202297</v>
      </c>
      <c r="AK32" s="44">
        <v>0.21085128675394399</v>
      </c>
      <c r="AL32" s="25">
        <v>2.5</v>
      </c>
      <c r="AM32" s="47">
        <v>0.8</v>
      </c>
      <c r="AN32" s="44">
        <v>4.4900000000000002E-2</v>
      </c>
    </row>
    <row r="33" spans="1:40" x14ac:dyDescent="0.25">
      <c r="A33" s="27">
        <v>0.69</v>
      </c>
      <c r="B33" s="25">
        <v>2.0809836000000002</v>
      </c>
      <c r="C33" s="47">
        <v>0.99999559999999998</v>
      </c>
      <c r="D33" s="47">
        <v>0.29699999999999999</v>
      </c>
      <c r="E33" s="25">
        <v>2.3485</v>
      </c>
      <c r="F33" s="47">
        <v>0.99999263686766104</v>
      </c>
      <c r="G33" s="44">
        <v>0.21174749873945301</v>
      </c>
      <c r="H33" s="25">
        <v>2.0809843081365198</v>
      </c>
      <c r="I33" s="47">
        <v>0.99999511219214599</v>
      </c>
      <c r="J33" s="44">
        <v>0.21135655444930701</v>
      </c>
      <c r="K33" s="25">
        <v>2.0809847967493198</v>
      </c>
      <c r="L33" s="47">
        <v>0.99999477560611405</v>
      </c>
      <c r="M33" s="44">
        <v>0.21129617611996199</v>
      </c>
      <c r="N33" s="25">
        <v>2.0809853097475401</v>
      </c>
      <c r="O33" s="47">
        <v>0.99999442222230694</v>
      </c>
      <c r="P33" s="44">
        <v>0.211234864201467</v>
      </c>
      <c r="Q33" s="25">
        <v>2.0809858747857799</v>
      </c>
      <c r="R33" s="47">
        <v>0.99999403299066902</v>
      </c>
      <c r="S33" s="44">
        <v>0.21116956402196499</v>
      </c>
      <c r="T33" s="25">
        <v>2.0809869085692698</v>
      </c>
      <c r="U33" s="47">
        <v>0.99999332086088999</v>
      </c>
      <c r="V33" s="44">
        <v>0.21105544302163301</v>
      </c>
      <c r="W33" s="25">
        <v>2.0809870996376398</v>
      </c>
      <c r="X33" s="47">
        <v>0.99999318924212799</v>
      </c>
      <c r="Y33" s="44">
        <v>0.21103503674892099</v>
      </c>
      <c r="Z33" s="25">
        <v>2.08098393918694</v>
      </c>
      <c r="AA33" s="47">
        <v>0.99999536634715203</v>
      </c>
      <c r="AB33" s="44">
        <v>0.211403551150703</v>
      </c>
      <c r="AC33" s="25">
        <v>2.0809839876404799</v>
      </c>
      <c r="AD33" s="47">
        <v>0.99999533296938004</v>
      </c>
      <c r="AE33" s="44">
        <v>0.21139730613813701</v>
      </c>
      <c r="AF33" s="25">
        <v>2.08098733017958</v>
      </c>
      <c r="AG33" s="47">
        <v>0.99999303043180099</v>
      </c>
      <c r="AH33" s="44">
        <v>0.211010678544893</v>
      </c>
      <c r="AI33" s="25">
        <v>2.0809904914224</v>
      </c>
      <c r="AJ33" s="47">
        <v>0.99999085279675004</v>
      </c>
      <c r="AK33" s="44">
        <v>0.210701424290126</v>
      </c>
      <c r="AL33" s="25">
        <v>2.5</v>
      </c>
      <c r="AM33" s="47">
        <v>0.8</v>
      </c>
      <c r="AN33" s="44">
        <v>4.4699999999999997E-2</v>
      </c>
    </row>
    <row r="34" spans="1:40" x14ac:dyDescent="0.25">
      <c r="A34" s="27">
        <v>0.7</v>
      </c>
      <c r="B34" s="25">
        <v>2.0904508000000002</v>
      </c>
      <c r="C34" s="47">
        <v>0.99999479999999996</v>
      </c>
      <c r="D34" s="47">
        <v>0.2969</v>
      </c>
      <c r="E34" s="25">
        <v>2.3519000000000001</v>
      </c>
      <c r="F34" s="47">
        <v>0.99998265850745904</v>
      </c>
      <c r="G34" s="44">
        <v>0.210608057157853</v>
      </c>
      <c r="H34" s="25">
        <v>2.0904514921369799</v>
      </c>
      <c r="I34" s="47">
        <v>0.999994316602416</v>
      </c>
      <c r="J34" s="44">
        <v>0.21127848799653801</v>
      </c>
      <c r="K34" s="25">
        <v>2.0904519697101298</v>
      </c>
      <c r="L34" s="47">
        <v>0.99999398305944498</v>
      </c>
      <c r="M34" s="44">
        <v>0.21122291009258201</v>
      </c>
      <c r="N34" s="25">
        <v>2.0904524711177399</v>
      </c>
      <c r="O34" s="47">
        <v>0.99999363287055798</v>
      </c>
      <c r="P34" s="44">
        <v>0.211166210593624</v>
      </c>
      <c r="Q34" s="25">
        <v>2.0904530233895802</v>
      </c>
      <c r="R34" s="47">
        <v>0.99999324715792304</v>
      </c>
      <c r="S34" s="44">
        <v>0.21110555612416301</v>
      </c>
      <c r="T34" s="25">
        <v>2.0904540338159099</v>
      </c>
      <c r="U34" s="47">
        <v>0.99999254146640204</v>
      </c>
      <c r="V34" s="44">
        <v>0.21099896030588899</v>
      </c>
      <c r="W34" s="25">
        <v>2.09045422056731</v>
      </c>
      <c r="X34" s="47">
        <v>0.99999241103757996</v>
      </c>
      <c r="Y34" s="44">
        <v>0.21097982666356699</v>
      </c>
      <c r="Z34" s="25">
        <v>2.0904511315233898</v>
      </c>
      <c r="AA34" s="47">
        <v>0.99999456845961099</v>
      </c>
      <c r="AB34" s="44">
        <v>0.21132155626601701</v>
      </c>
      <c r="AC34" s="25">
        <v>2.09045117888218</v>
      </c>
      <c r="AD34" s="47">
        <v>0.99999453538360805</v>
      </c>
      <c r="AE34" s="44">
        <v>0.211315843423872</v>
      </c>
      <c r="AF34" s="25">
        <v>2.0904544459004</v>
      </c>
      <c r="AG34" s="47">
        <v>0.99999225366303002</v>
      </c>
      <c r="AH34" s="44">
        <v>0.21095696048024901</v>
      </c>
      <c r="AI34" s="25">
        <v>2.09045753571854</v>
      </c>
      <c r="AJ34" s="47">
        <v>0.99999009571530995</v>
      </c>
      <c r="AK34" s="44">
        <v>0.21066442278814099</v>
      </c>
      <c r="AL34" s="25">
        <v>2.5</v>
      </c>
      <c r="AM34" s="47">
        <v>0.8</v>
      </c>
      <c r="AN34" s="44">
        <v>4.4900000000000002E-2</v>
      </c>
    </row>
    <row r="35" spans="1:40" x14ac:dyDescent="0.25">
      <c r="A35" s="27">
        <v>0.71</v>
      </c>
      <c r="B35" s="25">
        <v>2.0973239000000001</v>
      </c>
      <c r="C35" s="47">
        <v>0.99999389999999999</v>
      </c>
      <c r="D35" s="47">
        <v>0.29680000000000001</v>
      </c>
      <c r="E35" s="25">
        <v>2.3544</v>
      </c>
      <c r="F35" s="47">
        <v>0.99998267408961605</v>
      </c>
      <c r="G35" s="44">
        <v>0.21057295597671299</v>
      </c>
      <c r="H35" s="25">
        <v>2.0973245805214602</v>
      </c>
      <c r="I35" s="47">
        <v>0.999993419767644</v>
      </c>
      <c r="J35" s="44">
        <v>0.21105007812222101</v>
      </c>
      <c r="K35" s="25">
        <v>2.0973250500799199</v>
      </c>
      <c r="L35" s="47">
        <v>0.99999308840866497</v>
      </c>
      <c r="M35" s="44">
        <v>0.210998704413389</v>
      </c>
      <c r="N35" s="25">
        <v>2.0973255430728499</v>
      </c>
      <c r="O35" s="47">
        <v>0.999992740512753</v>
      </c>
      <c r="P35" s="44">
        <v>0.21094609114163501</v>
      </c>
      <c r="Q35" s="25">
        <v>2.0973260860764098</v>
      </c>
      <c r="R35" s="47">
        <v>0.99999235732569103</v>
      </c>
      <c r="S35" s="44">
        <v>0.210889597398635</v>
      </c>
      <c r="T35" s="25">
        <v>2.09732707954565</v>
      </c>
      <c r="U35" s="47">
        <v>0.99999165625487396</v>
      </c>
      <c r="V35" s="44">
        <v>0.210789833476656</v>
      </c>
      <c r="W35" s="25">
        <v>2.09732726316297</v>
      </c>
      <c r="X35" s="47">
        <v>0.99999152668006597</v>
      </c>
      <c r="Y35" s="44">
        <v>0.210771866122657</v>
      </c>
      <c r="Z35" s="25">
        <v>2.09732422595973</v>
      </c>
      <c r="AA35" s="47">
        <v>0.99999366997571104</v>
      </c>
      <c r="AB35" s="44">
        <v>0.21108974361399499</v>
      </c>
      <c r="AC35" s="25">
        <v>2.09732427252374</v>
      </c>
      <c r="AD35" s="47">
        <v>0.99999363711628397</v>
      </c>
      <c r="AE35" s="44">
        <v>0.211084489719089</v>
      </c>
      <c r="AF35" s="25">
        <v>2.0973274847145</v>
      </c>
      <c r="AG35" s="47">
        <v>0.99999137033596197</v>
      </c>
      <c r="AH35" s="44">
        <v>0.210750371187298</v>
      </c>
      <c r="AI35" s="25">
        <v>2.09733052267896</v>
      </c>
      <c r="AJ35" s="47">
        <v>0.99998922651774202</v>
      </c>
      <c r="AK35" s="44">
        <v>0.210473466670551</v>
      </c>
      <c r="AL35" s="25">
        <v>2.5</v>
      </c>
      <c r="AM35" s="47">
        <v>0.8</v>
      </c>
      <c r="AN35" s="44">
        <v>4.4699999999999997E-2</v>
      </c>
    </row>
    <row r="36" spans="1:40" x14ac:dyDescent="0.25">
      <c r="A36" s="27">
        <v>0.72</v>
      </c>
      <c r="B36" s="25">
        <v>2.0968664000000001</v>
      </c>
      <c r="C36" s="47">
        <v>0.99999300000000002</v>
      </c>
      <c r="D36" s="47">
        <v>0.29659999999999997</v>
      </c>
      <c r="E36" s="25">
        <v>2.3542000000000001</v>
      </c>
      <c r="F36" s="47">
        <v>0.99998267284486997</v>
      </c>
      <c r="G36" s="44">
        <v>0.21054844101137901</v>
      </c>
      <c r="H36" s="25">
        <v>2.0968670812946302</v>
      </c>
      <c r="I36" s="47">
        <v>0.99999251956022694</v>
      </c>
      <c r="J36" s="44">
        <v>0.21084533398717301</v>
      </c>
      <c r="K36" s="25">
        <v>2.0968675513865902</v>
      </c>
      <c r="L36" s="47">
        <v>0.99999218805812995</v>
      </c>
      <c r="M36" s="44">
        <v>0.21079709701853999</v>
      </c>
      <c r="N36" s="25">
        <v>2.09686804493963</v>
      </c>
      <c r="O36" s="47">
        <v>0.99999184001196095</v>
      </c>
      <c r="P36" s="44">
        <v>0.21074755572206799</v>
      </c>
      <c r="Q36" s="25">
        <v>2.0968685885601199</v>
      </c>
      <c r="R36" s="47">
        <v>0.99999145665939804</v>
      </c>
      <c r="S36" s="44">
        <v>0.21069421239278599</v>
      </c>
      <c r="T36" s="25">
        <v>2.0968695831580901</v>
      </c>
      <c r="U36" s="47">
        <v>0.99999075528578696</v>
      </c>
      <c r="V36" s="44">
        <v>0.210599667263215</v>
      </c>
      <c r="W36" s="25">
        <v>2.0968697669840202</v>
      </c>
      <c r="X36" s="47">
        <v>0.99999062565501595</v>
      </c>
      <c r="Y36" s="44">
        <v>0.210582596157838</v>
      </c>
      <c r="Z36" s="25">
        <v>2.0968667263300702</v>
      </c>
      <c r="AA36" s="47">
        <v>0.99999276987635999</v>
      </c>
      <c r="AB36" s="44">
        <v>0.21088247917081501</v>
      </c>
      <c r="AC36" s="25">
        <v>2.0968667729469801</v>
      </c>
      <c r="AD36" s="47">
        <v>0.99999273700274305</v>
      </c>
      <c r="AE36" s="44">
        <v>0.21087756421371101</v>
      </c>
      <c r="AF36" s="25">
        <v>2.0968699887872702</v>
      </c>
      <c r="AG36" s="47">
        <v>0.99999046924338597</v>
      </c>
      <c r="AH36" s="44">
        <v>0.210562156856368</v>
      </c>
      <c r="AI36" s="25">
        <v>2.0968730302033101</v>
      </c>
      <c r="AJ36" s="47">
        <v>0.99998832449926101</v>
      </c>
      <c r="AK36" s="44">
        <v>0.21029741269074301</v>
      </c>
      <c r="AL36" s="25">
        <v>2.5</v>
      </c>
      <c r="AM36" s="47">
        <v>0.8</v>
      </c>
      <c r="AN36" s="44">
        <v>4.4600000000000001E-2</v>
      </c>
    </row>
    <row r="37" spans="1:40" x14ac:dyDescent="0.25">
      <c r="A37" s="27">
        <v>0.73</v>
      </c>
      <c r="B37" s="25">
        <v>2.1035279999999998</v>
      </c>
      <c r="C37" s="47">
        <v>0.99999199999999999</v>
      </c>
      <c r="D37" s="47">
        <v>0.29649999999999999</v>
      </c>
      <c r="E37" s="25">
        <v>2.3565999999999998</v>
      </c>
      <c r="F37" s="47">
        <v>0.99998268776091404</v>
      </c>
      <c r="G37" s="44">
        <v>0.21057426922210601</v>
      </c>
      <c r="H37" s="25">
        <v>2.1035286700365501</v>
      </c>
      <c r="I37" s="47">
        <v>0.99999152260077095</v>
      </c>
      <c r="J37" s="44">
        <v>0.210768725958902</v>
      </c>
      <c r="K37" s="25">
        <v>2.1035291323604399</v>
      </c>
      <c r="L37" s="47">
        <v>0.99999119319663099</v>
      </c>
      <c r="M37" s="44">
        <v>0.21072367757509899</v>
      </c>
      <c r="N37" s="25">
        <v>2.1035296177577498</v>
      </c>
      <c r="O37" s="47">
        <v>0.99999084735311305</v>
      </c>
      <c r="P37" s="44">
        <v>0.21067729082822501</v>
      </c>
      <c r="Q37" s="25">
        <v>2.10353015239515</v>
      </c>
      <c r="R37" s="47">
        <v>0.99999046642663203</v>
      </c>
      <c r="S37" s="44">
        <v>0.21062721560553799</v>
      </c>
      <c r="T37" s="25">
        <v>2.1035311305578399</v>
      </c>
      <c r="U37" s="47">
        <v>0.99998976949170804</v>
      </c>
      <c r="V37" s="44">
        <v>0.210538158801478</v>
      </c>
      <c r="W37" s="25">
        <v>2.10353131134613</v>
      </c>
      <c r="X37" s="47">
        <v>0.99998964068130902</v>
      </c>
      <c r="Y37" s="44">
        <v>0.21052203970718</v>
      </c>
      <c r="Z37" s="25">
        <v>2.1035283209376101</v>
      </c>
      <c r="AA37" s="47">
        <v>0.99999177133273898</v>
      </c>
      <c r="AB37" s="44">
        <v>0.21080333275138699</v>
      </c>
      <c r="AC37" s="25">
        <v>2.1035283667842002</v>
      </c>
      <c r="AD37" s="47">
        <v>0.99999173866716495</v>
      </c>
      <c r="AE37" s="44">
        <v>0.21079875794654801</v>
      </c>
      <c r="AF37" s="25">
        <v>2.1035315294841901</v>
      </c>
      <c r="AG37" s="47">
        <v>0.99998948525953302</v>
      </c>
      <c r="AH37" s="44">
        <v>0.21050272531827199</v>
      </c>
      <c r="AI37" s="25">
        <v>2.10353452064221</v>
      </c>
      <c r="AJ37" s="47">
        <v>0.99998735408832096</v>
      </c>
      <c r="AK37" s="44">
        <v>0.21025122749658301</v>
      </c>
      <c r="AL37" s="25">
        <v>2.5</v>
      </c>
      <c r="AM37" s="47">
        <v>0.8</v>
      </c>
      <c r="AN37" s="44">
        <v>4.4699999999999997E-2</v>
      </c>
    </row>
    <row r="38" spans="1:40" x14ac:dyDescent="0.25">
      <c r="A38" s="27">
        <v>0.74</v>
      </c>
      <c r="B38" s="25">
        <v>2.0964624999999999</v>
      </c>
      <c r="C38" s="47">
        <v>0.9999903</v>
      </c>
      <c r="D38" s="47">
        <v>0.29620000000000002</v>
      </c>
      <c r="E38" s="25">
        <v>2.3540999999999999</v>
      </c>
      <c r="F38" s="47">
        <v>0.99998267222237702</v>
      </c>
      <c r="G38" s="44">
        <v>0.210560578657007</v>
      </c>
      <c r="H38" s="25">
        <v>2.0964631819772199</v>
      </c>
      <c r="I38" s="47">
        <v>0.99998981938157905</v>
      </c>
      <c r="J38" s="44">
        <v>0.210511036072275</v>
      </c>
      <c r="K38" s="25">
        <v>2.0964636525401601</v>
      </c>
      <c r="L38" s="47">
        <v>0.99998948775621399</v>
      </c>
      <c r="M38" s="44">
        <v>0.21046964097566701</v>
      </c>
      <c r="N38" s="25">
        <v>2.0964641465876901</v>
      </c>
      <c r="O38" s="47">
        <v>0.99998913958062696</v>
      </c>
      <c r="P38" s="44">
        <v>0.21042688710112101</v>
      </c>
      <c r="Q38" s="25">
        <v>2.0964646907528399</v>
      </c>
      <c r="R38" s="47">
        <v>0.99998875608551696</v>
      </c>
      <c r="S38" s="44">
        <v>0.210380593821344</v>
      </c>
      <c r="T38" s="25">
        <v>2.0964656863472899</v>
      </c>
      <c r="U38" s="47">
        <v>0.99998805445110805</v>
      </c>
      <c r="V38" s="44">
        <v>0.210297926453444</v>
      </c>
      <c r="W38" s="25">
        <v>2.0964658703574002</v>
      </c>
      <c r="X38" s="47">
        <v>0.99998792477213505</v>
      </c>
      <c r="Y38" s="44">
        <v>0.21028292013858599</v>
      </c>
      <c r="Z38" s="25">
        <v>2.09646282665702</v>
      </c>
      <c r="AA38" s="47">
        <v>0.99999006979079097</v>
      </c>
      <c r="AB38" s="44">
        <v>0.21054274874357401</v>
      </c>
      <c r="AC38" s="25">
        <v>2.0964628733206299</v>
      </c>
      <c r="AD38" s="47">
        <v>0.99999003690494803</v>
      </c>
      <c r="AE38" s="44">
        <v>0.21053856100831</v>
      </c>
      <c r="AF38" s="25">
        <v>2.09646609238288</v>
      </c>
      <c r="AG38" s="47">
        <v>0.99998776830234304</v>
      </c>
      <c r="AH38" s="44">
        <v>0.21026492219868301</v>
      </c>
      <c r="AI38" s="25">
        <v>2.0964691368461201</v>
      </c>
      <c r="AJ38" s="47">
        <v>0.999985622760732</v>
      </c>
      <c r="AK38" s="44">
        <v>0.21002902997811199</v>
      </c>
      <c r="AL38" s="25">
        <v>2.5</v>
      </c>
      <c r="AM38" s="47">
        <v>0.8</v>
      </c>
      <c r="AN38" s="44">
        <v>4.4600000000000001E-2</v>
      </c>
    </row>
    <row r="39" spans="1:40" x14ac:dyDescent="0.25">
      <c r="A39" s="27">
        <v>0.75</v>
      </c>
      <c r="B39" s="25">
        <v>2.0980886999999999</v>
      </c>
      <c r="C39" s="47">
        <v>0.99999020000000005</v>
      </c>
      <c r="D39" s="47">
        <v>0.29620000000000002</v>
      </c>
      <c r="E39" s="25">
        <v>2.3546999999999998</v>
      </c>
      <c r="F39" s="47">
        <v>0.99998267595613999</v>
      </c>
      <c r="G39" s="44">
        <v>0.210548739817842</v>
      </c>
      <c r="H39" s="25">
        <v>2.0980893792289499</v>
      </c>
      <c r="I39" s="47">
        <v>0.99998972012656895</v>
      </c>
      <c r="J39" s="44">
        <v>0.21045856185490899</v>
      </c>
      <c r="K39" s="25">
        <v>2.0980898478955798</v>
      </c>
      <c r="L39" s="47">
        <v>0.99998938901524403</v>
      </c>
      <c r="M39" s="44">
        <v>0.210417430259179</v>
      </c>
      <c r="N39" s="25">
        <v>2.0980903399521802</v>
      </c>
      <c r="O39" s="47">
        <v>0.99998904137934796</v>
      </c>
      <c r="P39" s="44">
        <v>0.21037494102880899</v>
      </c>
      <c r="Q39" s="25">
        <v>2.09809088192441</v>
      </c>
      <c r="R39" s="47">
        <v>0.99998865847867502</v>
      </c>
      <c r="S39" s="44">
        <v>0.210328926110498</v>
      </c>
      <c r="T39" s="25">
        <v>2.09809187350676</v>
      </c>
      <c r="U39" s="47">
        <v>0.99998795793182804</v>
      </c>
      <c r="V39" s="44">
        <v>0.21024673592416299</v>
      </c>
      <c r="W39" s="25">
        <v>2.0980920567753301</v>
      </c>
      <c r="X39" s="47">
        <v>0.99998782845386402</v>
      </c>
      <c r="Y39" s="44">
        <v>0.210231813633598</v>
      </c>
      <c r="Z39" s="25">
        <v>2.0980890253406299</v>
      </c>
      <c r="AA39" s="47">
        <v>0.99998997014763102</v>
      </c>
      <c r="AB39" s="44">
        <v>0.21049006760490499</v>
      </c>
      <c r="AC39" s="25">
        <v>2.0980890718162</v>
      </c>
      <c r="AD39" s="47">
        <v>0.99998993731276298</v>
      </c>
      <c r="AE39" s="44">
        <v>0.210485907451986</v>
      </c>
      <c r="AF39" s="25">
        <v>2.0980922779060802</v>
      </c>
      <c r="AG39" s="47">
        <v>0.99998767222660601</v>
      </c>
      <c r="AH39" s="44">
        <v>0.21021391545901699</v>
      </c>
      <c r="AI39" s="25">
        <v>2.0980953101005499</v>
      </c>
      <c r="AJ39" s="47">
        <v>0.99998553001061696</v>
      </c>
      <c r="AK39" s="44">
        <v>0.20997923785427</v>
      </c>
      <c r="AL39" s="25">
        <v>2.5</v>
      </c>
      <c r="AM39" s="47">
        <v>0.8</v>
      </c>
      <c r="AN39" s="44">
        <v>4.4600000000000001E-2</v>
      </c>
    </row>
    <row r="40" spans="1:40" x14ac:dyDescent="0.25">
      <c r="A40" s="27">
        <v>0.76</v>
      </c>
      <c r="B40" s="25">
        <v>2.1014781</v>
      </c>
      <c r="C40" s="47">
        <v>0.99998730000000002</v>
      </c>
      <c r="D40" s="47">
        <v>0.2959</v>
      </c>
      <c r="E40" s="25">
        <v>2.3559000000000001</v>
      </c>
      <c r="F40" s="47">
        <v>0.99998268341510799</v>
      </c>
      <c r="G40" s="44">
        <v>0.21060434915309501</v>
      </c>
      <c r="H40" s="25">
        <v>2.1014787735008702</v>
      </c>
      <c r="I40" s="47">
        <v>0.99998682168019604</v>
      </c>
      <c r="J40" s="44">
        <v>0.210272913599582</v>
      </c>
      <c r="K40" s="25">
        <v>2.1014792382151501</v>
      </c>
      <c r="L40" s="47">
        <v>0.99998649164086395</v>
      </c>
      <c r="M40" s="44">
        <v>0.21023671025676699</v>
      </c>
      <c r="N40" s="25">
        <v>2.1014797261221201</v>
      </c>
      <c r="O40" s="47">
        <v>0.99998614513045703</v>
      </c>
      <c r="P40" s="44">
        <v>0.210199180928655</v>
      </c>
      <c r="Q40" s="25">
        <v>2.1014802635238001</v>
      </c>
      <c r="R40" s="47">
        <v>0.99998576346943902</v>
      </c>
      <c r="S40" s="44">
        <v>0.21015839293205299</v>
      </c>
      <c r="T40" s="25">
        <v>2.1014812467439299</v>
      </c>
      <c r="U40" s="47">
        <v>0.99998506519062802</v>
      </c>
      <c r="V40" s="44">
        <v>0.21008518299713499</v>
      </c>
      <c r="W40" s="25">
        <v>2.1014814284669598</v>
      </c>
      <c r="X40" s="47">
        <v>0.99998493613184802</v>
      </c>
      <c r="Y40" s="44">
        <v>0.21007184418508201</v>
      </c>
      <c r="Z40" s="25">
        <v>2.10147842259697</v>
      </c>
      <c r="AA40" s="47">
        <v>0.99998707089179595</v>
      </c>
      <c r="AB40" s="44">
        <v>0.21030055710729001</v>
      </c>
      <c r="AC40" s="25">
        <v>2.1014784686805998</v>
      </c>
      <c r="AD40" s="47">
        <v>0.99998703816323398</v>
      </c>
      <c r="AE40" s="44">
        <v>0.21029691137189199</v>
      </c>
      <c r="AF40" s="25">
        <v>2.1014816477328599</v>
      </c>
      <c r="AG40" s="47">
        <v>0.99998478041037797</v>
      </c>
      <c r="AH40" s="44">
        <v>0.210055826859286</v>
      </c>
      <c r="AI40" s="25">
        <v>2.1014846543562302</v>
      </c>
      <c r="AJ40" s="47">
        <v>0.999982645129743</v>
      </c>
      <c r="AK40" s="44">
        <v>0.20984408491305101</v>
      </c>
      <c r="AL40" s="25">
        <v>2.5</v>
      </c>
      <c r="AM40" s="47">
        <v>0.8</v>
      </c>
      <c r="AN40" s="44">
        <v>4.48E-2</v>
      </c>
    </row>
    <row r="41" spans="1:40" x14ac:dyDescent="0.25">
      <c r="A41" s="27">
        <v>0.77</v>
      </c>
      <c r="B41" s="25">
        <v>2.1019956999999998</v>
      </c>
      <c r="C41" s="47">
        <v>0.99998589999999998</v>
      </c>
      <c r="D41" s="47">
        <v>0.29580000000000001</v>
      </c>
      <c r="E41" s="25">
        <v>2.3561000000000001</v>
      </c>
      <c r="F41" s="47">
        <v>0.999982684657163</v>
      </c>
      <c r="G41" s="44">
        <v>0.210604468474196</v>
      </c>
      <c r="H41" s="25">
        <v>2.1019963726261301</v>
      </c>
      <c r="I41" s="47">
        <v>0.99998542191907802</v>
      </c>
      <c r="J41" s="44">
        <v>0.210126086316614</v>
      </c>
      <c r="K41" s="25">
        <v>2.1019968367368298</v>
      </c>
      <c r="L41" s="47">
        <v>0.99998509204457298</v>
      </c>
      <c r="M41" s="44">
        <v>0.210091691425839</v>
      </c>
      <c r="N41" s="25">
        <v>2.10199732401012</v>
      </c>
      <c r="O41" s="47">
        <v>0.99998474570721896</v>
      </c>
      <c r="P41" s="44">
        <v>0.210055994297625</v>
      </c>
      <c r="Q41" s="25">
        <v>2.1019978607138099</v>
      </c>
      <c r="R41" s="47">
        <v>0.99998436423680803</v>
      </c>
      <c r="S41" s="44">
        <v>0.21001715021314199</v>
      </c>
      <c r="T41" s="25">
        <v>2.1019988426569398</v>
      </c>
      <c r="U41" s="47">
        <v>0.99998366630672497</v>
      </c>
      <c r="V41" s="44">
        <v>0.20994731107691</v>
      </c>
      <c r="W41" s="25">
        <v>2.1019990241439501</v>
      </c>
      <c r="X41" s="47">
        <v>0.99998353731239997</v>
      </c>
      <c r="Y41" s="44">
        <v>0.209934570663557</v>
      </c>
      <c r="Z41" s="25">
        <v>2.1019960221779801</v>
      </c>
      <c r="AA41" s="47">
        <v>0.99998567100621705</v>
      </c>
      <c r="AB41" s="44">
        <v>0.21015232100527101</v>
      </c>
      <c r="AC41" s="25">
        <v>2.10199606820176</v>
      </c>
      <c r="AD41" s="47">
        <v>0.999985638294001</v>
      </c>
      <c r="AE41" s="44">
        <v>0.21014886248213999</v>
      </c>
      <c r="AF41" s="25">
        <v>2.10199924312507</v>
      </c>
      <c r="AG41" s="47">
        <v>0.99998338166869705</v>
      </c>
      <c r="AH41" s="44">
        <v>0.20991926567035299</v>
      </c>
      <c r="AI41" s="25">
        <v>2.1020022458434302</v>
      </c>
      <c r="AJ41" s="47">
        <v>0.99998124745442796</v>
      </c>
      <c r="AK41" s="44">
        <v>0.20971634383888599</v>
      </c>
      <c r="AL41" s="25">
        <v>2.5</v>
      </c>
      <c r="AM41" s="47">
        <v>0.8</v>
      </c>
      <c r="AN41" s="44">
        <v>4.4900000000000002E-2</v>
      </c>
    </row>
    <row r="42" spans="1:40" x14ac:dyDescent="0.25">
      <c r="A42" s="27">
        <v>0.78</v>
      </c>
      <c r="B42" s="25">
        <v>2.1001865999999998</v>
      </c>
      <c r="C42" s="47">
        <v>0.99998379999999998</v>
      </c>
      <c r="D42" s="47">
        <v>0.29549999999999998</v>
      </c>
      <c r="E42" s="25">
        <v>2.3553999999999999</v>
      </c>
      <c r="F42" s="47">
        <v>0.999972680674593</v>
      </c>
      <c r="G42" s="44">
        <v>0.209711865099975</v>
      </c>
      <c r="H42" s="25">
        <v>2.1001872756835001</v>
      </c>
      <c r="I42" s="47">
        <v>0.99998332110011601</v>
      </c>
      <c r="J42" s="44">
        <v>0.209800096555597</v>
      </c>
      <c r="K42" s="25">
        <v>2.10018774190379</v>
      </c>
      <c r="L42" s="47">
        <v>0.99998299066053298</v>
      </c>
      <c r="M42" s="44">
        <v>0.20976790282499</v>
      </c>
      <c r="N42" s="25">
        <v>2.10018823139194</v>
      </c>
      <c r="O42" s="47">
        <v>0.99998264372989998</v>
      </c>
      <c r="P42" s="44">
        <v>0.209734443523548</v>
      </c>
      <c r="Q42" s="25">
        <v>2.1001887705351798</v>
      </c>
      <c r="R42" s="47">
        <v>0.99998226160603199</v>
      </c>
      <c r="S42" s="44">
        <v>0.20969798215711499</v>
      </c>
      <c r="T42" s="25">
        <v>2.1001897569416599</v>
      </c>
      <c r="U42" s="47">
        <v>0.99998156248040104</v>
      </c>
      <c r="V42" s="44">
        <v>0.20963229502594699</v>
      </c>
      <c r="W42" s="25">
        <v>2.1001899392536099</v>
      </c>
      <c r="X42" s="47">
        <v>0.99998143326511002</v>
      </c>
      <c r="Y42" s="44">
        <v>0.20962029435094301</v>
      </c>
      <c r="Z42" s="25">
        <v>2.1001869236424202</v>
      </c>
      <c r="AA42" s="47">
        <v>0.99998357061394505</v>
      </c>
      <c r="AB42" s="44">
        <v>0.209824621823542</v>
      </c>
      <c r="AC42" s="25">
        <v>2.1001869698753901</v>
      </c>
      <c r="AD42" s="47">
        <v>0.99998353784569505</v>
      </c>
      <c r="AE42" s="44">
        <v>0.20982139018829299</v>
      </c>
      <c r="AF42" s="25">
        <v>2.10019015923009</v>
      </c>
      <c r="AG42" s="47">
        <v>0.99998127735479403</v>
      </c>
      <c r="AH42" s="44">
        <v>0.20960587097429101</v>
      </c>
      <c r="AI42" s="25">
        <v>2.1001931755970902</v>
      </c>
      <c r="AJ42" s="47">
        <v>0.99997913948469797</v>
      </c>
      <c r="AK42" s="44">
        <v>0.20941395596262899</v>
      </c>
      <c r="AL42" s="25">
        <v>2.5</v>
      </c>
      <c r="AM42" s="47">
        <v>0.8</v>
      </c>
      <c r="AN42" s="44">
        <v>4.4600000000000001E-2</v>
      </c>
    </row>
    <row r="43" spans="1:40" ht="15.75" thickBot="1" x14ac:dyDescent="0.3">
      <c r="A43" s="27">
        <v>0.79</v>
      </c>
      <c r="B43" s="25">
        <v>2.1049039</v>
      </c>
      <c r="C43" s="47">
        <v>0.99998100000000001</v>
      </c>
      <c r="D43" s="47">
        <v>0.29530000000000001</v>
      </c>
      <c r="E43" s="25">
        <v>2.3571</v>
      </c>
      <c r="F43" s="47">
        <v>0.99997269122816701</v>
      </c>
      <c r="G43" s="44">
        <v>0.20975536340157699</v>
      </c>
      <c r="H43" s="25">
        <v>2.1049045677112801</v>
      </c>
      <c r="I43" s="47">
        <v>0.99998052325090603</v>
      </c>
      <c r="J43" s="44">
        <v>0.20964388132786199</v>
      </c>
      <c r="K43" s="25">
        <v>2.1049050284307498</v>
      </c>
      <c r="L43" s="47">
        <v>0.99998019429535601</v>
      </c>
      <c r="M43" s="44">
        <v>0.20961424673350401</v>
      </c>
      <c r="N43" s="25">
        <v>2.1049055121435498</v>
      </c>
      <c r="O43" s="47">
        <v>0.999979848922814</v>
      </c>
      <c r="P43" s="44">
        <v>0.209583402224261</v>
      </c>
      <c r="Q43" s="25">
        <v>2.1049060449255701</v>
      </c>
      <c r="R43" s="47">
        <v>0.99997946851508401</v>
      </c>
      <c r="S43" s="44">
        <v>0.20954973943500299</v>
      </c>
      <c r="T43" s="25">
        <v>2.1049070196936799</v>
      </c>
      <c r="U43" s="47">
        <v>0.99997877252925005</v>
      </c>
      <c r="V43" s="44">
        <v>0.20948896483524601</v>
      </c>
      <c r="W43" s="25">
        <v>2.1049071998545799</v>
      </c>
      <c r="X43" s="47">
        <v>0.99997864389426605</v>
      </c>
      <c r="Y43" s="44">
        <v>0.20947784420064</v>
      </c>
      <c r="Z43" s="25">
        <v>2.1049042198238399</v>
      </c>
      <c r="AA43" s="47">
        <v>0.99998077164414401</v>
      </c>
      <c r="AB43" s="44">
        <v>0.209666427910464</v>
      </c>
      <c r="AC43" s="25">
        <v>2.1049042655113301</v>
      </c>
      <c r="AD43" s="47">
        <v>0.99998073902305795</v>
      </c>
      <c r="AE43" s="44">
        <v>0.20966345846258699</v>
      </c>
      <c r="AF43" s="25">
        <v>2.1049074172356099</v>
      </c>
      <c r="AG43" s="47">
        <v>0.99997848868414396</v>
      </c>
      <c r="AH43" s="44">
        <v>0.20946447155561801</v>
      </c>
      <c r="AI43" s="25">
        <v>2.10491039801324</v>
      </c>
      <c r="AJ43" s="47">
        <v>0.99997636041513005</v>
      </c>
      <c r="AK43" s="44">
        <v>0.20928585045006101</v>
      </c>
      <c r="AL43" s="25">
        <v>2.5</v>
      </c>
      <c r="AM43" s="47">
        <v>0.8</v>
      </c>
      <c r="AN43" s="44">
        <v>4.48E-2</v>
      </c>
    </row>
    <row r="44" spans="1:40" ht="15.75" thickBot="1" x14ac:dyDescent="0.3">
      <c r="A44" s="33" t="s">
        <v>68</v>
      </c>
      <c r="B44" s="67">
        <f>AVERAGE(Table5[Q(H20)])</f>
        <v>2.0858491150000003</v>
      </c>
      <c r="C44" s="68">
        <f>AVERAGE(Table5[W(H20)])</f>
        <v>0.99999648500000016</v>
      </c>
      <c r="D44" s="69">
        <f>AVERAGE(Table5[A(H20)])</f>
        <v>0.29756750000000004</v>
      </c>
      <c r="E44" s="67">
        <f>AVERAGE(Table5[Qmix1])</f>
        <v>2.3502350000000005</v>
      </c>
      <c r="F44" s="68">
        <f>AVERAGE(Table5[Wmix1])</f>
        <v>0.99998964752319586</v>
      </c>
      <c r="G44" s="70">
        <f>AVERAGE(Table5[Amix1])</f>
        <v>0.21136230109621051</v>
      </c>
      <c r="H44" s="67">
        <f>AVERAGE(Table5[Qmix2])</f>
        <v>2.0858498149138134</v>
      </c>
      <c r="I44" s="68">
        <f>AVERAGE(Table5[Wmix2])</f>
        <v>0.99999599925723515</v>
      </c>
      <c r="J44" s="70">
        <f>AVERAGE(Table5[Amix2])</f>
        <v>0.21163657930319699</v>
      </c>
      <c r="K44" s="67">
        <f>AVERAGE(Table5[Qmix3])</f>
        <v>2.0858502978529634</v>
      </c>
      <c r="L44" s="68">
        <f>AVERAGE(Table5[Wmix3])</f>
        <v>0.99999566409610363</v>
      </c>
      <c r="M44" s="70">
        <f>AVERAGE(Table5[Amix3])</f>
        <v>0.21153309669686005</v>
      </c>
      <c r="N44" s="67">
        <f>AVERAGE(Table5[Qmix4])</f>
        <v>2.0858508048943758</v>
      </c>
      <c r="O44" s="68">
        <f>AVERAGE(Table5[Wmix4])</f>
        <v>0.9999953122083044</v>
      </c>
      <c r="P44" s="70">
        <f>AVERAGE(Table5[Amix4])</f>
        <v>0.21143850597577765</v>
      </c>
      <c r="Q44" s="67">
        <f>AVERAGE(Table5[Qmix5])</f>
        <v>2.0858513633715323</v>
      </c>
      <c r="R44" s="68">
        <f>AVERAGE(Table5[Wmix5])</f>
        <v>0.99999492462442663</v>
      </c>
      <c r="S44" s="70">
        <f>AVERAGE(Table5[Amix5])</f>
        <v>0.2113448141200481</v>
      </c>
      <c r="T44" s="67">
        <f>AVERAGE(Table5[Qmix6])</f>
        <v>2.0858523851509823</v>
      </c>
      <c r="U44" s="68">
        <f>AVERAGE(Table5[Wmix6])</f>
        <v>0.99999421550933842</v>
      </c>
      <c r="V44" s="70">
        <f>AVERAGE(Table5[Amix6])</f>
        <v>0.21119211963053522</v>
      </c>
      <c r="W44" s="67">
        <f>AVERAGE(Table5[Qmix7])</f>
        <v>2.0858525740007159</v>
      </c>
      <c r="X44" s="68">
        <f>AVERAGE(Table5[Wmix7])</f>
        <v>0.99999408444776172</v>
      </c>
      <c r="Y44" s="70">
        <f>AVERAGE(Table5[Amix7])</f>
        <v>0.21116589013705531</v>
      </c>
      <c r="Z44" s="96">
        <f>AVERAGE(Table5[Qmix78])</f>
        <v>2.0858494502483795</v>
      </c>
      <c r="AA44" s="69">
        <f>AVERAGE(Table5[Wmix79])</f>
        <v>0.99999625233630129</v>
      </c>
      <c r="AB44" s="70">
        <f>AVERAGE(Table5[Amix80])</f>
        <v>0.21173097521600423</v>
      </c>
      <c r="AC44" s="96">
        <f>AVERAGE(Table5[Qmix75])</f>
        <v>2.0858494981392917</v>
      </c>
      <c r="AD44" s="69">
        <f>AVERAGE(Table5[Wmix76])</f>
        <v>0.99999621909983127</v>
      </c>
      <c r="AE44" s="70">
        <f>AVERAGE(Table5[Amix77])</f>
        <v>0.2117172474444553</v>
      </c>
      <c r="AF44" s="96">
        <f>AVERAGE(Table5[Qmix72])</f>
        <v>2.0858528018656548</v>
      </c>
      <c r="AG44" s="69">
        <f>AVERAGE(Table5[Wmix73])</f>
        <v>0.99999392630973283</v>
      </c>
      <c r="AH44" s="70">
        <f>AVERAGE(Table5[Amix74])</f>
        <v>0.21113492213212376</v>
      </c>
      <c r="AI44" s="96">
        <f>AVERAGE(Table5[Qmix8])</f>
        <v>2.0858559264009093</v>
      </c>
      <c r="AJ44" s="69">
        <f>AVERAGE(Table5[Wmix9])</f>
        <v>0.99999175789322248</v>
      </c>
      <c r="AK44" s="70">
        <f>AVERAGE(Table5[Amix10])</f>
        <v>0.210764163280517</v>
      </c>
      <c r="AL44" s="67">
        <f>AVERAGE(Table5[Q(Dark)])</f>
        <v>2.5</v>
      </c>
      <c r="AM44" s="68">
        <f>AVERAGE(Table5[W(Dark)])</f>
        <v>0.80000000000000038</v>
      </c>
      <c r="AN44" s="70">
        <f>AVERAGE(Table5[A(Dark)])</f>
        <v>4.4464999999999984E-2</v>
      </c>
    </row>
    <row r="45" spans="1:40" x14ac:dyDescent="0.25">
      <c r="A45" s="26" t="s">
        <v>69</v>
      </c>
      <c r="B45" s="71"/>
      <c r="C45" s="72"/>
      <c r="D45" s="73"/>
      <c r="E45" s="71"/>
      <c r="F45" s="72"/>
      <c r="G45" s="73">
        <f>G44/D44</f>
        <v>0.71030035570487526</v>
      </c>
      <c r="H45" s="71"/>
      <c r="I45" s="72"/>
      <c r="J45" s="73">
        <f>J44/D44</f>
        <v>0.71122209012475135</v>
      </c>
      <c r="K45" s="71"/>
      <c r="L45" s="72"/>
      <c r="M45" s="73">
        <f>M44/D44</f>
        <v>0.71087432833511732</v>
      </c>
      <c r="N45" s="71"/>
      <c r="O45" s="72"/>
      <c r="P45" s="73">
        <f>P44/D44</f>
        <v>0.71055644845548527</v>
      </c>
      <c r="Q45" s="71"/>
      <c r="R45" s="72"/>
      <c r="S45" s="73">
        <f>S44/D44</f>
        <v>0.71024158928662595</v>
      </c>
      <c r="T45" s="71"/>
      <c r="U45" s="72"/>
      <c r="V45" s="73">
        <f>V44/D44</f>
        <v>0.70972844692560577</v>
      </c>
      <c r="W45" s="71"/>
      <c r="X45" s="72"/>
      <c r="Y45" s="73">
        <f>Y44/D44</f>
        <v>0.70964030056056282</v>
      </c>
      <c r="Z45" s="71"/>
      <c r="AA45" s="72"/>
      <c r="AB45" s="73">
        <f>AB44/D44</f>
        <v>0.71153931533519021</v>
      </c>
      <c r="AC45" s="71"/>
      <c r="AD45" s="72"/>
      <c r="AE45" s="73">
        <f>AE44/D44</f>
        <v>0.71149318203249778</v>
      </c>
      <c r="AF45" s="71"/>
      <c r="AG45" s="72"/>
      <c r="AH45" s="73">
        <f>AH44/D44</f>
        <v>0.70953623003897848</v>
      </c>
      <c r="AI45" s="71"/>
      <c r="AJ45" s="72"/>
      <c r="AK45" s="73">
        <f>AK44/D44</f>
        <v>0.7082902644963478</v>
      </c>
      <c r="AL45" s="71"/>
      <c r="AM45" s="72"/>
      <c r="AN45" s="73">
        <f>AN44/D44</f>
        <v>0.14942828097826535</v>
      </c>
    </row>
    <row r="46" spans="1:40" ht="15.75" thickBot="1" x14ac:dyDescent="0.3">
      <c r="A46" s="26" t="s">
        <v>70</v>
      </c>
      <c r="B46" s="74"/>
      <c r="C46" s="75"/>
      <c r="D46" s="76">
        <v>0</v>
      </c>
      <c r="E46" s="74"/>
      <c r="F46" s="75"/>
      <c r="G46" s="76">
        <f>(G44-D44)/D44</f>
        <v>-0.28969964429512468</v>
      </c>
      <c r="H46" s="74"/>
      <c r="I46" s="75"/>
      <c r="J46" s="76">
        <f>(J44-D44)/D44</f>
        <v>-0.2887779098752486</v>
      </c>
      <c r="K46" s="74"/>
      <c r="L46" s="75"/>
      <c r="M46" s="76">
        <f>(M44-D44)/D44</f>
        <v>-0.28912567166488268</v>
      </c>
      <c r="N46" s="74"/>
      <c r="O46" s="75"/>
      <c r="P46" s="76">
        <f>(P44-D44)/D44</f>
        <v>-0.28944355154451468</v>
      </c>
      <c r="Q46" s="74"/>
      <c r="R46" s="75"/>
      <c r="S46" s="76">
        <f>(S44-D44)/D44</f>
        <v>-0.28975841071337405</v>
      </c>
      <c r="T46" s="74"/>
      <c r="U46" s="75"/>
      <c r="V46" s="76">
        <f>(V44-D44)/D44</f>
        <v>-0.29027155307439423</v>
      </c>
      <c r="W46" s="74"/>
      <c r="X46" s="75"/>
      <c r="Y46" s="76">
        <f>(Y44-D44)/D44</f>
        <v>-0.29035969943943718</v>
      </c>
      <c r="Z46" s="74"/>
      <c r="AA46" s="75"/>
      <c r="AB46" s="76">
        <f>(AB44-D44)/D44</f>
        <v>-0.28846068466480984</v>
      </c>
      <c r="AC46" s="74"/>
      <c r="AD46" s="75"/>
      <c r="AE46" s="76">
        <f>(AE44-D44)/D44</f>
        <v>-0.28850681796750227</v>
      </c>
      <c r="AF46" s="74"/>
      <c r="AG46" s="75"/>
      <c r="AH46" s="76">
        <f>(AH44-D44)/D44</f>
        <v>-0.29046376996102152</v>
      </c>
      <c r="AI46" s="74"/>
      <c r="AJ46" s="75"/>
      <c r="AK46" s="76">
        <f>(AK44-D44)/D44</f>
        <v>-0.2917097355036522</v>
      </c>
      <c r="AL46" s="74"/>
      <c r="AM46" s="75"/>
      <c r="AN46" s="76">
        <f>(AN44-D44)/D44</f>
        <v>-0.85057171902173467</v>
      </c>
    </row>
    <row r="47" spans="1:40" s="39" customFormat="1" ht="15.75" thickBot="1" x14ac:dyDescent="0.3">
      <c r="A47" s="66" t="s">
        <v>71</v>
      </c>
      <c r="B47" s="77"/>
      <c r="C47" s="78"/>
      <c r="D47" s="79">
        <f>D44*PI()</f>
        <v>0.93483587194708084</v>
      </c>
      <c r="E47" s="77"/>
      <c r="F47" s="78"/>
      <c r="G47" s="79">
        <f>G44*PI()</f>
        <v>0.66401425236968881</v>
      </c>
      <c r="H47" s="77"/>
      <c r="I47" s="78"/>
      <c r="J47" s="79">
        <f>J44*PI()</f>
        <v>0.66487592276979735</v>
      </c>
      <c r="K47" s="77"/>
      <c r="L47" s="78"/>
      <c r="M47" s="79">
        <f>M44*PI()</f>
        <v>0.66455082257395481</v>
      </c>
      <c r="N47" s="77"/>
      <c r="O47" s="78"/>
      <c r="P47" s="79">
        <f>P44*PI()</f>
        <v>0.66425365705950468</v>
      </c>
      <c r="Q47" s="77"/>
      <c r="R47" s="78"/>
      <c r="S47" s="79">
        <f>S44*PI()</f>
        <v>0.66395931541384345</v>
      </c>
      <c r="T47" s="77"/>
      <c r="U47" s="78"/>
      <c r="V47" s="79">
        <f>V44*PI()</f>
        <v>0.66347961152734614</v>
      </c>
      <c r="W47" s="77"/>
      <c r="X47" s="78"/>
      <c r="Y47" s="79">
        <f>Y44*PI()</f>
        <v>0.66339720914332234</v>
      </c>
      <c r="Z47" s="77"/>
      <c r="AA47" s="78"/>
      <c r="AB47" s="79">
        <f>AB44*PI()</f>
        <v>0.6651724762760014</v>
      </c>
      <c r="AC47" s="77"/>
      <c r="AD47" s="78"/>
      <c r="AE47" s="79">
        <f t="shared" ref="AE47" si="0">AE44*PI()</f>
        <v>0.6651293492097532</v>
      </c>
      <c r="AF47" s="77"/>
      <c r="AG47" s="78"/>
      <c r="AH47" s="79">
        <f t="shared" ref="AH47" si="1">AH44*PI()</f>
        <v>0.66329992028653306</v>
      </c>
      <c r="AI47" s="77"/>
      <c r="AJ47" s="78"/>
      <c r="AK47" s="79">
        <f t="shared" ref="AK47" si="2">AK44*PI()</f>
        <v>0.66213514700207188</v>
      </c>
      <c r="AL47" s="77"/>
      <c r="AM47" s="78"/>
      <c r="AN47" s="79">
        <f>AN44*PI()</f>
        <v>0.13969091734187011</v>
      </c>
    </row>
  </sheetData>
  <mergeCells count="14">
    <mergeCell ref="B2:D2"/>
    <mergeCell ref="AL2:AN2"/>
    <mergeCell ref="A1:D1"/>
    <mergeCell ref="T2:V2"/>
    <mergeCell ref="W2:Y2"/>
    <mergeCell ref="E2:G2"/>
    <mergeCell ref="H2:J2"/>
    <mergeCell ref="K2:M2"/>
    <mergeCell ref="N2:P2"/>
    <mergeCell ref="Q2:S2"/>
    <mergeCell ref="Z2:AB2"/>
    <mergeCell ref="AC2:AE2"/>
    <mergeCell ref="AF2:AH2"/>
    <mergeCell ref="AI2:AK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9"/>
  <sheetViews>
    <sheetView topLeftCell="A25" zoomScale="90" zoomScaleNormal="90" workbookViewId="0">
      <selection activeCell="J52" sqref="J52"/>
    </sheetView>
  </sheetViews>
  <sheetFormatPr defaultRowHeight="15" x14ac:dyDescent="0.25"/>
  <cols>
    <col min="1" max="1" width="28.42578125" bestFit="1" customWidth="1"/>
    <col min="2" max="2" width="13.7109375" bestFit="1" customWidth="1"/>
    <col min="3" max="3" width="10.28515625" bestFit="1" customWidth="1"/>
    <col min="4" max="4" width="18.7109375" customWidth="1"/>
    <col min="5" max="5" width="8.7109375" bestFit="1" customWidth="1"/>
    <col min="6" max="9" width="13.28515625" bestFit="1" customWidth="1"/>
    <col min="10" max="10" width="9" bestFit="1" customWidth="1"/>
    <col min="11" max="11" width="9.28515625" bestFit="1" customWidth="1"/>
    <col min="12" max="12" width="9.85546875" bestFit="1" customWidth="1"/>
    <col min="13" max="13" width="9.140625" bestFit="1" customWidth="1"/>
    <col min="14" max="42" width="9.28515625" bestFit="1" customWidth="1"/>
    <col min="43" max="43" width="11.5703125" bestFit="1" customWidth="1"/>
    <col min="44" max="48" width="9.28515625" bestFit="1" customWidth="1"/>
    <col min="49" max="49" width="11.42578125" bestFit="1" customWidth="1"/>
    <col min="50" max="51" width="9.28515625" bestFit="1" customWidth="1"/>
    <col min="52" max="52" width="10.140625" bestFit="1" customWidth="1"/>
    <col min="53" max="53" width="10.28515625" bestFit="1" customWidth="1"/>
    <col min="54" max="54" width="10.7109375" bestFit="1" customWidth="1"/>
    <col min="55" max="55" width="9.7109375" customWidth="1"/>
    <col min="70" max="70" width="17.28515625" bestFit="1" customWidth="1"/>
  </cols>
  <sheetData>
    <row r="1" spans="1:71" ht="15.75" thickBot="1" x14ac:dyDescent="0.3">
      <c r="A1" s="143" t="s">
        <v>55</v>
      </c>
      <c r="B1" s="143"/>
      <c r="C1" s="143"/>
      <c r="D1" s="143"/>
      <c r="E1" s="150" t="s">
        <v>0</v>
      </c>
      <c r="F1" s="151"/>
      <c r="G1" s="151"/>
      <c r="H1" s="151"/>
      <c r="I1" s="152"/>
      <c r="J1" s="2"/>
      <c r="K1" s="2"/>
      <c r="L1" s="2"/>
      <c r="M1" s="2"/>
    </row>
    <row r="2" spans="1:71" ht="15.75" thickBot="1" x14ac:dyDescent="0.3">
      <c r="A2" s="53"/>
      <c r="B2" s="144" t="s">
        <v>72</v>
      </c>
      <c r="C2" s="145"/>
      <c r="D2" s="146"/>
      <c r="E2" s="147" t="s">
        <v>73</v>
      </c>
      <c r="F2" s="148"/>
      <c r="G2" s="149"/>
      <c r="H2" s="144" t="s">
        <v>74</v>
      </c>
      <c r="I2" s="145"/>
      <c r="J2" s="146"/>
      <c r="K2" s="145" t="s">
        <v>75</v>
      </c>
      <c r="L2" s="145"/>
      <c r="M2" s="146"/>
      <c r="N2" s="144" t="s">
        <v>76</v>
      </c>
      <c r="O2" s="145"/>
      <c r="P2" s="146"/>
      <c r="Q2" s="144" t="s">
        <v>77</v>
      </c>
      <c r="R2" s="145"/>
      <c r="S2" s="146"/>
      <c r="T2" s="144" t="s">
        <v>78</v>
      </c>
      <c r="U2" s="145"/>
      <c r="V2" s="146"/>
      <c r="W2" s="140" t="s">
        <v>79</v>
      </c>
      <c r="X2" s="141"/>
      <c r="Y2" s="142"/>
      <c r="Z2" s="140" t="s">
        <v>80</v>
      </c>
      <c r="AA2" s="141"/>
      <c r="AB2" s="142"/>
      <c r="AC2" s="140" t="s">
        <v>81</v>
      </c>
      <c r="AD2" s="141"/>
      <c r="AE2" s="142"/>
      <c r="AF2" s="140" t="s">
        <v>82</v>
      </c>
      <c r="AG2" s="141"/>
      <c r="AH2" s="142"/>
      <c r="AI2" s="140" t="s">
        <v>83</v>
      </c>
      <c r="AJ2" s="141"/>
      <c r="AK2" s="142"/>
      <c r="AL2" s="141" t="s">
        <v>84</v>
      </c>
      <c r="AM2" s="141"/>
      <c r="AN2" s="142"/>
      <c r="AO2" s="140" t="s">
        <v>85</v>
      </c>
      <c r="AP2" s="141"/>
      <c r="AQ2" s="142"/>
      <c r="AR2" s="140" t="s">
        <v>86</v>
      </c>
      <c r="AS2" s="141"/>
      <c r="AT2" s="142"/>
      <c r="AU2" s="140" t="s">
        <v>87</v>
      </c>
      <c r="AV2" s="141"/>
      <c r="AW2" s="142"/>
      <c r="AX2" s="140" t="s">
        <v>88</v>
      </c>
      <c r="AY2" s="141"/>
      <c r="AZ2" s="142"/>
    </row>
    <row r="3" spans="1:71" x14ac:dyDescent="0.25">
      <c r="A3" s="3" t="s">
        <v>14</v>
      </c>
      <c r="B3" s="28" t="s">
        <v>15</v>
      </c>
      <c r="C3" s="29" t="s">
        <v>16</v>
      </c>
      <c r="D3" s="30" t="s">
        <v>56</v>
      </c>
      <c r="E3" s="3" t="s">
        <v>89</v>
      </c>
      <c r="F3" s="3" t="s">
        <v>90</v>
      </c>
      <c r="G3" s="3" t="s">
        <v>91</v>
      </c>
      <c r="H3" s="15" t="s">
        <v>92</v>
      </c>
      <c r="I3" s="3" t="s">
        <v>49</v>
      </c>
      <c r="J3" s="43" t="s">
        <v>93</v>
      </c>
      <c r="K3" s="3" t="s">
        <v>48</v>
      </c>
      <c r="L3" s="3" t="s">
        <v>94</v>
      </c>
      <c r="M3" s="3" t="s">
        <v>95</v>
      </c>
      <c r="N3" s="10" t="s">
        <v>21</v>
      </c>
      <c r="O3" s="4" t="s">
        <v>22</v>
      </c>
      <c r="P3" s="11" t="s">
        <v>58</v>
      </c>
      <c r="Q3" s="10" t="s">
        <v>96</v>
      </c>
      <c r="R3" s="4" t="s">
        <v>19</v>
      </c>
      <c r="S3" s="32" t="s">
        <v>57</v>
      </c>
      <c r="T3" s="10" t="s">
        <v>24</v>
      </c>
      <c r="U3" s="4" t="s">
        <v>25</v>
      </c>
      <c r="V3" s="32" t="s">
        <v>59</v>
      </c>
      <c r="W3" s="10" t="s">
        <v>27</v>
      </c>
      <c r="X3" s="4" t="s">
        <v>28</v>
      </c>
      <c r="Y3" s="32" t="s">
        <v>60</v>
      </c>
      <c r="Z3" s="10" t="s">
        <v>30</v>
      </c>
      <c r="AA3" s="4" t="s">
        <v>31</v>
      </c>
      <c r="AB3" s="32" t="s">
        <v>61</v>
      </c>
      <c r="AC3" s="10" t="s">
        <v>33</v>
      </c>
      <c r="AD3" s="4" t="s">
        <v>34</v>
      </c>
      <c r="AE3" s="32" t="s">
        <v>62</v>
      </c>
      <c r="AF3" s="10" t="s">
        <v>36</v>
      </c>
      <c r="AG3" s="4" t="s">
        <v>37</v>
      </c>
      <c r="AH3" s="32" t="s">
        <v>63</v>
      </c>
      <c r="AI3" s="15" t="s">
        <v>97</v>
      </c>
      <c r="AJ3" s="3" t="s">
        <v>98</v>
      </c>
      <c r="AK3" s="32" t="s">
        <v>64</v>
      </c>
      <c r="AL3" s="3" t="s">
        <v>99</v>
      </c>
      <c r="AM3" s="3" t="s">
        <v>100</v>
      </c>
      <c r="AN3" s="32" t="s">
        <v>65</v>
      </c>
      <c r="AO3" s="3" t="s">
        <v>101</v>
      </c>
      <c r="AP3" s="3" t="s">
        <v>102</v>
      </c>
      <c r="AQ3" s="4" t="s">
        <v>66</v>
      </c>
      <c r="AR3" s="15" t="s">
        <v>103</v>
      </c>
      <c r="AS3" s="3" t="s">
        <v>104</v>
      </c>
      <c r="AT3" s="32" t="s">
        <v>105</v>
      </c>
      <c r="AU3" s="3" t="s">
        <v>106</v>
      </c>
      <c r="AV3" s="3" t="s">
        <v>107</v>
      </c>
      <c r="AW3" s="4" t="s">
        <v>108</v>
      </c>
      <c r="AX3" s="28" t="s">
        <v>109</v>
      </c>
      <c r="AY3" s="29" t="s">
        <v>110</v>
      </c>
      <c r="AZ3" s="52" t="s">
        <v>111</v>
      </c>
    </row>
    <row r="4" spans="1:71" x14ac:dyDescent="0.25">
      <c r="A4" s="2">
        <v>0.4</v>
      </c>
      <c r="B4" s="25">
        <v>2.0640941000000002</v>
      </c>
      <c r="C4" s="47">
        <v>1</v>
      </c>
      <c r="D4" s="44">
        <v>0.21282596832051801</v>
      </c>
      <c r="E4" s="47">
        <v>2.0640941000435902</v>
      </c>
      <c r="F4" s="47">
        <v>0.99999999997066102</v>
      </c>
      <c r="G4" s="47">
        <v>0.21279999999999999</v>
      </c>
      <c r="H4" s="25">
        <v>2.0640941043599299</v>
      </c>
      <c r="I4" s="47">
        <v>0.99999999706547404</v>
      </c>
      <c r="J4" s="44">
        <v>0.21279999999999999</v>
      </c>
      <c r="K4" s="47">
        <v>2.0640945367785899</v>
      </c>
      <c r="L4" s="47">
        <v>0.99999970601889798</v>
      </c>
      <c r="M4" s="47">
        <v>0.21240000000000001</v>
      </c>
      <c r="N4" s="25">
        <v>2.0641385711181401</v>
      </c>
      <c r="O4" s="47">
        <v>0.99997006938500599</v>
      </c>
      <c r="P4" s="44">
        <v>0.2084</v>
      </c>
      <c r="Q4" s="25">
        <v>2.0717081768558998</v>
      </c>
      <c r="R4" s="47">
        <v>0.99491667930095595</v>
      </c>
      <c r="S4" s="44">
        <v>0.16309999999999999</v>
      </c>
      <c r="T4" s="25">
        <v>2.08973562352941</v>
      </c>
      <c r="U4" s="47">
        <v>0.98320293238022904</v>
      </c>
      <c r="V4" s="44">
        <v>0.1321</v>
      </c>
      <c r="W4" s="25">
        <v>2.19821899230769</v>
      </c>
      <c r="X4" s="47">
        <v>0.92106637444190897</v>
      </c>
      <c r="Y4" s="44">
        <v>7.7299999999999994E-2</v>
      </c>
      <c r="Z4" s="25">
        <v>2.2820470500000001</v>
      </c>
      <c r="AA4" s="47">
        <v>0.88107113373205803</v>
      </c>
      <c r="AB4" s="44">
        <v>6.1499999999999999E-2</v>
      </c>
      <c r="AC4" s="25">
        <v>2.3658751076923101</v>
      </c>
      <c r="AD4" s="47">
        <v>0.84650426315026495</v>
      </c>
      <c r="AE4" s="44">
        <v>5.1900000000000002E-2</v>
      </c>
      <c r="AF4" s="25">
        <v>2.4743584764705902</v>
      </c>
      <c r="AG4" s="47">
        <v>0.80817276934014004</v>
      </c>
      <c r="AH4" s="44">
        <v>4.3799999999999999E-2</v>
      </c>
      <c r="AI4" s="25">
        <v>2.4946840743902499</v>
      </c>
      <c r="AJ4" s="47">
        <v>0.80166910752409404</v>
      </c>
      <c r="AK4" s="44">
        <v>4.2599999999999999E-2</v>
      </c>
      <c r="AL4" s="47">
        <v>2.49995552888186</v>
      </c>
      <c r="AM4" s="47">
        <v>0.80001390939912198</v>
      </c>
      <c r="AN4" s="44">
        <v>4.2299999999999997E-2</v>
      </c>
      <c r="AO4" s="47">
        <v>2.49999956322142</v>
      </c>
      <c r="AP4" s="47">
        <v>0.80000013660848901</v>
      </c>
      <c r="AQ4" s="47">
        <v>4.2302788203004198E-2</v>
      </c>
      <c r="AR4" s="25">
        <v>2.4999999956400698</v>
      </c>
      <c r="AS4" s="47">
        <v>0.80000000136362803</v>
      </c>
      <c r="AT4" s="44">
        <v>4.2302764451029498E-2</v>
      </c>
      <c r="AU4" s="47">
        <v>2.49999999995641</v>
      </c>
      <c r="AV4" s="47">
        <v>0.80000000001363503</v>
      </c>
      <c r="AW4" s="47">
        <v>4.2302764213941198E-2</v>
      </c>
      <c r="AX4" s="25">
        <v>2.5</v>
      </c>
      <c r="AY4" s="47">
        <v>0.8</v>
      </c>
      <c r="AZ4" s="44">
        <v>4.2302764211546599E-2</v>
      </c>
    </row>
    <row r="5" spans="1:71" ht="15.75" thickBot="1" x14ac:dyDescent="0.3">
      <c r="A5" s="2">
        <v>0.41</v>
      </c>
      <c r="B5" s="25">
        <v>2.0649524000000001</v>
      </c>
      <c r="C5" s="47">
        <v>1</v>
      </c>
      <c r="D5" s="44">
        <v>0.21282959816008701</v>
      </c>
      <c r="E5" s="47">
        <v>2.0649524000435102</v>
      </c>
      <c r="F5" s="47">
        <v>0.99999999997068401</v>
      </c>
      <c r="G5" s="47">
        <v>0.21279999999999999</v>
      </c>
      <c r="H5" s="25">
        <v>2.0649524043513501</v>
      </c>
      <c r="I5" s="47">
        <v>0.99999999706791298</v>
      </c>
      <c r="J5" s="44">
        <v>0.21279999999999999</v>
      </c>
      <c r="K5" s="47">
        <v>2.0649528359185698</v>
      </c>
      <c r="L5" s="47">
        <v>0.99999970626323398</v>
      </c>
      <c r="M5" s="47">
        <v>0.21240000000000001</v>
      </c>
      <c r="N5" s="25">
        <v>2.0649967835543799</v>
      </c>
      <c r="O5" s="47">
        <v>0.99997009425750905</v>
      </c>
      <c r="P5" s="44">
        <v>0.2084</v>
      </c>
      <c r="Q5" s="25">
        <v>2.0725514847161599</v>
      </c>
      <c r="R5" s="47">
        <v>0.99492079690411495</v>
      </c>
      <c r="S5" s="44">
        <v>0.16309999999999999</v>
      </c>
      <c r="T5" s="25">
        <v>2.0905434352941201</v>
      </c>
      <c r="U5" s="47">
        <v>0.98321572133371804</v>
      </c>
      <c r="V5" s="44">
        <v>0.13220000000000001</v>
      </c>
      <c r="W5" s="25">
        <v>2.1988132</v>
      </c>
      <c r="X5" s="47">
        <v>0.92110609971298696</v>
      </c>
      <c r="Y5" s="44">
        <v>7.7299999999999994E-2</v>
      </c>
      <c r="Z5" s="25">
        <v>2.2824762000000001</v>
      </c>
      <c r="AA5" s="47">
        <v>0.88111122105168005</v>
      </c>
      <c r="AB5" s="44">
        <v>6.1499999999999999E-2</v>
      </c>
      <c r="AC5" s="25">
        <v>2.3661392000000001</v>
      </c>
      <c r="AD5" s="47">
        <v>0.846533945959417</v>
      </c>
      <c r="AE5" s="44">
        <v>5.1900000000000002E-2</v>
      </c>
      <c r="AF5" s="25">
        <v>2.47440896470588</v>
      </c>
      <c r="AG5" s="47">
        <v>0.80817928959607099</v>
      </c>
      <c r="AH5" s="44">
        <v>4.3799999999999999E-2</v>
      </c>
      <c r="AI5" s="25">
        <v>2.4946945414634198</v>
      </c>
      <c r="AJ5" s="47">
        <v>0.80167048432636001</v>
      </c>
      <c r="AK5" s="44">
        <v>4.2599999999999999E-2</v>
      </c>
      <c r="AL5" s="47">
        <v>2.4999556164456198</v>
      </c>
      <c r="AM5" s="47">
        <v>0.80001392096844703</v>
      </c>
      <c r="AN5" s="44">
        <v>4.2299999999999997E-2</v>
      </c>
      <c r="AO5" s="47">
        <v>2.4999995640814401</v>
      </c>
      <c r="AP5" s="47">
        <v>0.800000136722123</v>
      </c>
      <c r="AQ5" s="47">
        <v>4.2302788226087101E-2</v>
      </c>
      <c r="AR5" s="25">
        <v>2.4999999956486501</v>
      </c>
      <c r="AS5" s="47">
        <v>0.80000000136476201</v>
      </c>
      <c r="AT5" s="44">
        <v>4.2302764451259897E-2</v>
      </c>
      <c r="AU5" s="47">
        <v>2.4999999999564899</v>
      </c>
      <c r="AV5" s="47">
        <v>0.80000000001364602</v>
      </c>
      <c r="AW5" s="47">
        <v>4.2302764213943501E-2</v>
      </c>
      <c r="AX5" s="25">
        <v>2.5</v>
      </c>
      <c r="AY5" s="47">
        <v>0.8</v>
      </c>
      <c r="AZ5" s="44">
        <v>4.2302764211546599E-2</v>
      </c>
      <c r="BR5" s="35" t="s">
        <v>112</v>
      </c>
      <c r="BS5" s="34" t="s">
        <v>113</v>
      </c>
    </row>
    <row r="6" spans="1:71" x14ac:dyDescent="0.25">
      <c r="A6" s="2">
        <v>0.42</v>
      </c>
      <c r="B6" s="25">
        <v>2.0675995</v>
      </c>
      <c r="C6" s="47">
        <v>1</v>
      </c>
      <c r="D6" s="44">
        <v>0.21286788448722599</v>
      </c>
      <c r="E6" s="47">
        <v>2.0675995000432401</v>
      </c>
      <c r="F6" s="47">
        <v>0.99999999997075995</v>
      </c>
      <c r="G6" s="47">
        <v>0.21290000000000001</v>
      </c>
      <c r="H6" s="25">
        <v>2.0675995043248698</v>
      </c>
      <c r="I6" s="47">
        <v>0.99999999707541598</v>
      </c>
      <c r="J6" s="44">
        <v>0.21279999999999999</v>
      </c>
      <c r="K6" s="47">
        <v>2.0675999332661701</v>
      </c>
      <c r="L6" s="47">
        <v>0.99999970701487995</v>
      </c>
      <c r="M6" s="47">
        <v>0.21240000000000001</v>
      </c>
      <c r="N6" s="25">
        <v>2.0676436134972498</v>
      </c>
      <c r="O6" s="47">
        <v>0.99997017077234196</v>
      </c>
      <c r="P6" s="44">
        <v>0.20849999999999999</v>
      </c>
      <c r="Q6" s="25">
        <v>2.0751523471615698</v>
      </c>
      <c r="R6" s="47">
        <v>0.99493346489706602</v>
      </c>
      <c r="S6" s="44">
        <v>0.16320000000000001</v>
      </c>
      <c r="T6" s="25">
        <v>2.0930348235294098</v>
      </c>
      <c r="U6" s="47">
        <v>0.98325507493886999</v>
      </c>
      <c r="V6" s="44">
        <v>0.1323</v>
      </c>
      <c r="W6" s="25">
        <v>2.2006458076923101</v>
      </c>
      <c r="X6" s="47">
        <v>0.92122846940887404</v>
      </c>
      <c r="Y6" s="44">
        <v>7.7399999999999997E-2</v>
      </c>
      <c r="Z6" s="25">
        <v>2.28379975</v>
      </c>
      <c r="AA6" s="47">
        <v>0.88123478983193604</v>
      </c>
      <c r="AB6" s="44">
        <v>6.1600000000000002E-2</v>
      </c>
      <c r="AC6" s="25">
        <v>2.3669536923076899</v>
      </c>
      <c r="AD6" s="47">
        <v>0.84662549665101305</v>
      </c>
      <c r="AE6" s="44">
        <v>5.1900000000000002E-2</v>
      </c>
      <c r="AF6" s="25">
        <v>2.4745646764705902</v>
      </c>
      <c r="AG6" s="47">
        <v>0.80819941312283405</v>
      </c>
      <c r="AH6" s="44">
        <v>4.3799999999999999E-2</v>
      </c>
      <c r="AI6" s="25">
        <v>2.4947268231707298</v>
      </c>
      <c r="AJ6" s="47">
        <v>0.80167473403376199</v>
      </c>
      <c r="AK6" s="44">
        <v>4.2599999999999999E-2</v>
      </c>
      <c r="AL6" s="47">
        <v>2.4999558865027498</v>
      </c>
      <c r="AM6" s="47">
        <v>0.80001395667991704</v>
      </c>
      <c r="AN6" s="44">
        <v>4.2299999999999997E-2</v>
      </c>
      <c r="AO6" s="47">
        <v>2.4999995667338402</v>
      </c>
      <c r="AP6" s="47">
        <v>0.80000013707287998</v>
      </c>
      <c r="AQ6" s="47">
        <v>4.2302788320750198E-2</v>
      </c>
      <c r="AR6" s="25">
        <v>2.4999999956751302</v>
      </c>
      <c r="AS6" s="47">
        <v>0.80000000136826299</v>
      </c>
      <c r="AT6" s="44">
        <v>4.2302764452204898E-2</v>
      </c>
      <c r="AU6" s="47">
        <v>2.4999999999567599</v>
      </c>
      <c r="AV6" s="47">
        <v>0.80000000001368099</v>
      </c>
      <c r="AW6" s="47">
        <v>4.2302764213952897E-2</v>
      </c>
      <c r="AX6" s="25">
        <v>2.5</v>
      </c>
      <c r="AY6" s="47">
        <v>0.8</v>
      </c>
      <c r="AZ6" s="44">
        <v>4.2302764211546599E-2</v>
      </c>
      <c r="BR6" s="83">
        <v>1.2999999999999999E-3</v>
      </c>
      <c r="BS6">
        <f>AVERAGE(Table5[Amix2])</f>
        <v>0.21163657930319699</v>
      </c>
    </row>
    <row r="7" spans="1:71" x14ac:dyDescent="0.25">
      <c r="A7" s="2">
        <v>0.43</v>
      </c>
      <c r="B7" s="25">
        <v>2.0678839999999998</v>
      </c>
      <c r="C7" s="47">
        <v>1</v>
      </c>
      <c r="D7" s="44">
        <v>0.212841845855925</v>
      </c>
      <c r="E7" s="47">
        <v>2.0678840000432102</v>
      </c>
      <c r="F7" s="47">
        <v>0.99999999997076805</v>
      </c>
      <c r="G7" s="47">
        <v>0.21279999999999999</v>
      </c>
      <c r="H7" s="25">
        <v>2.0678840043220199</v>
      </c>
      <c r="I7" s="47">
        <v>0.999999997076221</v>
      </c>
      <c r="J7" s="44">
        <v>0.21279999999999999</v>
      </c>
      <c r="K7" s="47">
        <v>2.0678844329811001</v>
      </c>
      <c r="L7" s="47">
        <v>0.99999970709549302</v>
      </c>
      <c r="M7" s="47">
        <v>0.21240000000000001</v>
      </c>
      <c r="N7" s="25">
        <v>2.0679280844725598</v>
      </c>
      <c r="O7" s="47">
        <v>0.99997017897838003</v>
      </c>
      <c r="P7" s="44">
        <v>0.2084</v>
      </c>
      <c r="Q7" s="25">
        <v>2.07543187772926</v>
      </c>
      <c r="R7" s="47">
        <v>0.99493482360686303</v>
      </c>
      <c r="S7" s="44">
        <v>0.16320000000000001</v>
      </c>
      <c r="T7" s="25">
        <v>2.0933025882352898</v>
      </c>
      <c r="U7" s="47">
        <v>0.98325929652296495</v>
      </c>
      <c r="V7" s="44">
        <v>0.1323</v>
      </c>
      <c r="W7" s="25">
        <v>2.2008427692307699</v>
      </c>
      <c r="X7" s="47">
        <v>0.92124160795146803</v>
      </c>
      <c r="Y7" s="44">
        <v>7.7399999999999997E-2</v>
      </c>
      <c r="Z7" s="25">
        <v>2.2839420000000001</v>
      </c>
      <c r="AA7" s="47">
        <v>0.88124806464725902</v>
      </c>
      <c r="AB7" s="44">
        <v>6.1600000000000002E-2</v>
      </c>
      <c r="AC7" s="25">
        <v>2.3670412307692299</v>
      </c>
      <c r="AD7" s="47">
        <v>0.84663533663761503</v>
      </c>
      <c r="AE7" s="44">
        <v>5.1900000000000002E-2</v>
      </c>
      <c r="AF7" s="25">
        <v>2.47458141176471</v>
      </c>
      <c r="AG7" s="47">
        <v>0.80820157720392705</v>
      </c>
      <c r="AH7" s="44">
        <v>4.3799999999999999E-2</v>
      </c>
      <c r="AI7" s="25">
        <v>2.49473029268293</v>
      </c>
      <c r="AJ7" s="47">
        <v>0.80167519108892704</v>
      </c>
      <c r="AK7" s="44">
        <v>4.2599999999999999E-2</v>
      </c>
      <c r="AL7" s="47">
        <v>2.49995591552744</v>
      </c>
      <c r="AM7" s="47">
        <v>0.80001396052076901</v>
      </c>
      <c r="AN7" s="44">
        <v>4.2299999999999997E-2</v>
      </c>
      <c r="AO7" s="47">
        <v>2.4999995670189099</v>
      </c>
      <c r="AP7" s="47">
        <v>0.80000013711060503</v>
      </c>
      <c r="AQ7" s="47">
        <v>4.2302788304900002E-2</v>
      </c>
      <c r="AR7" s="25">
        <v>2.4999999956779799</v>
      </c>
      <c r="AS7" s="47">
        <v>0.80000000136864002</v>
      </c>
      <c r="AT7" s="44">
        <v>4.2302764452046698E-2</v>
      </c>
      <c r="AU7" s="47">
        <v>2.4999999999567901</v>
      </c>
      <c r="AV7" s="47">
        <v>0.80000000001368499</v>
      </c>
      <c r="AW7" s="47">
        <v>4.2302764213951398E-2</v>
      </c>
      <c r="AX7" s="25">
        <v>2.5</v>
      </c>
      <c r="AY7" s="47">
        <v>0.8</v>
      </c>
      <c r="AZ7" s="44">
        <v>4.2302764211546599E-2</v>
      </c>
      <c r="BR7">
        <v>1.6900000000000001E-3</v>
      </c>
      <c r="BS7">
        <f>AVERAGE(Table5[Amix3])</f>
        <v>0.21153309669686005</v>
      </c>
    </row>
    <row r="8" spans="1:71" x14ac:dyDescent="0.25">
      <c r="A8" s="2">
        <v>0.44</v>
      </c>
      <c r="B8" s="25">
        <v>2.0669558000000001</v>
      </c>
      <c r="C8" s="47">
        <v>1</v>
      </c>
      <c r="D8" s="44">
        <v>0.21282925880501799</v>
      </c>
      <c r="E8" s="47">
        <v>2.0669558000433099</v>
      </c>
      <c r="F8" s="47">
        <v>0.99999999997074196</v>
      </c>
      <c r="G8" s="47">
        <v>0.21279999999999999</v>
      </c>
      <c r="H8" s="25">
        <v>2.0669558043313101</v>
      </c>
      <c r="I8" s="47">
        <v>0.99999999707359499</v>
      </c>
      <c r="J8" s="44">
        <v>0.21279999999999999</v>
      </c>
      <c r="K8" s="47">
        <v>2.06695623391116</v>
      </c>
      <c r="L8" s="47">
        <v>0.99999970683236805</v>
      </c>
      <c r="M8" s="47">
        <v>0.21240000000000001</v>
      </c>
      <c r="N8" s="25">
        <v>2.06699997916752</v>
      </c>
      <c r="O8" s="47">
        <v>0.99997015219313801</v>
      </c>
      <c r="P8" s="44">
        <v>0.2084</v>
      </c>
      <c r="Q8" s="25">
        <v>2.07451989082969</v>
      </c>
      <c r="R8" s="47">
        <v>0.99493038872557005</v>
      </c>
      <c r="S8" s="44">
        <v>0.16309999999999999</v>
      </c>
      <c r="T8" s="25">
        <v>2.09242898823529</v>
      </c>
      <c r="U8" s="47">
        <v>0.98324551761050605</v>
      </c>
      <c r="V8" s="44">
        <v>0.13220000000000001</v>
      </c>
      <c r="W8" s="25">
        <v>2.20020016923077</v>
      </c>
      <c r="X8" s="47">
        <v>0.92119873308328204</v>
      </c>
      <c r="Y8" s="44">
        <v>7.7399999999999997E-2</v>
      </c>
      <c r="Z8" s="25">
        <v>2.2834778999999998</v>
      </c>
      <c r="AA8" s="47">
        <v>0.881204750476001</v>
      </c>
      <c r="AB8" s="44">
        <v>6.1600000000000002E-2</v>
      </c>
      <c r="AC8" s="25">
        <v>2.3667556307692301</v>
      </c>
      <c r="AD8" s="47">
        <v>0.84660323337052401</v>
      </c>
      <c r="AE8" s="44">
        <v>5.1900000000000002E-2</v>
      </c>
      <c r="AF8" s="25">
        <v>2.4745268117647101</v>
      </c>
      <c r="AG8" s="47">
        <v>0.80819451766553696</v>
      </c>
      <c r="AH8" s="44">
        <v>4.3799999999999999E-2</v>
      </c>
      <c r="AI8" s="25">
        <v>2.49471897317073</v>
      </c>
      <c r="AJ8" s="47">
        <v>0.80167370014066197</v>
      </c>
      <c r="AK8" s="44">
        <v>4.2599999999999999E-2</v>
      </c>
      <c r="AL8" s="47">
        <v>2.4999558208324801</v>
      </c>
      <c r="AM8" s="47">
        <v>0.80001394799168701</v>
      </c>
      <c r="AN8" s="44">
        <v>4.2299999999999997E-2</v>
      </c>
      <c r="AO8" s="47">
        <v>2.4999995660888499</v>
      </c>
      <c r="AP8" s="47">
        <v>0.80000013698754502</v>
      </c>
      <c r="AQ8" s="47">
        <v>4.23027882724143E-2</v>
      </c>
      <c r="AR8" s="25">
        <v>2.49999999566869</v>
      </c>
      <c r="AS8" s="47">
        <v>0.80000000136741201</v>
      </c>
      <c r="AT8" s="44">
        <v>4.2302764451722402E-2</v>
      </c>
      <c r="AU8" s="47">
        <v>2.4999999999566902</v>
      </c>
      <c r="AV8" s="47">
        <v>0.800000000013672</v>
      </c>
      <c r="AW8" s="47">
        <v>4.2302764213948102E-2</v>
      </c>
      <c r="AX8" s="25">
        <v>2.5</v>
      </c>
      <c r="AY8" s="47">
        <v>0.8</v>
      </c>
      <c r="AZ8" s="44">
        <v>4.2302764211546599E-2</v>
      </c>
      <c r="BR8">
        <v>2.0200000000000001E-3</v>
      </c>
      <c r="BS8">
        <f>AVERAGE(Table5[Amix4])</f>
        <v>0.21143850597577765</v>
      </c>
    </row>
    <row r="9" spans="1:71" x14ac:dyDescent="0.25">
      <c r="A9" s="2">
        <v>0.45</v>
      </c>
      <c r="B9" s="25">
        <v>2.070713</v>
      </c>
      <c r="C9" s="47">
        <v>1</v>
      </c>
      <c r="D9" s="44">
        <v>0.21287349779537201</v>
      </c>
      <c r="E9" s="47">
        <v>2.0707130000429301</v>
      </c>
      <c r="F9" s="47">
        <v>0.99999999997084699</v>
      </c>
      <c r="G9" s="47">
        <v>0.21290000000000001</v>
      </c>
      <c r="H9" s="25">
        <v>2.0707130042937298</v>
      </c>
      <c r="I9" s="47">
        <v>0.99999999708420495</v>
      </c>
      <c r="J9" s="44">
        <v>0.21279999999999999</v>
      </c>
      <c r="K9" s="47">
        <v>2.0707134301464398</v>
      </c>
      <c r="L9" s="47">
        <v>0.99999970789527504</v>
      </c>
      <c r="M9" s="47">
        <v>0.21240000000000001</v>
      </c>
      <c r="N9" s="25">
        <v>2.07075679585799</v>
      </c>
      <c r="O9" s="47">
        <v>0.99997026039333703</v>
      </c>
      <c r="P9" s="44">
        <v>0.20849999999999999</v>
      </c>
      <c r="Q9" s="25">
        <v>2.0782114628820998</v>
      </c>
      <c r="R9" s="47">
        <v>0.99494830486137198</v>
      </c>
      <c r="S9" s="44">
        <v>0.1633</v>
      </c>
      <c r="T9" s="25">
        <v>2.0959651764705902</v>
      </c>
      <c r="U9" s="47">
        <v>0.98330119085406897</v>
      </c>
      <c r="V9" s="44">
        <v>0.13239999999999999</v>
      </c>
      <c r="W9" s="25">
        <v>2.2028013076923099</v>
      </c>
      <c r="X9" s="47">
        <v>0.92137211441733302</v>
      </c>
      <c r="Y9" s="44">
        <v>7.7499999999999999E-2</v>
      </c>
      <c r="Z9" s="25">
        <v>2.2853564999999998</v>
      </c>
      <c r="AA9" s="47">
        <v>0.88138000409866601</v>
      </c>
      <c r="AB9" s="44">
        <v>6.1600000000000002E-2</v>
      </c>
      <c r="AC9" s="25">
        <v>2.3679116923076902</v>
      </c>
      <c r="AD9" s="47">
        <v>0.84673318802429998</v>
      </c>
      <c r="AE9" s="44">
        <v>5.1999999999999998E-2</v>
      </c>
      <c r="AF9" s="25">
        <v>2.4747478235294098</v>
      </c>
      <c r="AG9" s="47">
        <v>0.80822310984958901</v>
      </c>
      <c r="AH9" s="44">
        <v>4.3799999999999999E-2</v>
      </c>
      <c r="AI9" s="25">
        <v>2.4947647926829299</v>
      </c>
      <c r="AJ9" s="47">
        <v>0.80167973924315805</v>
      </c>
      <c r="AK9" s="44">
        <v>4.2599999999999999E-2</v>
      </c>
      <c r="AL9" s="47">
        <v>2.49995620414201</v>
      </c>
      <c r="AM9" s="47">
        <v>0.80001399874202495</v>
      </c>
      <c r="AN9" s="44">
        <v>4.2299999999999997E-2</v>
      </c>
      <c r="AO9" s="47">
        <v>2.49999956985357</v>
      </c>
      <c r="AP9" s="47">
        <v>0.80000013748601395</v>
      </c>
      <c r="AQ9" s="47">
        <v>4.2302788398274699E-2</v>
      </c>
      <c r="AR9" s="25">
        <v>2.4999999957062702</v>
      </c>
      <c r="AS9" s="47">
        <v>0.80000000137238703</v>
      </c>
      <c r="AT9" s="44">
        <v>4.2302764452978703E-2</v>
      </c>
      <c r="AU9" s="47">
        <v>2.4999999999570699</v>
      </c>
      <c r="AV9" s="47">
        <v>0.80000000001372196</v>
      </c>
      <c r="AW9" s="47">
        <v>4.2302764213960599E-2</v>
      </c>
      <c r="AX9" s="25">
        <v>2.5</v>
      </c>
      <c r="AY9" s="47">
        <v>0.8</v>
      </c>
      <c r="AZ9" s="44">
        <v>4.2302764211546599E-2</v>
      </c>
      <c r="BR9">
        <v>2.33E-3</v>
      </c>
      <c r="BS9">
        <f>AVERAGE(Table5[Amix5])</f>
        <v>0.2113448141200481</v>
      </c>
    </row>
    <row r="10" spans="1:71" x14ac:dyDescent="0.25">
      <c r="A10" s="2">
        <v>0.46</v>
      </c>
      <c r="B10" s="25">
        <v>2.0770862000000001</v>
      </c>
      <c r="C10" s="47">
        <v>1</v>
      </c>
      <c r="D10" s="44">
        <v>0.213030203550509</v>
      </c>
      <c r="E10" s="47">
        <v>2.0770862000422898</v>
      </c>
      <c r="F10" s="47">
        <v>0.99999999997102595</v>
      </c>
      <c r="G10" s="47">
        <v>0.21299999999999999</v>
      </c>
      <c r="H10" s="25">
        <v>2.07708620422998</v>
      </c>
      <c r="I10" s="47">
        <v>0.99999999710206999</v>
      </c>
      <c r="J10" s="44">
        <v>0.21299999999999999</v>
      </c>
      <c r="K10" s="47">
        <v>2.0770866237604801</v>
      </c>
      <c r="L10" s="47">
        <v>0.99999970968507301</v>
      </c>
      <c r="M10" s="47">
        <v>0.21260000000000001</v>
      </c>
      <c r="N10" s="25">
        <v>2.07712934566415</v>
      </c>
      <c r="O10" s="47">
        <v>0.99997044258867596</v>
      </c>
      <c r="P10" s="44">
        <v>0.2087</v>
      </c>
      <c r="Q10" s="25">
        <v>2.0844733406113498</v>
      </c>
      <c r="R10" s="47">
        <v>0.99497848074877004</v>
      </c>
      <c r="S10" s="44">
        <v>0.16350000000000001</v>
      </c>
      <c r="T10" s="25">
        <v>2.1019634823529398</v>
      </c>
      <c r="U10" s="47">
        <v>0.983395013842009</v>
      </c>
      <c r="V10" s="44">
        <v>0.13270000000000001</v>
      </c>
      <c r="W10" s="25">
        <v>2.2072135230769199</v>
      </c>
      <c r="X10" s="47">
        <v>0.92166518968427602</v>
      </c>
      <c r="Y10" s="44">
        <v>7.7700000000000005E-2</v>
      </c>
      <c r="Z10" s="25">
        <v>2.2885431000000001</v>
      </c>
      <c r="AA10" s="47">
        <v>0.88167682397588898</v>
      </c>
      <c r="AB10" s="44">
        <v>6.1800000000000001E-2</v>
      </c>
      <c r="AC10" s="25">
        <v>2.3698726769230798</v>
      </c>
      <c r="AD10" s="47">
        <v>0.84695366021193397</v>
      </c>
      <c r="AE10" s="44">
        <v>5.21E-2</v>
      </c>
      <c r="AF10" s="25">
        <v>2.4751227176470598</v>
      </c>
      <c r="AG10" s="47">
        <v>0.80827170889607902</v>
      </c>
      <c r="AH10" s="44">
        <v>4.3799999999999999E-2</v>
      </c>
      <c r="AI10" s="25">
        <v>2.4948425146341502</v>
      </c>
      <c r="AJ10" s="47">
        <v>0.80169000738648699</v>
      </c>
      <c r="AK10" s="44">
        <v>4.2599999999999999E-2</v>
      </c>
      <c r="AL10" s="47">
        <v>2.4999568543358501</v>
      </c>
      <c r="AM10" s="47">
        <v>0.800014085038663</v>
      </c>
      <c r="AN10" s="44">
        <v>4.2299999999999997E-2</v>
      </c>
      <c r="AO10" s="47">
        <v>2.4999995762395302</v>
      </c>
      <c r="AP10" s="47">
        <v>0.80000013833362005</v>
      </c>
      <c r="AQ10" s="47">
        <v>4.2302788683813999E-2</v>
      </c>
      <c r="AR10" s="25">
        <v>2.4999999957700201</v>
      </c>
      <c r="AS10" s="47">
        <v>0.80000000138084804</v>
      </c>
      <c r="AT10" s="44">
        <v>4.2302764455828999E-2</v>
      </c>
      <c r="AU10" s="47">
        <v>2.4999999999577098</v>
      </c>
      <c r="AV10" s="47">
        <v>0.800000000013807</v>
      </c>
      <c r="AW10" s="47">
        <v>4.2302764213989201E-2</v>
      </c>
      <c r="AX10" s="25">
        <v>2.5</v>
      </c>
      <c r="AY10" s="47">
        <v>0.8</v>
      </c>
      <c r="AZ10" s="44">
        <v>4.2302764211546599E-2</v>
      </c>
      <c r="BR10">
        <v>2.81E-3</v>
      </c>
      <c r="BS10">
        <f>AVERAGE(Table5[Amix6])</f>
        <v>0.21119211963053522</v>
      </c>
    </row>
    <row r="11" spans="1:71" x14ac:dyDescent="0.25">
      <c r="A11" s="2">
        <v>0.47</v>
      </c>
      <c r="B11" s="25">
        <v>2.0744126000000001</v>
      </c>
      <c r="C11" s="47">
        <v>0.99999990000000005</v>
      </c>
      <c r="D11" s="44">
        <v>0.212661001929772</v>
      </c>
      <c r="E11" s="47">
        <v>2.0744126000425598</v>
      </c>
      <c r="F11" s="47">
        <v>0.99999989997095196</v>
      </c>
      <c r="G11" s="47">
        <v>0.2127</v>
      </c>
      <c r="H11" s="25">
        <v>2.0744126042567199</v>
      </c>
      <c r="I11" s="47">
        <v>0.99999989709459802</v>
      </c>
      <c r="J11" s="44">
        <v>0.2127</v>
      </c>
      <c r="K11" s="47">
        <v>2.07441302643943</v>
      </c>
      <c r="L11" s="47">
        <v>0.99999960893639495</v>
      </c>
      <c r="M11" s="47">
        <v>0.21240000000000001</v>
      </c>
      <c r="N11" s="25">
        <v>2.0744560184248102</v>
      </c>
      <c r="O11" s="47">
        <v>0.99997026637574105</v>
      </c>
      <c r="P11" s="44">
        <v>0.20849999999999999</v>
      </c>
      <c r="Q11" s="25">
        <v>2.08184644104804</v>
      </c>
      <c r="R11" s="47">
        <v>0.99496575700492296</v>
      </c>
      <c r="S11" s="44">
        <v>0.16339999999999999</v>
      </c>
      <c r="T11" s="25">
        <v>2.0994471529411798</v>
      </c>
      <c r="U11" s="47">
        <v>0.98335565639421596</v>
      </c>
      <c r="V11" s="44">
        <v>0.13250000000000001</v>
      </c>
      <c r="W11" s="25">
        <v>2.2053625692307701</v>
      </c>
      <c r="X11" s="47">
        <v>0.921542338722801</v>
      </c>
      <c r="Y11" s="44">
        <v>7.7600000000000002E-2</v>
      </c>
      <c r="Z11" s="25">
        <v>2.2872062999999998</v>
      </c>
      <c r="AA11" s="47">
        <v>0.88155233531824095</v>
      </c>
      <c r="AB11" s="44">
        <v>6.1699999999999998E-2</v>
      </c>
      <c r="AC11" s="25">
        <v>2.3690500307692299</v>
      </c>
      <c r="AD11" s="47">
        <v>0.84686114202699703</v>
      </c>
      <c r="AE11" s="44">
        <v>5.1999999999999998E-2</v>
      </c>
      <c r="AF11" s="25">
        <v>2.4749654470588198</v>
      </c>
      <c r="AG11" s="47">
        <v>0.80825130196116801</v>
      </c>
      <c r="AH11" s="44">
        <v>4.3799999999999999E-2</v>
      </c>
      <c r="AI11" s="25">
        <v>2.4948099097560998</v>
      </c>
      <c r="AJ11" s="47">
        <v>0.80168569527628497</v>
      </c>
      <c r="AK11" s="44">
        <v>4.2599999999999999E-2</v>
      </c>
      <c r="AL11" s="47">
        <v>2.4999565815751899</v>
      </c>
      <c r="AM11" s="47">
        <v>0.80001404879734095</v>
      </c>
      <c r="AN11" s="44">
        <v>4.2299999999999997E-2</v>
      </c>
      <c r="AO11" s="47">
        <v>2.4999995735605798</v>
      </c>
      <c r="AP11" s="47">
        <v>0.80000013797765701</v>
      </c>
      <c r="AQ11" s="47">
        <v>4.2302788523915398E-2</v>
      </c>
      <c r="AR11" s="25">
        <v>2.4999999957432801</v>
      </c>
      <c r="AS11" s="47">
        <v>0.80000000137729499</v>
      </c>
      <c r="AT11" s="44">
        <v>4.2302764454232901E-2</v>
      </c>
      <c r="AU11" s="47">
        <v>2.4999999999574398</v>
      </c>
      <c r="AV11" s="47">
        <v>0.80000000001377103</v>
      </c>
      <c r="AW11" s="47">
        <v>4.23027642139732E-2</v>
      </c>
      <c r="AX11" s="25">
        <v>2.5</v>
      </c>
      <c r="AY11" s="47">
        <v>0.8</v>
      </c>
      <c r="AZ11" s="44">
        <v>4.2302764211546599E-2</v>
      </c>
      <c r="BR11">
        <v>2.8900000000000002E-3</v>
      </c>
      <c r="BS11">
        <f>AVERAGE(Table5[Amix7])</f>
        <v>0.21116589013705531</v>
      </c>
    </row>
    <row r="12" spans="1:71" s="103" customFormat="1" x14ac:dyDescent="0.25">
      <c r="A12" s="104">
        <v>0.48</v>
      </c>
      <c r="B12" s="101">
        <v>2.0742712000000001</v>
      </c>
      <c r="C12" s="100">
        <v>0.99999990000000005</v>
      </c>
      <c r="D12" s="102">
        <v>0.21263007853103599</v>
      </c>
      <c r="E12" s="100">
        <v>2.0742712000425798</v>
      </c>
      <c r="F12" s="100">
        <v>0.99999989997094596</v>
      </c>
      <c r="G12" s="100">
        <v>0.21260000000000001</v>
      </c>
      <c r="H12" s="101">
        <v>2.0742712042581402</v>
      </c>
      <c r="I12" s="100">
        <v>0.99999989709420301</v>
      </c>
      <c r="J12" s="102">
        <v>0.21260000000000001</v>
      </c>
      <c r="K12" s="100">
        <v>2.0742716265811101</v>
      </c>
      <c r="L12" s="100">
        <v>0.99999960889671102</v>
      </c>
      <c r="M12" s="100">
        <v>0.21240000000000001</v>
      </c>
      <c r="N12" s="101">
        <v>2.0743146328504398</v>
      </c>
      <c r="O12" s="100">
        <v>0.99997026233604203</v>
      </c>
      <c r="P12" s="102">
        <v>0.20849999999999999</v>
      </c>
      <c r="Q12" s="101">
        <v>2.0817075109170302</v>
      </c>
      <c r="R12" s="100">
        <v>0.99496508791992999</v>
      </c>
      <c r="S12" s="102">
        <v>0.16339999999999999</v>
      </c>
      <c r="T12" s="101">
        <v>2.0993140705882398</v>
      </c>
      <c r="U12" s="100">
        <v>0.98335357596789497</v>
      </c>
      <c r="V12" s="102">
        <v>0.13250000000000001</v>
      </c>
      <c r="W12" s="101">
        <v>2.2052646769230702</v>
      </c>
      <c r="X12" s="100">
        <v>0.92153583835310204</v>
      </c>
      <c r="Y12" s="102">
        <v>7.7600000000000002E-2</v>
      </c>
      <c r="Z12" s="101">
        <v>2.2871356</v>
      </c>
      <c r="AA12" s="100">
        <v>0.88154575076425201</v>
      </c>
      <c r="AB12" s="102">
        <v>6.1699999999999998E-2</v>
      </c>
      <c r="AC12" s="101">
        <v>2.3690065230769202</v>
      </c>
      <c r="AD12" s="100">
        <v>0.846856250420152</v>
      </c>
      <c r="AE12" s="102">
        <v>5.1999999999999998E-2</v>
      </c>
      <c r="AF12" s="101">
        <v>2.47495712941177</v>
      </c>
      <c r="AG12" s="100">
        <v>0.808250223519142</v>
      </c>
      <c r="AH12" s="102">
        <v>4.3799999999999999E-2</v>
      </c>
      <c r="AI12" s="101">
        <v>2.4948081853658599</v>
      </c>
      <c r="AJ12" s="100">
        <v>0.80168546741367097</v>
      </c>
      <c r="AK12" s="102">
        <v>4.2599999999999999E-2</v>
      </c>
      <c r="AL12" s="100">
        <v>2.4999565671495598</v>
      </c>
      <c r="AM12" s="100">
        <v>0.80001404688230005</v>
      </c>
      <c r="AN12" s="102">
        <v>4.2299999999999997E-2</v>
      </c>
      <c r="AO12" s="100">
        <v>2.49999957341889</v>
      </c>
      <c r="AP12" s="100">
        <v>0.80000013795884695</v>
      </c>
      <c r="AQ12" s="100">
        <v>4.2302788493742298E-2</v>
      </c>
      <c r="AR12" s="101">
        <v>2.4999999957418599</v>
      </c>
      <c r="AS12" s="100">
        <v>0.80000000137710703</v>
      </c>
      <c r="AT12" s="102">
        <v>4.2302764453931697E-2</v>
      </c>
      <c r="AU12" s="100">
        <v>2.4999999999574198</v>
      </c>
      <c r="AV12" s="100">
        <v>0.80000000001377003</v>
      </c>
      <c r="AW12" s="100">
        <v>4.2302764213970202E-2</v>
      </c>
      <c r="AX12" s="101">
        <v>2.5</v>
      </c>
      <c r="AY12" s="100">
        <v>0.8</v>
      </c>
      <c r="AZ12" s="102">
        <v>4.2302764211546599E-2</v>
      </c>
      <c r="BR12" s="105">
        <v>5.7000000000000002E-3</v>
      </c>
      <c r="BS12" s="103">
        <f>AVERAGE(Table5[Amix1])</f>
        <v>0.21136230109621051</v>
      </c>
    </row>
    <row r="13" spans="1:71" x14ac:dyDescent="0.25">
      <c r="A13" s="2">
        <v>0.49</v>
      </c>
      <c r="B13" s="25">
        <v>2.0792742</v>
      </c>
      <c r="C13" s="47">
        <v>1</v>
      </c>
      <c r="D13" s="44">
        <v>0.21298906684242899</v>
      </c>
      <c r="E13" s="47">
        <v>2.0792742000420699</v>
      </c>
      <c r="F13" s="47">
        <v>0.99999999997108802</v>
      </c>
      <c r="G13" s="47">
        <v>0.21299999999999999</v>
      </c>
      <c r="H13" s="25">
        <v>2.0792742042081001</v>
      </c>
      <c r="I13" s="47">
        <v>0.99999999710816601</v>
      </c>
      <c r="J13" s="44">
        <v>0.21290000000000001</v>
      </c>
      <c r="K13" s="47">
        <v>2.0792746215680902</v>
      </c>
      <c r="L13" s="47">
        <v>0.99999971029574197</v>
      </c>
      <c r="M13" s="47">
        <v>0.21260000000000001</v>
      </c>
      <c r="N13" s="25">
        <v>2.0793171224444</v>
      </c>
      <c r="O13" s="47">
        <v>0.99997050475272997</v>
      </c>
      <c r="P13" s="44">
        <v>0.20860000000000001</v>
      </c>
      <c r="Q13" s="25">
        <v>2.0866231222707401</v>
      </c>
      <c r="R13" s="47">
        <v>0.99498877872160796</v>
      </c>
      <c r="S13" s="44">
        <v>0.16350000000000001</v>
      </c>
      <c r="T13" s="25">
        <v>2.1040227764705901</v>
      </c>
      <c r="U13" s="47">
        <v>0.98342704767335198</v>
      </c>
      <c r="V13" s="44">
        <v>0.13270000000000001</v>
      </c>
      <c r="W13" s="25">
        <v>2.2087282923076899</v>
      </c>
      <c r="X13" s="47">
        <v>0.92176550935007895</v>
      </c>
      <c r="Y13" s="44">
        <v>7.7799999999999994E-2</v>
      </c>
      <c r="Z13" s="25">
        <v>2.2896371000000002</v>
      </c>
      <c r="AA13" s="47">
        <v>0.88177859319556495</v>
      </c>
      <c r="AB13" s="44">
        <v>6.1800000000000001E-2</v>
      </c>
      <c r="AC13" s="25">
        <v>2.3705459076922999</v>
      </c>
      <c r="AD13" s="47">
        <v>0.84702936075831103</v>
      </c>
      <c r="AE13" s="44">
        <v>5.21E-2</v>
      </c>
      <c r="AF13" s="25">
        <v>2.4752514235294099</v>
      </c>
      <c r="AG13" s="47">
        <v>0.80828842230592202</v>
      </c>
      <c r="AH13" s="44">
        <v>4.3799999999999999E-2</v>
      </c>
      <c r="AI13" s="25">
        <v>2.49486919756098</v>
      </c>
      <c r="AJ13" s="47">
        <v>0.80169353959998202</v>
      </c>
      <c r="AK13" s="44">
        <v>4.2599999999999999E-2</v>
      </c>
      <c r="AL13" s="47">
        <v>2.4999570775555999</v>
      </c>
      <c r="AM13" s="47">
        <v>0.80001411472652095</v>
      </c>
      <c r="AN13" s="44">
        <v>4.2299999999999997E-2</v>
      </c>
      <c r="AO13" s="47">
        <v>2.4999995784319098</v>
      </c>
      <c r="AP13" s="47">
        <v>0.80000013862521402</v>
      </c>
      <c r="AQ13" s="47">
        <v>4.2302788699525799E-2</v>
      </c>
      <c r="AR13" s="25">
        <v>2.4999999957918999</v>
      </c>
      <c r="AS13" s="47">
        <v>0.80000000138375904</v>
      </c>
      <c r="AT13" s="44">
        <v>4.2302764455985901E-2</v>
      </c>
      <c r="AU13" s="47">
        <v>2.4999999999579199</v>
      </c>
      <c r="AV13" s="47">
        <v>0.80000000001383598</v>
      </c>
      <c r="AW13" s="47">
        <v>4.23027642139907E-2</v>
      </c>
      <c r="AX13" s="25">
        <v>2.5</v>
      </c>
      <c r="AY13" s="47">
        <v>0.8</v>
      </c>
      <c r="AZ13" s="44">
        <v>4.2302764211546599E-2</v>
      </c>
    </row>
    <row r="14" spans="1:71" x14ac:dyDescent="0.25">
      <c r="A14" s="2">
        <v>0.5</v>
      </c>
      <c r="B14" s="25">
        <v>2.0788422</v>
      </c>
      <c r="C14" s="47">
        <v>0.99999990000000005</v>
      </c>
      <c r="D14" s="44">
        <v>0.21274233473061199</v>
      </c>
      <c r="E14" s="47">
        <v>2.0788422000421098</v>
      </c>
      <c r="F14" s="47">
        <v>0.99999989997107497</v>
      </c>
      <c r="G14" s="47">
        <v>0.2127</v>
      </c>
      <c r="H14" s="25">
        <v>2.0788422042124202</v>
      </c>
      <c r="I14" s="47">
        <v>0.99999989710696502</v>
      </c>
      <c r="J14" s="44">
        <v>0.2127</v>
      </c>
      <c r="K14" s="47">
        <v>2.0788426220009599</v>
      </c>
      <c r="L14" s="47">
        <v>0.99999961017547001</v>
      </c>
      <c r="M14" s="47">
        <v>0.21249999999999999</v>
      </c>
      <c r="N14" s="25">
        <v>2.0788851665170398</v>
      </c>
      <c r="O14" s="47">
        <v>0.99997039250932396</v>
      </c>
      <c r="P14" s="44">
        <v>0.20860000000000001</v>
      </c>
      <c r="Q14" s="25">
        <v>2.08619866812227</v>
      </c>
      <c r="R14" s="47">
        <v>0.994986650480295</v>
      </c>
      <c r="S14" s="44">
        <v>0.1636</v>
      </c>
      <c r="T14" s="25">
        <v>2.1036161882352902</v>
      </c>
      <c r="U14" s="47">
        <v>0.98342063831180004</v>
      </c>
      <c r="V14" s="44">
        <v>0.13270000000000001</v>
      </c>
      <c r="W14" s="25">
        <v>2.2084292153846201</v>
      </c>
      <c r="X14" s="47">
        <v>0.92174565330492597</v>
      </c>
      <c r="Y14" s="44">
        <v>7.7799999999999994E-2</v>
      </c>
      <c r="Z14" s="25">
        <v>2.2894211000000002</v>
      </c>
      <c r="AA14" s="47">
        <v>0.88175846432967697</v>
      </c>
      <c r="AB14" s="44">
        <v>6.1800000000000001E-2</v>
      </c>
      <c r="AC14" s="25">
        <v>2.3704129846153799</v>
      </c>
      <c r="AD14" s="47">
        <v>0.84701439051199501</v>
      </c>
      <c r="AE14" s="44">
        <v>5.21E-2</v>
      </c>
      <c r="AF14" s="25">
        <v>2.4752260117647098</v>
      </c>
      <c r="AG14" s="47">
        <v>0.80828511709472595</v>
      </c>
      <c r="AH14" s="44">
        <v>4.3799999999999999E-2</v>
      </c>
      <c r="AI14" s="25">
        <v>2.4948639292683001</v>
      </c>
      <c r="AJ14" s="47">
        <v>0.801692841066592</v>
      </c>
      <c r="AK14" s="44">
        <v>4.2599999999999999E-2</v>
      </c>
      <c r="AL14" s="47">
        <v>2.4999570334829602</v>
      </c>
      <c r="AM14" s="47">
        <v>0.80001410885540303</v>
      </c>
      <c r="AN14" s="44">
        <v>4.2299999999999997E-2</v>
      </c>
      <c r="AO14" s="47">
        <v>2.4999995779990498</v>
      </c>
      <c r="AP14" s="47">
        <v>0.80000013856754804</v>
      </c>
      <c r="AQ14" s="47">
        <v>4.2302788698780798E-2</v>
      </c>
      <c r="AR14" s="25">
        <v>2.4999999957875798</v>
      </c>
      <c r="AS14" s="47">
        <v>0.80000000138318295</v>
      </c>
      <c r="AT14" s="44">
        <v>4.2302764455978401E-2</v>
      </c>
      <c r="AU14" s="47">
        <v>2.4999999999578799</v>
      </c>
      <c r="AV14" s="47">
        <v>0.80000000001382998</v>
      </c>
      <c r="AW14" s="47">
        <v>4.23027642139907E-2</v>
      </c>
      <c r="AX14" s="25">
        <v>2.5</v>
      </c>
      <c r="AY14" s="47">
        <v>0.8</v>
      </c>
      <c r="AZ14" s="44">
        <v>4.2302764211546599E-2</v>
      </c>
    </row>
    <row r="15" spans="1:71" x14ac:dyDescent="0.25">
      <c r="A15" s="2">
        <v>0.51</v>
      </c>
      <c r="B15" s="25">
        <v>2.0755110000000001</v>
      </c>
      <c r="C15" s="47">
        <v>0.99999979999999999</v>
      </c>
      <c r="D15" s="44">
        <v>0.212513148707311</v>
      </c>
      <c r="E15" s="47">
        <v>2.0755110000424501</v>
      </c>
      <c r="F15" s="47">
        <v>0.99999979997098098</v>
      </c>
      <c r="G15" s="47">
        <v>0.21249999999999999</v>
      </c>
      <c r="H15" s="25">
        <v>2.0755110042457399</v>
      </c>
      <c r="I15" s="47">
        <v>0.99999979709767395</v>
      </c>
      <c r="J15" s="44">
        <v>0.21249999999999999</v>
      </c>
      <c r="K15" s="47">
        <v>2.07551142533883</v>
      </c>
      <c r="L15" s="47">
        <v>0.99999950924453296</v>
      </c>
      <c r="M15" s="47">
        <v>0.21229999999999999</v>
      </c>
      <c r="N15" s="25">
        <v>2.0755543063660502</v>
      </c>
      <c r="O15" s="47">
        <v>0.99997019774296003</v>
      </c>
      <c r="P15" s="44">
        <v>0.20849999999999999</v>
      </c>
      <c r="Q15" s="25">
        <v>2.08292565502183</v>
      </c>
      <c r="R15" s="47">
        <v>0.99497085249429995</v>
      </c>
      <c r="S15" s="44">
        <v>0.16339999999999999</v>
      </c>
      <c r="T15" s="25">
        <v>2.1004809411764702</v>
      </c>
      <c r="U15" s="47">
        <v>0.98337171265805001</v>
      </c>
      <c r="V15" s="44">
        <v>0.13250000000000001</v>
      </c>
      <c r="W15" s="25">
        <v>2.2061229999999998</v>
      </c>
      <c r="X15" s="47">
        <v>0.921592751432734</v>
      </c>
      <c r="Y15" s="44">
        <v>7.7600000000000002E-2</v>
      </c>
      <c r="Z15" s="25">
        <v>2.2877554999999998</v>
      </c>
      <c r="AA15" s="47">
        <v>0.88160343390794305</v>
      </c>
      <c r="AB15" s="44">
        <v>6.1699999999999998E-2</v>
      </c>
      <c r="AC15" s="25">
        <v>2.3693879999999998</v>
      </c>
      <c r="AD15" s="47">
        <v>0.84689911745566104</v>
      </c>
      <c r="AE15" s="44">
        <v>5.1999999999999998E-2</v>
      </c>
      <c r="AF15" s="25">
        <v>2.4750300588235299</v>
      </c>
      <c r="AG15" s="47">
        <v>0.80825967729577097</v>
      </c>
      <c r="AH15" s="44">
        <v>4.3799999999999999E-2</v>
      </c>
      <c r="AI15" s="25">
        <v>2.4948233048780502</v>
      </c>
      <c r="AJ15" s="47">
        <v>0.80168746498819099</v>
      </c>
      <c r="AK15" s="44">
        <v>4.2599999999999999E-2</v>
      </c>
      <c r="AL15" s="47">
        <v>2.4999566936339499</v>
      </c>
      <c r="AM15" s="47">
        <v>0.80001406367085703</v>
      </c>
      <c r="AN15" s="44">
        <v>4.2299999999999997E-2</v>
      </c>
      <c r="AO15" s="47">
        <v>2.4999995746611798</v>
      </c>
      <c r="AP15" s="47">
        <v>0.80000013812374504</v>
      </c>
      <c r="AQ15" s="47">
        <v>4.2302788513759897E-2</v>
      </c>
      <c r="AR15" s="25">
        <v>2.4999999957542598</v>
      </c>
      <c r="AS15" s="47">
        <v>0.80000000137875305</v>
      </c>
      <c r="AT15" s="44">
        <v>4.2302764454131503E-2</v>
      </c>
      <c r="AU15" s="47">
        <v>2.49999999995755</v>
      </c>
      <c r="AV15" s="47">
        <v>0.80000000001378602</v>
      </c>
      <c r="AW15" s="47">
        <v>4.2302764213972201E-2</v>
      </c>
      <c r="AX15" s="25">
        <v>2.5</v>
      </c>
      <c r="AY15" s="47">
        <v>0.8</v>
      </c>
      <c r="AZ15" s="44">
        <v>4.2302764211546599E-2</v>
      </c>
    </row>
    <row r="16" spans="1:71" x14ac:dyDescent="0.25">
      <c r="A16" s="2">
        <v>0.52</v>
      </c>
      <c r="B16" s="25">
        <v>2.0781101999999998</v>
      </c>
      <c r="C16" s="47">
        <v>0.99999979999999999</v>
      </c>
      <c r="D16" s="44">
        <v>0.212512075703499</v>
      </c>
      <c r="E16" s="47">
        <v>2.07811020004219</v>
      </c>
      <c r="F16" s="47">
        <v>0.99999979997105404</v>
      </c>
      <c r="G16" s="47">
        <v>0.21249999999999999</v>
      </c>
      <c r="H16" s="25">
        <v>2.0781102042197399</v>
      </c>
      <c r="I16" s="47">
        <v>0.99999979710492903</v>
      </c>
      <c r="J16" s="44">
        <v>0.21249999999999999</v>
      </c>
      <c r="K16" s="47">
        <v>2.0781106227344299</v>
      </c>
      <c r="L16" s="47">
        <v>0.99999950997140097</v>
      </c>
      <c r="M16" s="47">
        <v>0.21229999999999999</v>
      </c>
      <c r="N16" s="25">
        <v>2.0781532411956798</v>
      </c>
      <c r="O16" s="47">
        <v>0.99997027173587405</v>
      </c>
      <c r="P16" s="44">
        <v>0.20849999999999999</v>
      </c>
      <c r="Q16" s="25">
        <v>2.0854794541484698</v>
      </c>
      <c r="R16" s="47">
        <v>0.99498310920597899</v>
      </c>
      <c r="S16" s="44">
        <v>0.16339999999999999</v>
      </c>
      <c r="T16" s="25">
        <v>2.1029272470588198</v>
      </c>
      <c r="U16" s="47">
        <v>0.98340983370245105</v>
      </c>
      <c r="V16" s="44">
        <v>0.1326</v>
      </c>
      <c r="W16" s="25">
        <v>2.2079224461538498</v>
      </c>
      <c r="X16" s="47">
        <v>0.92171203716863404</v>
      </c>
      <c r="Y16" s="44">
        <v>7.7700000000000005E-2</v>
      </c>
      <c r="Z16" s="25">
        <v>2.2890551000000001</v>
      </c>
      <c r="AA16" s="47">
        <v>0.88172437945433901</v>
      </c>
      <c r="AB16" s="44">
        <v>6.1800000000000001E-2</v>
      </c>
      <c r="AC16" s="25">
        <v>2.37018775384615</v>
      </c>
      <c r="AD16" s="47">
        <v>0.84698904103495798</v>
      </c>
      <c r="AE16" s="44">
        <v>5.1999999999999998E-2</v>
      </c>
      <c r="AF16" s="25">
        <v>2.47518295294118</v>
      </c>
      <c r="AG16" s="47">
        <v>0.80827952078675303</v>
      </c>
      <c r="AH16" s="44">
        <v>4.3799999999999999E-2</v>
      </c>
      <c r="AI16" s="25">
        <v>2.4948550024390301</v>
      </c>
      <c r="AJ16" s="47">
        <v>0.80169165834928002</v>
      </c>
      <c r="AK16" s="44">
        <v>4.2599999999999999E-2</v>
      </c>
      <c r="AL16" s="47">
        <v>2.49995695880432</v>
      </c>
      <c r="AM16" s="47">
        <v>0.80001409891480801</v>
      </c>
      <c r="AN16" s="44">
        <v>4.2299999999999997E-2</v>
      </c>
      <c r="AO16" s="47">
        <v>2.4999995772655801</v>
      </c>
      <c r="AP16" s="47">
        <v>0.80000013846991103</v>
      </c>
      <c r="AQ16" s="47">
        <v>4.2302788573730501E-2</v>
      </c>
      <c r="AR16" s="25">
        <v>2.4999999957802599</v>
      </c>
      <c r="AS16" s="47">
        <v>0.80000000138220895</v>
      </c>
      <c r="AT16" s="44">
        <v>4.2302764454730198E-2</v>
      </c>
      <c r="AU16" s="47">
        <v>2.4999999999578102</v>
      </c>
      <c r="AV16" s="47">
        <v>0.80000000001381999</v>
      </c>
      <c r="AW16" s="47">
        <v>4.2302764213978203E-2</v>
      </c>
      <c r="AX16" s="25">
        <v>2.5</v>
      </c>
      <c r="AY16" s="47">
        <v>0.8</v>
      </c>
      <c r="AZ16" s="44">
        <v>4.2302764211546599E-2</v>
      </c>
    </row>
    <row r="17" spans="1:52" x14ac:dyDescent="0.25">
      <c r="A17" s="2">
        <v>0.53</v>
      </c>
      <c r="B17" s="25">
        <v>2.0835105999999999</v>
      </c>
      <c r="C17" s="47">
        <v>0.99999959999999999</v>
      </c>
      <c r="D17" s="44">
        <v>0.212611703457464</v>
      </c>
      <c r="E17" s="47">
        <v>2.0835106000416501</v>
      </c>
      <c r="F17" s="47">
        <v>0.99999959997120402</v>
      </c>
      <c r="G17" s="47">
        <v>0.21260000000000001</v>
      </c>
      <c r="H17" s="25">
        <v>2.0835106041657299</v>
      </c>
      <c r="I17" s="47">
        <v>0.99999959711992004</v>
      </c>
      <c r="J17" s="44">
        <v>0.21260000000000001</v>
      </c>
      <c r="K17" s="47">
        <v>2.0835110173232101</v>
      </c>
      <c r="L17" s="47">
        <v>0.99999931147323096</v>
      </c>
      <c r="M17" s="47">
        <v>0.21249999999999999</v>
      </c>
      <c r="N17" s="25">
        <v>2.0835530902468902</v>
      </c>
      <c r="O17" s="47">
        <v>0.99997022461725305</v>
      </c>
      <c r="P17" s="44">
        <v>0.2087</v>
      </c>
      <c r="Q17" s="25">
        <v>2.0907855240174702</v>
      </c>
      <c r="R17" s="47">
        <v>0.99500823853945597</v>
      </c>
      <c r="S17" s="44">
        <v>0.1638</v>
      </c>
      <c r="T17" s="25">
        <v>2.1080099764705902</v>
      </c>
      <c r="U17" s="47">
        <v>0.98348844946889302</v>
      </c>
      <c r="V17" s="44">
        <v>0.13289999999999999</v>
      </c>
      <c r="W17" s="25">
        <v>2.2116611846153802</v>
      </c>
      <c r="X17" s="47">
        <v>0.921959073896087</v>
      </c>
      <c r="Y17" s="44">
        <v>7.8E-2</v>
      </c>
      <c r="Z17" s="25">
        <v>2.2917553000000002</v>
      </c>
      <c r="AA17" s="47">
        <v>0.881975281049587</v>
      </c>
      <c r="AB17" s="44">
        <v>6.2E-2</v>
      </c>
      <c r="AC17" s="25">
        <v>2.3718494153846099</v>
      </c>
      <c r="AD17" s="47">
        <v>0.84717585095300996</v>
      </c>
      <c r="AE17" s="44">
        <v>5.21E-2</v>
      </c>
      <c r="AF17" s="25">
        <v>2.4755006235294101</v>
      </c>
      <c r="AG17" s="47">
        <v>0.80832080784184301</v>
      </c>
      <c r="AH17" s="44">
        <v>4.3799999999999999E-2</v>
      </c>
      <c r="AI17" s="25">
        <v>2.4949208609756099</v>
      </c>
      <c r="AJ17" s="47">
        <v>0.80170038547435196</v>
      </c>
      <c r="AK17" s="44">
        <v>4.2599999999999999E-2</v>
      </c>
      <c r="AL17" s="47">
        <v>2.4999575097531102</v>
      </c>
      <c r="AM17" s="47">
        <v>0.80001417226855398</v>
      </c>
      <c r="AN17" s="44">
        <v>4.2299999999999997E-2</v>
      </c>
      <c r="AO17" s="47">
        <v>2.4999995826767898</v>
      </c>
      <c r="AP17" s="47">
        <v>0.80000013919039203</v>
      </c>
      <c r="AQ17" s="47">
        <v>4.2302788919616002E-2</v>
      </c>
      <c r="AR17" s="25">
        <v>2.49999999583427</v>
      </c>
      <c r="AS17" s="47">
        <v>0.80000000138939997</v>
      </c>
      <c r="AT17" s="44">
        <v>4.2302764458182797E-2</v>
      </c>
      <c r="AU17" s="47">
        <v>2.4999999999583502</v>
      </c>
      <c r="AV17" s="47">
        <v>0.80000000001389204</v>
      </c>
      <c r="AW17" s="47">
        <v>4.2302764214012703E-2</v>
      </c>
      <c r="AX17" s="25">
        <v>2.5</v>
      </c>
      <c r="AY17" s="47">
        <v>0.8</v>
      </c>
      <c r="AZ17" s="44">
        <v>4.2302764211546599E-2</v>
      </c>
    </row>
    <row r="18" spans="1:52" x14ac:dyDescent="0.25">
      <c r="A18" s="2">
        <v>0.54</v>
      </c>
      <c r="B18" s="25">
        <v>2.0800046999999999</v>
      </c>
      <c r="C18" s="47">
        <v>0.99999950000000004</v>
      </c>
      <c r="D18" s="44">
        <v>0.2124228478056</v>
      </c>
      <c r="E18" s="47">
        <v>2.0800047000420001</v>
      </c>
      <c r="F18" s="47">
        <v>0.99999949997110704</v>
      </c>
      <c r="G18" s="47">
        <v>0.21240000000000001</v>
      </c>
      <c r="H18" s="25">
        <v>2.0800047042007899</v>
      </c>
      <c r="I18" s="47">
        <v>0.99999949711020397</v>
      </c>
      <c r="J18" s="44">
        <v>0.21240000000000001</v>
      </c>
      <c r="K18" s="47">
        <v>2.0800051208361299</v>
      </c>
      <c r="L18" s="47">
        <v>0.99999921049991902</v>
      </c>
      <c r="M18" s="47">
        <v>0.21229999999999999</v>
      </c>
      <c r="N18" s="25">
        <v>2.0800475479187899</v>
      </c>
      <c r="O18" s="47">
        <v>0.999970025537255</v>
      </c>
      <c r="P18" s="44">
        <v>0.20860000000000001</v>
      </c>
      <c r="Q18" s="25">
        <v>2.08734086244541</v>
      </c>
      <c r="R18" s="47">
        <v>0.99499172239718103</v>
      </c>
      <c r="S18" s="44">
        <v>0.1636</v>
      </c>
      <c r="T18" s="25">
        <v>2.10471030588235</v>
      </c>
      <c r="U18" s="47">
        <v>0.98343726408598597</v>
      </c>
      <c r="V18" s="44">
        <v>0.13270000000000001</v>
      </c>
      <c r="W18" s="25">
        <v>2.2092340230769199</v>
      </c>
      <c r="X18" s="47">
        <v>0.92179866451133796</v>
      </c>
      <c r="Y18" s="44">
        <v>7.7799999999999994E-2</v>
      </c>
      <c r="Z18" s="25">
        <v>2.29000235</v>
      </c>
      <c r="AA18" s="47">
        <v>0.88181235085641096</v>
      </c>
      <c r="AB18" s="44">
        <v>6.1800000000000001E-2</v>
      </c>
      <c r="AC18" s="25">
        <v>2.3707706769230699</v>
      </c>
      <c r="AD18" s="47">
        <v>0.84705451806163901</v>
      </c>
      <c r="AE18" s="44">
        <v>5.21E-2</v>
      </c>
      <c r="AF18" s="25">
        <v>2.47529439411765</v>
      </c>
      <c r="AG18" s="47">
        <v>0.808293984888106</v>
      </c>
      <c r="AH18" s="44">
        <v>4.3799999999999999E-2</v>
      </c>
      <c r="AI18" s="25">
        <v>2.49487810609756</v>
      </c>
      <c r="AJ18" s="47">
        <v>0.80169471545112303</v>
      </c>
      <c r="AK18" s="44">
        <v>4.2599999999999999E-2</v>
      </c>
      <c r="AL18" s="47">
        <v>2.4999571520812101</v>
      </c>
      <c r="AM18" s="47">
        <v>0.80001412460995003</v>
      </c>
      <c r="AN18" s="44">
        <v>4.2299999999999997E-2</v>
      </c>
      <c r="AO18" s="47">
        <v>2.4999995791638701</v>
      </c>
      <c r="AP18" s="47">
        <v>0.80000013872228903</v>
      </c>
      <c r="AQ18" s="47">
        <v>4.2302788724689601E-2</v>
      </c>
      <c r="AR18" s="25">
        <v>2.4999999957992101</v>
      </c>
      <c r="AS18" s="47">
        <v>0.80000000138472804</v>
      </c>
      <c r="AT18" s="44">
        <v>4.2302764456236999E-2</v>
      </c>
      <c r="AU18" s="47">
        <v>2.4999999999579998</v>
      </c>
      <c r="AV18" s="47">
        <v>0.80000000001384497</v>
      </c>
      <c r="AW18" s="47">
        <v>4.2302764213993198E-2</v>
      </c>
      <c r="AX18" s="25">
        <v>2.5</v>
      </c>
      <c r="AY18" s="47">
        <v>0.8</v>
      </c>
      <c r="AZ18" s="44">
        <v>4.2302764211546599E-2</v>
      </c>
    </row>
    <row r="19" spans="1:52" x14ac:dyDescent="0.25">
      <c r="A19" s="2">
        <v>0.55000000000000004</v>
      </c>
      <c r="B19" s="25">
        <v>2.0854764000000001</v>
      </c>
      <c r="C19" s="47">
        <v>0.99999939999999998</v>
      </c>
      <c r="D19" s="44">
        <v>0.21233951755707001</v>
      </c>
      <c r="E19" s="47">
        <v>2.0854764000414501</v>
      </c>
      <c r="F19" s="47">
        <v>0.99999939997125797</v>
      </c>
      <c r="G19" s="47">
        <v>0.21229999999999999</v>
      </c>
      <c r="H19" s="25">
        <v>2.0854764041460601</v>
      </c>
      <c r="I19" s="47">
        <v>0.99999939712535002</v>
      </c>
      <c r="J19" s="44">
        <v>0.21229999999999999</v>
      </c>
      <c r="K19" s="47">
        <v>2.0854768153534802</v>
      </c>
      <c r="L19" s="47">
        <v>0.99999911201720104</v>
      </c>
      <c r="M19" s="47">
        <v>0.2122</v>
      </c>
      <c r="N19" s="25">
        <v>2.0855186896959799</v>
      </c>
      <c r="O19" s="47">
        <v>0.99997007999167298</v>
      </c>
      <c r="P19" s="44">
        <v>0.20860000000000001</v>
      </c>
      <c r="Q19" s="25">
        <v>2.0927169868995601</v>
      </c>
      <c r="R19" s="47">
        <v>0.99501721464618198</v>
      </c>
      <c r="S19" s="44">
        <v>0.16370000000000001</v>
      </c>
      <c r="T19" s="25">
        <v>2.1098601411764699</v>
      </c>
      <c r="U19" s="47">
        <v>0.98351681448598705</v>
      </c>
      <c r="V19" s="44">
        <v>0.13289999999999999</v>
      </c>
      <c r="W19" s="25">
        <v>2.2130221230769198</v>
      </c>
      <c r="X19" s="47">
        <v>0.922048691406961</v>
      </c>
      <c r="Y19" s="44">
        <v>7.7899999999999997E-2</v>
      </c>
      <c r="Z19" s="25">
        <v>2.2927382000000001</v>
      </c>
      <c r="AA19" s="47">
        <v>0.88206645632242597</v>
      </c>
      <c r="AB19" s="44">
        <v>6.1899999999999997E-2</v>
      </c>
      <c r="AC19" s="25">
        <v>2.3724542769230701</v>
      </c>
      <c r="AD19" s="47">
        <v>0.84724382839610302</v>
      </c>
      <c r="AE19" s="44">
        <v>5.21E-2</v>
      </c>
      <c r="AF19" s="25">
        <v>2.4756162588235302</v>
      </c>
      <c r="AG19" s="47">
        <v>0.80833585360478699</v>
      </c>
      <c r="AH19" s="44">
        <v>4.3799999999999999E-2</v>
      </c>
      <c r="AI19" s="25">
        <v>2.4949448341463398</v>
      </c>
      <c r="AJ19" s="47">
        <v>0.80170356658086495</v>
      </c>
      <c r="AK19" s="44">
        <v>4.2599999999999999E-2</v>
      </c>
      <c r="AL19" s="47">
        <v>2.4999577103040198</v>
      </c>
      <c r="AM19" s="47">
        <v>0.80001419900824799</v>
      </c>
      <c r="AN19" s="44">
        <v>4.2299999999999997E-2</v>
      </c>
      <c r="AO19" s="47">
        <v>2.4999995846465302</v>
      </c>
      <c r="AP19" s="47">
        <v>0.80000013945302895</v>
      </c>
      <c r="AQ19" s="47">
        <v>4.2302788828801098E-2</v>
      </c>
      <c r="AR19" s="25">
        <v>2.4999999958539401</v>
      </c>
      <c r="AS19" s="47">
        <v>0.80000000139202199</v>
      </c>
      <c r="AT19" s="44">
        <v>4.23027644572763E-2</v>
      </c>
      <c r="AU19" s="47">
        <v>2.4999999999585398</v>
      </c>
      <c r="AV19" s="47">
        <v>0.80000000001391902</v>
      </c>
      <c r="AW19" s="47">
        <v>4.2302764214003599E-2</v>
      </c>
      <c r="AX19" s="25">
        <v>2.5</v>
      </c>
      <c r="AY19" s="47">
        <v>0.8</v>
      </c>
      <c r="AZ19" s="44">
        <v>4.2302764211546599E-2</v>
      </c>
    </row>
    <row r="20" spans="1:52" x14ac:dyDescent="0.25">
      <c r="A20" s="2">
        <v>0.56000000000000005</v>
      </c>
      <c r="B20" s="25">
        <v>2.0944213999999999</v>
      </c>
      <c r="C20" s="47">
        <v>0.99999930000000004</v>
      </c>
      <c r="D20" s="44">
        <v>0.212268743983173</v>
      </c>
      <c r="E20" s="47">
        <v>2.0944214000405599</v>
      </c>
      <c r="F20" s="47">
        <v>0.99999929997150405</v>
      </c>
      <c r="G20" s="47">
        <v>0.21229999999999999</v>
      </c>
      <c r="H20" s="25">
        <v>2.0944214040565998</v>
      </c>
      <c r="I20" s="47">
        <v>0.99999929714985303</v>
      </c>
      <c r="J20" s="44">
        <v>0.21229999999999999</v>
      </c>
      <c r="K20" s="47">
        <v>2.09442180639057</v>
      </c>
      <c r="L20" s="47">
        <v>0.99999901447196005</v>
      </c>
      <c r="M20" s="47">
        <v>0.21210000000000001</v>
      </c>
      <c r="N20" s="25">
        <v>2.09446277712712</v>
      </c>
      <c r="O20" s="47">
        <v>0.99997022987892104</v>
      </c>
      <c r="P20" s="44">
        <v>0.20860000000000001</v>
      </c>
      <c r="Q20" s="25">
        <v>2.1015057423580799</v>
      </c>
      <c r="R20" s="47">
        <v>0.99505853369668196</v>
      </c>
      <c r="S20" s="44">
        <v>0.1638</v>
      </c>
      <c r="T20" s="25">
        <v>2.1182789647058802</v>
      </c>
      <c r="U20" s="47">
        <v>0.98364572439989695</v>
      </c>
      <c r="V20" s="44">
        <v>0.1331</v>
      </c>
      <c r="W20" s="25">
        <v>2.2192148153846101</v>
      </c>
      <c r="X20" s="47">
        <v>0.92245543635421201</v>
      </c>
      <c r="Y20" s="44">
        <v>7.8100000000000003E-2</v>
      </c>
      <c r="Z20" s="25">
        <v>2.2972106999999999</v>
      </c>
      <c r="AA20" s="47">
        <v>0.88248096637927098</v>
      </c>
      <c r="AB20" s="44">
        <v>6.2E-2</v>
      </c>
      <c r="AC20" s="25">
        <v>2.37520658461538</v>
      </c>
      <c r="AD20" s="47">
        <v>0.84755338102913103</v>
      </c>
      <c r="AE20" s="44">
        <v>5.2200000000000003E-2</v>
      </c>
      <c r="AF20" s="25">
        <v>2.4761424352941201</v>
      </c>
      <c r="AG20" s="47">
        <v>0.80840449943885395</v>
      </c>
      <c r="AH20" s="44">
        <v>4.3799999999999999E-2</v>
      </c>
      <c r="AI20" s="25">
        <v>2.4950539195122001</v>
      </c>
      <c r="AJ20" s="47">
        <v>0.80171808508793696</v>
      </c>
      <c r="AK20" s="44">
        <v>4.2599999999999999E-2</v>
      </c>
      <c r="AL20" s="47">
        <v>2.4999586228728798</v>
      </c>
      <c r="AM20" s="47">
        <v>0.80001432105799497</v>
      </c>
      <c r="AN20" s="44">
        <v>4.2299999999999997E-2</v>
      </c>
      <c r="AO20" s="47">
        <v>2.4999995936094299</v>
      </c>
      <c r="AP20" s="47">
        <v>0.80000014065180403</v>
      </c>
      <c r="AQ20" s="47">
        <v>4.2302789022381999E-2</v>
      </c>
      <c r="AR20" s="25">
        <v>2.4999999959434001</v>
      </c>
      <c r="AS20" s="47">
        <v>0.80000000140398797</v>
      </c>
      <c r="AT20" s="44">
        <v>4.2302764459208601E-2</v>
      </c>
      <c r="AU20" s="47">
        <v>2.49999999995944</v>
      </c>
      <c r="AV20" s="47">
        <v>0.80000000001403804</v>
      </c>
      <c r="AW20" s="47">
        <v>4.2302764214022903E-2</v>
      </c>
      <c r="AX20" s="25">
        <v>2.5</v>
      </c>
      <c r="AY20" s="47">
        <v>0.8</v>
      </c>
      <c r="AZ20" s="44">
        <v>4.2302764211546599E-2</v>
      </c>
    </row>
    <row r="21" spans="1:52" x14ac:dyDescent="0.25">
      <c r="A21" s="2">
        <v>0.56999999999999995</v>
      </c>
      <c r="B21" s="25">
        <v>2.0766106</v>
      </c>
      <c r="C21" s="47">
        <v>0.99999919999999998</v>
      </c>
      <c r="D21" s="44">
        <v>0.212199746854977</v>
      </c>
      <c r="E21" s="47">
        <v>2.0766106000423399</v>
      </c>
      <c r="F21" s="47">
        <v>0.99999919997101305</v>
      </c>
      <c r="G21" s="47">
        <v>0.2122</v>
      </c>
      <c r="H21" s="25">
        <v>2.0766106042347401</v>
      </c>
      <c r="I21" s="47">
        <v>0.99999919710075402</v>
      </c>
      <c r="J21" s="44">
        <v>0.2122</v>
      </c>
      <c r="K21" s="47">
        <v>2.0766110242370299</v>
      </c>
      <c r="L21" s="47">
        <v>0.999998909553241</v>
      </c>
      <c r="M21" s="47">
        <v>0.21210000000000001</v>
      </c>
      <c r="N21" s="25">
        <v>2.07665379418486</v>
      </c>
      <c r="O21" s="47">
        <v>0.99996962916851795</v>
      </c>
      <c r="P21" s="44">
        <v>0.20849999999999999</v>
      </c>
      <c r="Q21" s="25">
        <v>2.0840060480349298</v>
      </c>
      <c r="R21" s="47">
        <v>0.99497545823601996</v>
      </c>
      <c r="S21" s="44">
        <v>0.16339999999999999</v>
      </c>
      <c r="T21" s="25">
        <v>2.1015158588235301</v>
      </c>
      <c r="U21" s="47">
        <v>0.98338730526060403</v>
      </c>
      <c r="V21" s="44">
        <v>0.1326</v>
      </c>
      <c r="W21" s="25">
        <v>2.2068842615384598</v>
      </c>
      <c r="X21" s="47">
        <v>0.92164287683068302</v>
      </c>
      <c r="Y21" s="44">
        <v>7.7700000000000005E-2</v>
      </c>
      <c r="Z21" s="25">
        <v>2.2883053000000002</v>
      </c>
      <c r="AA21" s="47">
        <v>0.88165436704793199</v>
      </c>
      <c r="AB21" s="44">
        <v>6.1800000000000001E-2</v>
      </c>
      <c r="AC21" s="25">
        <v>2.3697263384615401</v>
      </c>
      <c r="AD21" s="47">
        <v>0.84693701826617296</v>
      </c>
      <c r="AE21" s="44">
        <v>5.1999999999999998E-2</v>
      </c>
      <c r="AF21" s="25">
        <v>2.4750947411764699</v>
      </c>
      <c r="AG21" s="47">
        <v>0.80826804481523196</v>
      </c>
      <c r="AH21" s="44">
        <v>4.3799999999999999E-2</v>
      </c>
      <c r="AI21" s="25">
        <v>2.4948367146341499</v>
      </c>
      <c r="AJ21" s="47">
        <v>0.80168923331665598</v>
      </c>
      <c r="AK21" s="44">
        <v>4.2599999999999999E-2</v>
      </c>
      <c r="AL21" s="47">
        <v>2.49995680581514</v>
      </c>
      <c r="AM21" s="47">
        <v>0.80001407853330797</v>
      </c>
      <c r="AN21" s="44">
        <v>4.2299999999999997E-2</v>
      </c>
      <c r="AO21" s="47">
        <v>2.4999995757629798</v>
      </c>
      <c r="AP21" s="47">
        <v>0.80000013826972405</v>
      </c>
      <c r="AQ21" s="47">
        <v>4.23027885829508E-2</v>
      </c>
      <c r="AR21" s="25">
        <v>2.4999999957652599</v>
      </c>
      <c r="AS21" s="47">
        <v>0.80000000138020999</v>
      </c>
      <c r="AT21" s="44">
        <v>4.23027644548222E-2</v>
      </c>
      <c r="AU21" s="47">
        <v>2.4999999999576601</v>
      </c>
      <c r="AV21" s="47">
        <v>0.80000000001380001</v>
      </c>
      <c r="AW21" s="47">
        <v>4.2302764213979098E-2</v>
      </c>
      <c r="AX21" s="25">
        <v>2.5</v>
      </c>
      <c r="AY21" s="47">
        <v>0.8</v>
      </c>
      <c r="AZ21" s="44">
        <v>4.2302764211546599E-2</v>
      </c>
    </row>
    <row r="22" spans="1:52" x14ac:dyDescent="0.25">
      <c r="A22" s="2">
        <v>0.57999999999999996</v>
      </c>
      <c r="B22" s="25">
        <v>2.0490065</v>
      </c>
      <c r="C22" s="47">
        <v>0.99999890000000002</v>
      </c>
      <c r="D22" s="44">
        <v>0.212347666208376</v>
      </c>
      <c r="E22" s="47">
        <v>2.0490065000450999</v>
      </c>
      <c r="F22" s="47">
        <v>0.99999889997022695</v>
      </c>
      <c r="G22" s="47">
        <v>0.21229999999999999</v>
      </c>
      <c r="H22" s="25">
        <v>2.0490065045108299</v>
      </c>
      <c r="I22" s="47">
        <v>0.99999889702211697</v>
      </c>
      <c r="J22" s="44">
        <v>0.21229999999999999</v>
      </c>
      <c r="K22" s="47">
        <v>2.04900695189639</v>
      </c>
      <c r="L22" s="47">
        <v>0.99999860167522103</v>
      </c>
      <c r="M22" s="47">
        <v>0.2122</v>
      </c>
      <c r="N22" s="25">
        <v>2.0490525103550299</v>
      </c>
      <c r="O22" s="47">
        <v>0.99996852721583795</v>
      </c>
      <c r="P22" s="44">
        <v>0.2087</v>
      </c>
      <c r="Q22" s="25">
        <v>2.05688411572052</v>
      </c>
      <c r="R22" s="47">
        <v>0.99484240848231298</v>
      </c>
      <c r="S22" s="44">
        <v>0.16309999999999999</v>
      </c>
      <c r="T22" s="25">
        <v>2.0755355294117601</v>
      </c>
      <c r="U22" s="47">
        <v>0.98297478271664496</v>
      </c>
      <c r="V22" s="44">
        <v>0.1321</v>
      </c>
      <c r="W22" s="25">
        <v>2.18777373076923</v>
      </c>
      <c r="X22" s="47">
        <v>0.92036355858361996</v>
      </c>
      <c r="Y22" s="44">
        <v>7.7200000000000005E-2</v>
      </c>
      <c r="Z22" s="25">
        <v>2.27450325</v>
      </c>
      <c r="AA22" s="47">
        <v>0.88036433215665599</v>
      </c>
      <c r="AB22" s="44">
        <v>6.1499999999999999E-2</v>
      </c>
      <c r="AC22" s="25">
        <v>2.36123276923077</v>
      </c>
      <c r="AD22" s="47">
        <v>0.84598237974695101</v>
      </c>
      <c r="AE22" s="44">
        <v>5.1900000000000002E-2</v>
      </c>
      <c r="AF22" s="25">
        <v>2.4734709705882398</v>
      </c>
      <c r="AG22" s="47">
        <v>0.808058479654444</v>
      </c>
      <c r="AH22" s="44">
        <v>4.3799999999999999E-2</v>
      </c>
      <c r="AI22" s="25">
        <v>2.4945000792682999</v>
      </c>
      <c r="AJ22" s="47">
        <v>0.801644986767859</v>
      </c>
      <c r="AK22" s="44">
        <v>4.2599999999999999E-2</v>
      </c>
      <c r="AL22" s="47">
        <v>2.4999539896449701</v>
      </c>
      <c r="AM22" s="47">
        <v>0.80001370673788297</v>
      </c>
      <c r="AN22" s="44">
        <v>4.2299999999999997E-2</v>
      </c>
      <c r="AO22" s="47">
        <v>2.4999995481036099</v>
      </c>
      <c r="AP22" s="47">
        <v>0.80000013461795605</v>
      </c>
      <c r="AQ22" s="47">
        <v>4.23027881705497E-2</v>
      </c>
      <c r="AR22" s="25">
        <v>2.4999999954891599</v>
      </c>
      <c r="AS22" s="47">
        <v>0.80000000134375804</v>
      </c>
      <c r="AT22" s="44">
        <v>4.2302764450705597E-2</v>
      </c>
      <c r="AU22" s="47">
        <v>2.4999999999549001</v>
      </c>
      <c r="AV22" s="47">
        <v>0.80000000001343596</v>
      </c>
      <c r="AW22" s="47">
        <v>4.2302764213937999E-2</v>
      </c>
      <c r="AX22" s="25">
        <v>2.5</v>
      </c>
      <c r="AY22" s="47">
        <v>0.8</v>
      </c>
      <c r="AZ22" s="44">
        <v>4.2302764211546599E-2</v>
      </c>
    </row>
    <row r="23" spans="1:52" x14ac:dyDescent="0.25">
      <c r="A23" s="2">
        <v>0.59</v>
      </c>
      <c r="B23" s="25">
        <v>2.0770197000000001</v>
      </c>
      <c r="C23" s="47">
        <v>0.99999899999999997</v>
      </c>
      <c r="D23" s="44">
        <v>0.21222105861396601</v>
      </c>
      <c r="E23" s="47">
        <v>2.0770197000423001</v>
      </c>
      <c r="F23" s="47">
        <v>0.99999899997102504</v>
      </c>
      <c r="G23" s="47">
        <v>0.2122</v>
      </c>
      <c r="H23" s="25">
        <v>2.0770197042306502</v>
      </c>
      <c r="I23" s="47">
        <v>0.99999899710189999</v>
      </c>
      <c r="J23" s="44">
        <v>0.2122</v>
      </c>
      <c r="K23" s="47">
        <v>2.07702012382711</v>
      </c>
      <c r="L23" s="47">
        <v>0.99999870966793503</v>
      </c>
      <c r="M23" s="47">
        <v>0.21210000000000001</v>
      </c>
      <c r="N23" s="25">
        <v>2.07706285244848</v>
      </c>
      <c r="O23" s="47">
        <v>0.99996944084404205</v>
      </c>
      <c r="P23" s="44">
        <v>0.20860000000000001</v>
      </c>
      <c r="Q23" s="25">
        <v>2.0844080021834102</v>
      </c>
      <c r="R23" s="47">
        <v>0.99497719237846804</v>
      </c>
      <c r="S23" s="44">
        <v>0.16350000000000001</v>
      </c>
      <c r="T23" s="25">
        <v>2.1019008941176498</v>
      </c>
      <c r="U23" s="47">
        <v>0.98339312185587702</v>
      </c>
      <c r="V23" s="44">
        <v>0.13270000000000001</v>
      </c>
      <c r="W23" s="25">
        <v>2.2071674846153799</v>
      </c>
      <c r="X23" s="47">
        <v>0.92166152998003903</v>
      </c>
      <c r="Y23" s="44">
        <v>7.7700000000000005E-2</v>
      </c>
      <c r="Z23" s="25">
        <v>2.2885098500000001</v>
      </c>
      <c r="AA23" s="47">
        <v>0.88167332146560595</v>
      </c>
      <c r="AB23" s="44">
        <v>6.1800000000000001E-2</v>
      </c>
      <c r="AC23" s="25">
        <v>2.36985221538461</v>
      </c>
      <c r="AD23" s="47">
        <v>0.84695112475985501</v>
      </c>
      <c r="AE23" s="44">
        <v>5.21E-2</v>
      </c>
      <c r="AF23" s="25">
        <v>2.4751188058823499</v>
      </c>
      <c r="AG23" s="47">
        <v>0.80827115979845099</v>
      </c>
      <c r="AH23" s="44">
        <v>4.3799999999999999E-2</v>
      </c>
      <c r="AI23" s="25">
        <v>2.49484170365854</v>
      </c>
      <c r="AJ23" s="47">
        <v>0.80168989163849702</v>
      </c>
      <c r="AK23" s="44">
        <v>4.2599999999999999E-2</v>
      </c>
      <c r="AL23" s="47">
        <v>2.4999568475515201</v>
      </c>
      <c r="AM23" s="47">
        <v>0.80001408406642704</v>
      </c>
      <c r="AN23" s="44">
        <v>4.2299999999999997E-2</v>
      </c>
      <c r="AO23" s="47">
        <v>2.4999995761728999</v>
      </c>
      <c r="AP23" s="47">
        <v>0.80000013832407002</v>
      </c>
      <c r="AQ23" s="47">
        <v>4.2302788685643099E-2</v>
      </c>
      <c r="AR23" s="25">
        <v>2.4999999957693499</v>
      </c>
      <c r="AS23" s="47">
        <v>0.800000001380752</v>
      </c>
      <c r="AT23" s="44">
        <v>4.23027644558472E-2</v>
      </c>
      <c r="AU23" s="47">
        <v>2.4999999999577001</v>
      </c>
      <c r="AV23" s="47">
        <v>0.800000000013806</v>
      </c>
      <c r="AW23" s="47">
        <v>4.2302764213989402E-2</v>
      </c>
      <c r="AX23" s="25">
        <v>2.5</v>
      </c>
      <c r="AY23" s="47">
        <v>0.8</v>
      </c>
      <c r="AZ23" s="44">
        <v>4.2302764211546599E-2</v>
      </c>
    </row>
    <row r="24" spans="1:52" x14ac:dyDescent="0.25">
      <c r="A24" s="2">
        <v>0.6</v>
      </c>
      <c r="B24" s="25">
        <v>2.1451096999999999</v>
      </c>
      <c r="C24" s="47">
        <v>0.99999859999999996</v>
      </c>
      <c r="D24" s="44">
        <v>0.21184027884043399</v>
      </c>
      <c r="E24" s="47">
        <v>2.1451097000354902</v>
      </c>
      <c r="F24" s="47">
        <v>0.99999859997283502</v>
      </c>
      <c r="G24" s="47">
        <v>0.21179999999999999</v>
      </c>
      <c r="H24" s="25">
        <v>2.1451097035496098</v>
      </c>
      <c r="I24" s="47">
        <v>0.99999859728296703</v>
      </c>
      <c r="J24" s="44">
        <v>0.21179999999999999</v>
      </c>
      <c r="K24" s="47">
        <v>2.14511005560079</v>
      </c>
      <c r="L24" s="47">
        <v>0.99999832780734998</v>
      </c>
      <c r="M24" s="47">
        <v>0.21179999999999999</v>
      </c>
      <c r="N24" s="25">
        <v>2.14514590590696</v>
      </c>
      <c r="O24" s="47">
        <v>0.99997088739264395</v>
      </c>
      <c r="P24" s="44">
        <v>0.20849999999999999</v>
      </c>
      <c r="Q24" s="25">
        <v>2.1513086572052398</v>
      </c>
      <c r="R24" s="47">
        <v>0.99528314888963598</v>
      </c>
      <c r="S24" s="44">
        <v>0.1646</v>
      </c>
      <c r="T24" s="25">
        <v>2.1659856</v>
      </c>
      <c r="U24" s="47">
        <v>0.984349047636777</v>
      </c>
      <c r="V24" s="44">
        <v>0.1343</v>
      </c>
      <c r="W24" s="25">
        <v>2.2543067153846201</v>
      </c>
      <c r="X24" s="47">
        <v>0.92471318416827597</v>
      </c>
      <c r="Y24" s="44">
        <v>7.9100000000000004E-2</v>
      </c>
      <c r="Z24" s="25">
        <v>2.3225548499999999</v>
      </c>
      <c r="AA24" s="47">
        <v>0.88480791171217499</v>
      </c>
      <c r="AB24" s="44">
        <v>6.2700000000000006E-2</v>
      </c>
      <c r="AC24" s="25">
        <v>2.3908029846153802</v>
      </c>
      <c r="AD24" s="47">
        <v>0.84930844934825001</v>
      </c>
      <c r="AE24" s="44">
        <v>5.2600000000000001E-2</v>
      </c>
      <c r="AF24" s="25">
        <v>2.4791240999999999</v>
      </c>
      <c r="AG24" s="47">
        <v>0.80879808340611103</v>
      </c>
      <c r="AH24" s="44">
        <v>4.3900000000000002E-2</v>
      </c>
      <c r="AI24" s="25">
        <v>2.4956720695121999</v>
      </c>
      <c r="AJ24" s="47">
        <v>0.80180148769416204</v>
      </c>
      <c r="AK24" s="44">
        <v>4.2599999999999999E-2</v>
      </c>
      <c r="AL24" s="47">
        <v>2.4999637940930399</v>
      </c>
      <c r="AM24" s="47">
        <v>0.80001502252515999</v>
      </c>
      <c r="AN24" s="44">
        <v>4.2299999999999997E-2</v>
      </c>
      <c r="AO24" s="47">
        <v>2.4999996443992099</v>
      </c>
      <c r="AP24" s="47">
        <v>0.80000014754165605</v>
      </c>
      <c r="AQ24" s="47">
        <v>4.2302790100873199E-2</v>
      </c>
      <c r="AR24" s="25">
        <v>2.4999999964503901</v>
      </c>
      <c r="AS24" s="47">
        <v>0.80000000147276296</v>
      </c>
      <c r="AT24" s="44">
        <v>4.2302764469974101E-2</v>
      </c>
      <c r="AU24" s="47">
        <v>2.4999999999645102</v>
      </c>
      <c r="AV24" s="47">
        <v>0.80000000001472604</v>
      </c>
      <c r="AW24" s="47">
        <v>4.2302764214130602E-2</v>
      </c>
      <c r="AX24" s="25">
        <v>2.5</v>
      </c>
      <c r="AY24" s="47">
        <v>0.8</v>
      </c>
      <c r="AZ24" s="44">
        <v>4.2302764211546599E-2</v>
      </c>
    </row>
    <row r="25" spans="1:52" x14ac:dyDescent="0.25">
      <c r="A25" s="2">
        <v>0.61</v>
      </c>
      <c r="B25" s="25">
        <v>2.1453316</v>
      </c>
      <c r="C25" s="47">
        <v>0.99999859999999996</v>
      </c>
      <c r="D25" s="44">
        <v>0.211772641465171</v>
      </c>
      <c r="E25" s="47">
        <v>2.1453316000354699</v>
      </c>
      <c r="F25" s="47">
        <v>0.99999859997284002</v>
      </c>
      <c r="G25" s="47">
        <v>0.21179999999999999</v>
      </c>
      <c r="H25" s="25">
        <v>2.1453316035473899</v>
      </c>
      <c r="I25" s="47">
        <v>0.99999859728353002</v>
      </c>
      <c r="J25" s="44">
        <v>0.21179999999999999</v>
      </c>
      <c r="K25" s="47">
        <v>2.1453319553784498</v>
      </c>
      <c r="L25" s="47">
        <v>0.99999832786365594</v>
      </c>
      <c r="M25" s="47">
        <v>0.2117</v>
      </c>
      <c r="N25" s="25">
        <v>2.1453677832687199</v>
      </c>
      <c r="O25" s="47">
        <v>0.99997089312440002</v>
      </c>
      <c r="P25" s="44">
        <v>0.2084</v>
      </c>
      <c r="Q25" s="25">
        <v>2.1515266812227098</v>
      </c>
      <c r="R25" s="47">
        <v>0.99528410132077305</v>
      </c>
      <c r="S25" s="44">
        <v>0.1646</v>
      </c>
      <c r="T25" s="25">
        <v>2.1661944470588201</v>
      </c>
      <c r="U25" s="47">
        <v>0.98435203159885198</v>
      </c>
      <c r="V25" s="44">
        <v>0.13420000000000001</v>
      </c>
      <c r="W25" s="25">
        <v>2.25446033846154</v>
      </c>
      <c r="X25" s="47">
        <v>0.9247228959853</v>
      </c>
      <c r="Y25" s="44">
        <v>7.9100000000000004E-2</v>
      </c>
      <c r="Z25" s="25">
        <v>2.3226657999999998</v>
      </c>
      <c r="AA25" s="47">
        <v>0.88481801700585605</v>
      </c>
      <c r="AB25" s="44">
        <v>6.2700000000000006E-2</v>
      </c>
      <c r="AC25" s="25">
        <v>2.39087126153846</v>
      </c>
      <c r="AD25" s="47">
        <v>0.849316135648709</v>
      </c>
      <c r="AE25" s="44">
        <v>5.2600000000000001E-2</v>
      </c>
      <c r="AF25" s="25">
        <v>2.4791371529411799</v>
      </c>
      <c r="AG25" s="47">
        <v>0.80879982363542902</v>
      </c>
      <c r="AH25" s="44">
        <v>4.3900000000000002E-2</v>
      </c>
      <c r="AI25" s="25">
        <v>2.4956747756097601</v>
      </c>
      <c r="AJ25" s="47">
        <v>0.80180185706372897</v>
      </c>
      <c r="AK25" s="44">
        <v>4.2599999999999999E-2</v>
      </c>
      <c r="AL25" s="47">
        <v>2.4999638167312801</v>
      </c>
      <c r="AM25" s="47">
        <v>0.80001502563308602</v>
      </c>
      <c r="AN25" s="44">
        <v>4.2299999999999997E-2</v>
      </c>
      <c r="AO25" s="47">
        <v>2.49999964462156</v>
      </c>
      <c r="AP25" s="47">
        <v>0.80000014757218196</v>
      </c>
      <c r="AQ25" s="47">
        <v>4.2302790043321499E-2</v>
      </c>
      <c r="AR25" s="25">
        <v>2.4999999964526101</v>
      </c>
      <c r="AS25" s="47">
        <v>0.80000000147306805</v>
      </c>
      <c r="AT25" s="44">
        <v>4.2302764469399602E-2</v>
      </c>
      <c r="AU25" s="47">
        <v>2.4999999999645302</v>
      </c>
      <c r="AV25" s="47">
        <v>0.80000000001472904</v>
      </c>
      <c r="AW25" s="47">
        <v>4.2302764214124898E-2</v>
      </c>
      <c r="AX25" s="25">
        <v>2.5</v>
      </c>
      <c r="AY25" s="47">
        <v>0.8</v>
      </c>
      <c r="AZ25" s="44">
        <v>4.2302764211546599E-2</v>
      </c>
    </row>
    <row r="26" spans="1:52" x14ac:dyDescent="0.25">
      <c r="A26" s="2">
        <v>0.62</v>
      </c>
      <c r="B26" s="25">
        <v>2.0678619999999999</v>
      </c>
      <c r="C26" s="47">
        <v>0.99999819999999995</v>
      </c>
      <c r="D26" s="44">
        <v>0.211774426098576</v>
      </c>
      <c r="E26" s="47">
        <v>2.0678620000432102</v>
      </c>
      <c r="F26" s="47">
        <v>0.999998199970768</v>
      </c>
      <c r="G26" s="47">
        <v>0.21179999999999999</v>
      </c>
      <c r="H26" s="25">
        <v>2.0678620043222402</v>
      </c>
      <c r="I26" s="47">
        <v>0.99999819707618498</v>
      </c>
      <c r="J26" s="44">
        <v>0.21179999999999999</v>
      </c>
      <c r="K26" s="47">
        <v>2.0678624330031399</v>
      </c>
      <c r="L26" s="47">
        <v>0.99999790709189595</v>
      </c>
      <c r="M26" s="47">
        <v>0.2117</v>
      </c>
      <c r="N26" s="25">
        <v>2.067906086717</v>
      </c>
      <c r="O26" s="47">
        <v>0.99996837861233201</v>
      </c>
      <c r="P26" s="44">
        <v>0.20830000000000001</v>
      </c>
      <c r="Q26" s="25">
        <v>2.07541026200873</v>
      </c>
      <c r="R26" s="47">
        <v>0.99493296414653798</v>
      </c>
      <c r="S26" s="44">
        <v>0.16320000000000001</v>
      </c>
      <c r="T26" s="25">
        <v>2.0932818823529402</v>
      </c>
      <c r="U26" s="47">
        <v>0.98325732079807004</v>
      </c>
      <c r="V26" s="44">
        <v>0.1323</v>
      </c>
      <c r="W26" s="25">
        <v>2.2008275384615401</v>
      </c>
      <c r="X26" s="47">
        <v>0.921239500892296</v>
      </c>
      <c r="Y26" s="44">
        <v>7.7399999999999997E-2</v>
      </c>
      <c r="Z26" s="25">
        <v>2.2839309999999999</v>
      </c>
      <c r="AA26" s="47">
        <v>0.88124630694112505</v>
      </c>
      <c r="AB26" s="44">
        <v>6.1600000000000002E-2</v>
      </c>
      <c r="AC26" s="25">
        <v>2.3670344615384602</v>
      </c>
      <c r="AD26" s="47">
        <v>0.84663415601033198</v>
      </c>
      <c r="AE26" s="44">
        <v>5.1900000000000002E-2</v>
      </c>
      <c r="AF26" s="25">
        <v>2.4745801176470601</v>
      </c>
      <c r="AG26" s="47">
        <v>0.80820133603689503</v>
      </c>
      <c r="AH26" s="44">
        <v>4.3799999999999999E-2</v>
      </c>
      <c r="AI26" s="25">
        <v>2.4947300243902499</v>
      </c>
      <c r="AJ26" s="47">
        <v>0.80167514066690004</v>
      </c>
      <c r="AK26" s="44">
        <v>4.2599999999999999E-2</v>
      </c>
      <c r="AL26" s="47">
        <v>2.4999559132829998</v>
      </c>
      <c r="AM26" s="47">
        <v>0.8000139600981</v>
      </c>
      <c r="AN26" s="44">
        <v>4.2299999999999997E-2</v>
      </c>
      <c r="AO26" s="47">
        <v>2.49999956699686</v>
      </c>
      <c r="AP26" s="47">
        <v>0.80000013710645401</v>
      </c>
      <c r="AQ26" s="47">
        <v>4.2302788323790502E-2</v>
      </c>
      <c r="AR26" s="25">
        <v>2.4999999956777601</v>
      </c>
      <c r="AS26" s="47">
        <v>0.80000000136859795</v>
      </c>
      <c r="AT26" s="44">
        <v>4.2302764452235297E-2</v>
      </c>
      <c r="AU26" s="47">
        <v>2.4999999999567799</v>
      </c>
      <c r="AV26" s="47">
        <v>0.80000000001368399</v>
      </c>
      <c r="AW26" s="47">
        <v>4.2302764213953202E-2</v>
      </c>
      <c r="AX26" s="25">
        <v>2.5</v>
      </c>
      <c r="AY26" s="47">
        <v>0.8</v>
      </c>
      <c r="AZ26" s="44">
        <v>4.2302764211546599E-2</v>
      </c>
    </row>
    <row r="27" spans="1:52" x14ac:dyDescent="0.25">
      <c r="A27" s="2">
        <v>0.63</v>
      </c>
      <c r="B27" s="25">
        <v>2.0130701000000002</v>
      </c>
      <c r="C27" s="47">
        <v>0.99999760000000004</v>
      </c>
      <c r="D27" s="44">
        <v>0.21201087367784499</v>
      </c>
      <c r="E27" s="47">
        <v>2.0130701000486901</v>
      </c>
      <c r="F27" s="47">
        <v>0.99999759996915405</v>
      </c>
      <c r="G27" s="47">
        <v>0.21199999999999999</v>
      </c>
      <c r="H27" s="25">
        <v>2.0130701048702702</v>
      </c>
      <c r="I27" s="47">
        <v>0.999997596914866</v>
      </c>
      <c r="J27" s="44">
        <v>0.21199999999999999</v>
      </c>
      <c r="K27" s="47">
        <v>2.0130705879047301</v>
      </c>
      <c r="L27" s="47">
        <v>0.99999729093106504</v>
      </c>
      <c r="M27" s="47">
        <v>0.21190000000000001</v>
      </c>
      <c r="N27" s="25">
        <v>2.0131197765864099</v>
      </c>
      <c r="O27" s="47">
        <v>0.999966133511487</v>
      </c>
      <c r="P27" s="44">
        <v>0.20860000000000001</v>
      </c>
      <c r="Q27" s="25">
        <v>2.02157542576419</v>
      </c>
      <c r="R27" s="47">
        <v>0.99466035421184495</v>
      </c>
      <c r="S27" s="44">
        <v>0.16250000000000001</v>
      </c>
      <c r="T27" s="25">
        <v>2.0417130352941202</v>
      </c>
      <c r="U27" s="47">
        <v>0.98241427293119898</v>
      </c>
      <c r="V27" s="44">
        <v>0.13109999999999999</v>
      </c>
      <c r="W27" s="25">
        <v>2.16289468461538</v>
      </c>
      <c r="X27" s="47">
        <v>0.91866081195695404</v>
      </c>
      <c r="Y27" s="44">
        <v>7.6399999999999996E-2</v>
      </c>
      <c r="Z27" s="25">
        <v>2.2565350500000001</v>
      </c>
      <c r="AA27" s="47">
        <v>0.87866870725438295</v>
      </c>
      <c r="AB27" s="44">
        <v>6.0999999999999999E-2</v>
      </c>
      <c r="AC27" s="25">
        <v>2.3501754153846099</v>
      </c>
      <c r="AD27" s="47">
        <v>0.84474097166703299</v>
      </c>
      <c r="AE27" s="44">
        <v>5.16E-2</v>
      </c>
      <c r="AF27" s="25">
        <v>2.47135706470588</v>
      </c>
      <c r="AG27" s="47">
        <v>0.80778915354764502</v>
      </c>
      <c r="AH27" s="44">
        <v>4.3700000000000003E-2</v>
      </c>
      <c r="AI27" s="25">
        <v>2.4940618304878099</v>
      </c>
      <c r="AJ27" s="47">
        <v>0.80158823559963299</v>
      </c>
      <c r="AK27" s="44">
        <v>4.2599999999999999E-2</v>
      </c>
      <c r="AL27" s="47">
        <v>2.4999503234135898</v>
      </c>
      <c r="AM27" s="47">
        <v>0.80001323010966596</v>
      </c>
      <c r="AN27" s="44">
        <v>4.2299999999999997E-2</v>
      </c>
      <c r="AO27" s="47">
        <v>2.49999951209527</v>
      </c>
      <c r="AP27" s="47">
        <v>0.80000012993654201</v>
      </c>
      <c r="AQ27" s="47">
        <v>4.2302787393353601E-2</v>
      </c>
      <c r="AR27" s="25">
        <v>2.49999999512973</v>
      </c>
      <c r="AS27" s="47">
        <v>0.80000000129702797</v>
      </c>
      <c r="AT27" s="44">
        <v>4.2302764442947602E-2</v>
      </c>
      <c r="AU27" s="47">
        <v>2.4999999999512998</v>
      </c>
      <c r="AV27" s="47">
        <v>0.800000000012968</v>
      </c>
      <c r="AW27" s="47">
        <v>4.2302764213860297E-2</v>
      </c>
      <c r="AX27" s="25">
        <v>2.5</v>
      </c>
      <c r="AY27" s="47">
        <v>0.8</v>
      </c>
      <c r="AZ27" s="44">
        <v>4.2302764211546599E-2</v>
      </c>
    </row>
    <row r="28" spans="1:52" x14ac:dyDescent="0.25">
      <c r="A28" s="2">
        <v>0.64</v>
      </c>
      <c r="B28" s="25">
        <v>2.0478844999999999</v>
      </c>
      <c r="C28" s="47">
        <v>0.99999760000000004</v>
      </c>
      <c r="D28" s="44">
        <v>0.21203551969551199</v>
      </c>
      <c r="E28" s="47">
        <v>2.0478845000452099</v>
      </c>
      <c r="F28" s="47">
        <v>0.999997599970193</v>
      </c>
      <c r="G28" s="47">
        <v>0.21199999999999999</v>
      </c>
      <c r="H28" s="25">
        <v>2.0478845045220599</v>
      </c>
      <c r="I28" s="47">
        <v>0.99999759701887303</v>
      </c>
      <c r="J28" s="44">
        <v>0.21199999999999999</v>
      </c>
      <c r="K28" s="47">
        <v>2.04788495302064</v>
      </c>
      <c r="L28" s="47">
        <v>0.99999730135017895</v>
      </c>
      <c r="M28" s="47">
        <v>0.21199999999999999</v>
      </c>
      <c r="N28" s="25">
        <v>2.0479306248214701</v>
      </c>
      <c r="O28" s="47">
        <v>0.99996719412798996</v>
      </c>
      <c r="P28" s="44">
        <v>0.2087</v>
      </c>
      <c r="Q28" s="25">
        <v>2.0557817139738002</v>
      </c>
      <c r="R28" s="47">
        <v>0.99483563606009195</v>
      </c>
      <c r="S28" s="44">
        <v>0.16320000000000001</v>
      </c>
      <c r="T28" s="25">
        <v>2.0744795294117702</v>
      </c>
      <c r="U28" s="47">
        <v>0.98295652385655197</v>
      </c>
      <c r="V28" s="44">
        <v>0.1321</v>
      </c>
      <c r="W28" s="25">
        <v>2.1869969615384601</v>
      </c>
      <c r="X28" s="47">
        <v>0.92031026920640202</v>
      </c>
      <c r="Y28" s="44">
        <v>7.7299999999999994E-2</v>
      </c>
      <c r="Z28" s="25">
        <v>2.2739422500000002</v>
      </c>
      <c r="AA28" s="47">
        <v>0.880311154582053</v>
      </c>
      <c r="AB28" s="44">
        <v>6.1499999999999999E-2</v>
      </c>
      <c r="AC28" s="25">
        <v>2.3608875384615402</v>
      </c>
      <c r="AD28" s="47">
        <v>0.84594330171292098</v>
      </c>
      <c r="AE28" s="44">
        <v>5.1900000000000002E-2</v>
      </c>
      <c r="AF28" s="25">
        <v>2.4734049705882399</v>
      </c>
      <c r="AG28" s="47">
        <v>0.80804995950743896</v>
      </c>
      <c r="AH28" s="44">
        <v>4.3799999999999999E-2</v>
      </c>
      <c r="AI28" s="25">
        <v>2.4944863963414701</v>
      </c>
      <c r="AJ28" s="47">
        <v>0.80164318984589</v>
      </c>
      <c r="AK28" s="44">
        <v>4.2599999999999999E-2</v>
      </c>
      <c r="AL28" s="47">
        <v>2.4999538751785302</v>
      </c>
      <c r="AM28" s="47">
        <v>0.80001369164288505</v>
      </c>
      <c r="AN28" s="44">
        <v>4.2299999999999997E-2</v>
      </c>
      <c r="AO28" s="47">
        <v>2.4999995469793701</v>
      </c>
      <c r="AP28" s="47">
        <v>0.80000013446969298</v>
      </c>
      <c r="AQ28" s="47">
        <v>4.2302788222917699E-2</v>
      </c>
      <c r="AR28" s="25">
        <v>2.4999999954779399</v>
      </c>
      <c r="AS28" s="47">
        <v>0.800000001342279</v>
      </c>
      <c r="AT28" s="44">
        <v>4.2302764451228402E-2</v>
      </c>
      <c r="AU28" s="47">
        <v>2.4999999999547899</v>
      </c>
      <c r="AV28" s="47">
        <v>0.80000000001342098</v>
      </c>
      <c r="AW28" s="47">
        <v>4.2302764213943203E-2</v>
      </c>
      <c r="AX28" s="25">
        <v>2.5</v>
      </c>
      <c r="AY28" s="47">
        <v>0.8</v>
      </c>
      <c r="AZ28" s="44">
        <v>4.2302764211546599E-2</v>
      </c>
    </row>
    <row r="29" spans="1:52" x14ac:dyDescent="0.25">
      <c r="A29" s="2">
        <v>0.65</v>
      </c>
      <c r="B29" s="25">
        <v>2.1078855999999999</v>
      </c>
      <c r="C29" s="47">
        <v>0.99999729999999998</v>
      </c>
      <c r="D29" s="44">
        <v>0.21162446956064301</v>
      </c>
      <c r="E29" s="47">
        <v>2.1078856000392099</v>
      </c>
      <c r="F29" s="47">
        <v>0.99999729997186804</v>
      </c>
      <c r="G29" s="47">
        <v>0.21160000000000001</v>
      </c>
      <c r="H29" s="25">
        <v>2.1078856039219298</v>
      </c>
      <c r="I29" s="47">
        <v>0.99999729718617503</v>
      </c>
      <c r="J29" s="44">
        <v>0.21160000000000001</v>
      </c>
      <c r="K29" s="47">
        <v>2.1078859928994098</v>
      </c>
      <c r="L29" s="47">
        <v>0.99999701811076802</v>
      </c>
      <c r="M29" s="47">
        <v>0.21160000000000001</v>
      </c>
      <c r="N29" s="25">
        <v>2.1079256035094902</v>
      </c>
      <c r="O29" s="47">
        <v>0.99996860029974299</v>
      </c>
      <c r="P29" s="44">
        <v>0.20849999999999999</v>
      </c>
      <c r="Q29" s="25">
        <v>2.1147347598253301</v>
      </c>
      <c r="R29" s="47">
        <v>0.99511796458377499</v>
      </c>
      <c r="S29" s="44">
        <v>0.1641</v>
      </c>
      <c r="T29" s="25">
        <v>2.1309511529411802</v>
      </c>
      <c r="U29" s="47">
        <v>0.98383530798880303</v>
      </c>
      <c r="V29" s="44">
        <v>0.13339999999999999</v>
      </c>
      <c r="W29" s="25">
        <v>2.2285361846153799</v>
      </c>
      <c r="X29" s="47">
        <v>0.92306181004766397</v>
      </c>
      <c r="Y29" s="44">
        <v>7.8399999999999997E-2</v>
      </c>
      <c r="Z29" s="25">
        <v>2.3039428000000002</v>
      </c>
      <c r="AA29" s="47">
        <v>0.88310195867368002</v>
      </c>
      <c r="AB29" s="44">
        <v>6.2199999999999998E-2</v>
      </c>
      <c r="AC29" s="25">
        <v>2.3793494153846102</v>
      </c>
      <c r="AD29" s="47">
        <v>0.848019000770874</v>
      </c>
      <c r="AE29" s="44">
        <v>5.2299999999999999E-2</v>
      </c>
      <c r="AF29" s="25">
        <v>2.4769344470588202</v>
      </c>
      <c r="AG29" s="47">
        <v>0.80850820828569303</v>
      </c>
      <c r="AH29" s="44">
        <v>4.3799999999999999E-2</v>
      </c>
      <c r="AI29" s="25">
        <v>2.4952181170731702</v>
      </c>
      <c r="AJ29" s="47">
        <v>0.80174003565307805</v>
      </c>
      <c r="AK29" s="44">
        <v>4.2599999999999999E-2</v>
      </c>
      <c r="AL29" s="47">
        <v>2.4999599964905102</v>
      </c>
      <c r="AM29" s="47">
        <v>0.80001450562012599</v>
      </c>
      <c r="AN29" s="44">
        <v>4.2299999999999997E-2</v>
      </c>
      <c r="AO29" s="47">
        <v>2.4999996071005901</v>
      </c>
      <c r="AP29" s="47">
        <v>0.80000014246457996</v>
      </c>
      <c r="AQ29" s="47">
        <v>4.2302789350504903E-2</v>
      </c>
      <c r="AR29" s="25">
        <v>2.4999999960780701</v>
      </c>
      <c r="AS29" s="47">
        <v>0.80000000142208305</v>
      </c>
      <c r="AT29" s="44">
        <v>4.2302764462483898E-2</v>
      </c>
      <c r="AU29" s="47">
        <v>2.49999999996079</v>
      </c>
      <c r="AV29" s="47">
        <v>0.800000000014219</v>
      </c>
      <c r="AW29" s="47">
        <v>4.2302764214055801E-2</v>
      </c>
      <c r="AX29" s="25">
        <v>2.5</v>
      </c>
      <c r="AY29" s="47">
        <v>0.8</v>
      </c>
      <c r="AZ29" s="44">
        <v>4.2302764211546599E-2</v>
      </c>
    </row>
    <row r="30" spans="1:52" x14ac:dyDescent="0.25">
      <c r="A30" s="2">
        <v>0.66</v>
      </c>
      <c r="B30" s="25">
        <v>2.1379454</v>
      </c>
      <c r="C30" s="47">
        <v>0.99999689999999997</v>
      </c>
      <c r="D30" s="44">
        <v>0.21151858798370801</v>
      </c>
      <c r="E30" s="47">
        <v>2.1379454000362101</v>
      </c>
      <c r="F30" s="47">
        <v>0.99999689997265295</v>
      </c>
      <c r="G30" s="47">
        <v>0.21149999999999999</v>
      </c>
      <c r="H30" s="25">
        <v>2.1379454036212699</v>
      </c>
      <c r="I30" s="47">
        <v>0.99999689726475205</v>
      </c>
      <c r="J30" s="44">
        <v>0.21149999999999999</v>
      </c>
      <c r="K30" s="47">
        <v>2.13794576277943</v>
      </c>
      <c r="L30" s="47">
        <v>0.99999662598237904</v>
      </c>
      <c r="M30" s="47">
        <v>0.21149999999999999</v>
      </c>
      <c r="N30" s="25">
        <v>2.1379823368088098</v>
      </c>
      <c r="O30" s="47">
        <v>0.99996900161348201</v>
      </c>
      <c r="P30" s="44">
        <v>0.20849999999999999</v>
      </c>
      <c r="Q30" s="25">
        <v>2.1442694978165902</v>
      </c>
      <c r="R30" s="47">
        <v>0.99525058439176695</v>
      </c>
      <c r="S30" s="44">
        <v>0.1646</v>
      </c>
      <c r="T30" s="25">
        <v>2.1592427294117602</v>
      </c>
      <c r="U30" s="47">
        <v>0.98425069337555204</v>
      </c>
      <c r="V30" s="44">
        <v>0.13420000000000001</v>
      </c>
      <c r="W30" s="25">
        <v>2.2493468153846199</v>
      </c>
      <c r="X30" s="47">
        <v>0.92439776164565202</v>
      </c>
      <c r="Y30" s="44">
        <v>7.9100000000000004E-2</v>
      </c>
      <c r="Z30" s="25">
        <v>2.3189727000000002</v>
      </c>
      <c r="AA30" s="47">
        <v>0.88448054185437597</v>
      </c>
      <c r="AB30" s="44">
        <v>6.2700000000000006E-2</v>
      </c>
      <c r="AC30" s="25">
        <v>2.3885985846153801</v>
      </c>
      <c r="AD30" s="47">
        <v>0.84905987776707303</v>
      </c>
      <c r="AE30" s="44">
        <v>5.2600000000000001E-2</v>
      </c>
      <c r="AF30" s="25">
        <v>2.4787026705882398</v>
      </c>
      <c r="AG30" s="47">
        <v>0.80874190352452002</v>
      </c>
      <c r="AH30" s="44">
        <v>4.3900000000000002E-2</v>
      </c>
      <c r="AI30" s="25">
        <v>2.4955847000000002</v>
      </c>
      <c r="AJ30" s="47">
        <v>0.80178956674887303</v>
      </c>
      <c r="AK30" s="44">
        <v>4.2599999999999999E-2</v>
      </c>
      <c r="AL30" s="47">
        <v>2.49996306319118</v>
      </c>
      <c r="AM30" s="47">
        <v>0.80001492222802595</v>
      </c>
      <c r="AN30" s="44">
        <v>4.2299999999999997E-2</v>
      </c>
      <c r="AO30" s="47">
        <v>2.4999996372205699</v>
      </c>
      <c r="AP30" s="47">
        <v>0.80000014655652896</v>
      </c>
      <c r="AQ30" s="47">
        <v>4.2302790062550298E-2</v>
      </c>
      <c r="AR30" s="25">
        <v>2.49999999637873</v>
      </c>
      <c r="AS30" s="47">
        <v>0.80000000146292904</v>
      </c>
      <c r="AT30" s="44">
        <v>4.2302764469591601E-2</v>
      </c>
      <c r="AU30" s="47">
        <v>2.4999999999637899</v>
      </c>
      <c r="AV30" s="47">
        <v>0.80000000001462801</v>
      </c>
      <c r="AW30" s="47">
        <v>4.2302764214126799E-2</v>
      </c>
      <c r="AX30" s="25">
        <v>2.5</v>
      </c>
      <c r="AY30" s="47">
        <v>0.8</v>
      </c>
      <c r="AZ30" s="44">
        <v>4.2302764211546599E-2</v>
      </c>
    </row>
    <row r="31" spans="1:52" x14ac:dyDescent="0.25">
      <c r="A31" s="2">
        <v>0.67</v>
      </c>
      <c r="B31" s="25">
        <v>2.1153993999999998</v>
      </c>
      <c r="C31" s="47">
        <v>0.99999649999999995</v>
      </c>
      <c r="D31" s="44">
        <v>0.211444417547591</v>
      </c>
      <c r="E31" s="47">
        <v>2.1153994000384602</v>
      </c>
      <c r="F31" s="47">
        <v>0.99999649997206697</v>
      </c>
      <c r="G31" s="47">
        <v>0.2114</v>
      </c>
      <c r="H31" s="25">
        <v>2.1153994038467698</v>
      </c>
      <c r="I31" s="47">
        <v>0.99999649720614103</v>
      </c>
      <c r="J31" s="44">
        <v>0.2114</v>
      </c>
      <c r="K31" s="47">
        <v>2.1153997853705699</v>
      </c>
      <c r="L31" s="47">
        <v>0.99999622011084099</v>
      </c>
      <c r="M31" s="47">
        <v>0.2114</v>
      </c>
      <c r="N31" s="25">
        <v>2.11543863695164</v>
      </c>
      <c r="O31" s="47">
        <v>0.99996800390264096</v>
      </c>
      <c r="P31" s="44">
        <v>0.2084</v>
      </c>
      <c r="Q31" s="25">
        <v>2.1221173144104801</v>
      </c>
      <c r="R31" s="47">
        <v>0.99515094643600199</v>
      </c>
      <c r="S31" s="44">
        <v>0.16420000000000001</v>
      </c>
      <c r="T31" s="25">
        <v>2.1380229647058799</v>
      </c>
      <c r="U31" s="47">
        <v>0.98393998029415697</v>
      </c>
      <c r="V31" s="44">
        <v>0.1336</v>
      </c>
      <c r="W31" s="25">
        <v>2.2337380461538499</v>
      </c>
      <c r="X31" s="47">
        <v>0.92339793456420605</v>
      </c>
      <c r="Y31" s="44">
        <v>7.8600000000000003E-2</v>
      </c>
      <c r="Z31" s="25">
        <v>2.3076997000000001</v>
      </c>
      <c r="AA31" s="47">
        <v>0.88344749526556399</v>
      </c>
      <c r="AB31" s="44">
        <v>6.2399999999999997E-2</v>
      </c>
      <c r="AC31" s="25">
        <v>2.38166135384615</v>
      </c>
      <c r="AD31" s="47">
        <v>0.84827896879772802</v>
      </c>
      <c r="AE31" s="44">
        <v>5.2400000000000002E-2</v>
      </c>
      <c r="AF31" s="25">
        <v>2.4773764352941199</v>
      </c>
      <c r="AG31" s="47">
        <v>0.80856633638175401</v>
      </c>
      <c r="AH31" s="44">
        <v>4.3900000000000002E-2</v>
      </c>
      <c r="AI31" s="25">
        <v>2.4953097487804898</v>
      </c>
      <c r="AJ31" s="47">
        <v>0.80175234698069497</v>
      </c>
      <c r="AK31" s="44">
        <v>4.2599999999999999E-2</v>
      </c>
      <c r="AL31" s="47">
        <v>2.4999607630483598</v>
      </c>
      <c r="AM31" s="47">
        <v>0.80001460915233003</v>
      </c>
      <c r="AN31" s="44">
        <v>4.2299999999999997E-2</v>
      </c>
      <c r="AO31" s="47">
        <v>2.4999996146294299</v>
      </c>
      <c r="AP31" s="47">
        <v>0.80000014348147797</v>
      </c>
      <c r="AQ31" s="47">
        <v>4.2302789533556297E-2</v>
      </c>
      <c r="AR31" s="25">
        <v>2.49999999615323</v>
      </c>
      <c r="AS31" s="47">
        <v>0.80000000143223404</v>
      </c>
      <c r="AT31" s="44">
        <v>4.23027644643112E-2</v>
      </c>
      <c r="AU31" s="47">
        <v>2.4999999999615401</v>
      </c>
      <c r="AV31" s="47">
        <v>0.80000000001432103</v>
      </c>
      <c r="AW31" s="47">
        <v>4.2302764214073897E-2</v>
      </c>
      <c r="AX31" s="25">
        <v>2.5</v>
      </c>
      <c r="AY31" s="47">
        <v>0.8</v>
      </c>
      <c r="AZ31" s="44">
        <v>4.2302764211546599E-2</v>
      </c>
    </row>
    <row r="32" spans="1:52" x14ac:dyDescent="0.25">
      <c r="A32" s="2">
        <v>0.68</v>
      </c>
      <c r="B32" s="25">
        <v>2.0954518000000002</v>
      </c>
      <c r="C32" s="47">
        <v>0.99999610000000005</v>
      </c>
      <c r="D32" s="44">
        <v>0.21162058497724601</v>
      </c>
      <c r="E32" s="47">
        <v>2.0954518000404501</v>
      </c>
      <c r="F32" s="47">
        <v>0.99999609997153305</v>
      </c>
      <c r="G32" s="47">
        <v>0.21160000000000001</v>
      </c>
      <c r="H32" s="25">
        <v>2.0954518040462902</v>
      </c>
      <c r="I32" s="47">
        <v>0.99999609715270199</v>
      </c>
      <c r="J32" s="44">
        <v>0.21160000000000001</v>
      </c>
      <c r="K32" s="47">
        <v>2.0954522053581099</v>
      </c>
      <c r="L32" s="47">
        <v>0.99999581475726296</v>
      </c>
      <c r="M32" s="47">
        <v>0.21160000000000001</v>
      </c>
      <c r="N32" s="25">
        <v>2.0954930720057101</v>
      </c>
      <c r="O32" s="47">
        <v>0.99996705892180704</v>
      </c>
      <c r="P32" s="44">
        <v>0.20860000000000001</v>
      </c>
      <c r="Q32" s="25">
        <v>2.1025181441048102</v>
      </c>
      <c r="R32" s="47">
        <v>0.99506015064791897</v>
      </c>
      <c r="S32" s="44">
        <v>0.1641</v>
      </c>
      <c r="T32" s="25">
        <v>2.1192487529411799</v>
      </c>
      <c r="U32" s="47">
        <v>0.98365755143080302</v>
      </c>
      <c r="V32" s="44">
        <v>0.13339999999999999</v>
      </c>
      <c r="W32" s="25">
        <v>2.2199281692307702</v>
      </c>
      <c r="X32" s="47">
        <v>0.92250017600350298</v>
      </c>
      <c r="Y32" s="44">
        <v>7.8299999999999995E-2</v>
      </c>
      <c r="Z32" s="25">
        <v>2.2977259000000001</v>
      </c>
      <c r="AA32" s="47">
        <v>0.88252732558709701</v>
      </c>
      <c r="AB32" s="44">
        <v>6.2199999999999998E-2</v>
      </c>
      <c r="AC32" s="25">
        <v>2.37552363076923</v>
      </c>
      <c r="AD32" s="47">
        <v>0.84758828488743498</v>
      </c>
      <c r="AE32" s="44">
        <v>5.2299999999999999E-2</v>
      </c>
      <c r="AF32" s="25">
        <v>2.4762030470588199</v>
      </c>
      <c r="AG32" s="47">
        <v>0.80841228853426805</v>
      </c>
      <c r="AH32" s="44">
        <v>4.3799999999999999E-2</v>
      </c>
      <c r="AI32" s="25">
        <v>2.49506648536586</v>
      </c>
      <c r="AJ32" s="47">
        <v>0.80171973395249796</v>
      </c>
      <c r="AK32" s="44">
        <v>4.2599999999999999E-2</v>
      </c>
      <c r="AL32" s="47">
        <v>2.4999587279942901</v>
      </c>
      <c r="AM32" s="47">
        <v>0.80001433492225205</v>
      </c>
      <c r="AN32" s="44">
        <v>4.2299999999999997E-2</v>
      </c>
      <c r="AO32" s="47">
        <v>2.4999995946419</v>
      </c>
      <c r="AP32" s="47">
        <v>0.80000014078797899</v>
      </c>
      <c r="AQ32" s="47">
        <v>4.2302789288510702E-2</v>
      </c>
      <c r="AR32" s="25">
        <v>2.49999999595371</v>
      </c>
      <c r="AS32" s="47">
        <v>0.80000000140534799</v>
      </c>
      <c r="AT32" s="44">
        <v>4.2302764461865199E-2</v>
      </c>
      <c r="AU32" s="47">
        <v>2.4999999999595399</v>
      </c>
      <c r="AV32" s="47">
        <v>0.80000000001405203</v>
      </c>
      <c r="AW32" s="47">
        <v>4.23027642140495E-2</v>
      </c>
      <c r="AX32" s="25">
        <v>2.5</v>
      </c>
      <c r="AY32" s="47">
        <v>0.8</v>
      </c>
      <c r="AZ32" s="44">
        <v>4.2302764211546599E-2</v>
      </c>
    </row>
    <row r="33" spans="1:56" x14ac:dyDescent="0.25">
      <c r="A33" s="2">
        <v>0.69</v>
      </c>
      <c r="B33" s="25">
        <v>2.0809836000000002</v>
      </c>
      <c r="C33" s="47">
        <v>0.99999559999999998</v>
      </c>
      <c r="D33" s="44">
        <v>0.21144791933010901</v>
      </c>
      <c r="E33" s="47">
        <v>2.0809836000419</v>
      </c>
      <c r="F33" s="47">
        <v>0.99999559997113496</v>
      </c>
      <c r="G33" s="47">
        <v>0.2114</v>
      </c>
      <c r="H33" s="25">
        <v>2.0809836041910001</v>
      </c>
      <c r="I33" s="47">
        <v>0.99999559711297903</v>
      </c>
      <c r="J33" s="44">
        <v>0.2114</v>
      </c>
      <c r="K33" s="47">
        <v>2.0809840198552698</v>
      </c>
      <c r="L33" s="47">
        <v>0.99999531077785797</v>
      </c>
      <c r="M33" s="47">
        <v>0.2114</v>
      </c>
      <c r="N33" s="25">
        <v>2.0810263480514202</v>
      </c>
      <c r="O33" s="47">
        <v>0.99996615383058796</v>
      </c>
      <c r="P33" s="44">
        <v>0.20849999999999999</v>
      </c>
      <c r="Q33" s="25">
        <v>2.08830266375546</v>
      </c>
      <c r="R33" s="47">
        <v>0.99499251236299402</v>
      </c>
      <c r="S33" s="44">
        <v>0.16370000000000001</v>
      </c>
      <c r="T33" s="25">
        <v>2.1056316235294101</v>
      </c>
      <c r="U33" s="47">
        <v>0.98344797600606904</v>
      </c>
      <c r="V33" s="44">
        <v>0.13289999999999999</v>
      </c>
      <c r="W33" s="25">
        <v>2.2099117230769201</v>
      </c>
      <c r="X33" s="47">
        <v>0.92184109931339797</v>
      </c>
      <c r="Y33" s="44">
        <v>7.7899999999999997E-2</v>
      </c>
      <c r="Z33" s="25">
        <v>2.2904917999999999</v>
      </c>
      <c r="AA33" s="47">
        <v>0.88185625334513196</v>
      </c>
      <c r="AB33" s="44">
        <v>6.1899999999999997E-2</v>
      </c>
      <c r="AC33" s="25">
        <v>2.3710718769230699</v>
      </c>
      <c r="AD33" s="47">
        <v>0.847087470027588</v>
      </c>
      <c r="AE33" s="44">
        <v>5.21E-2</v>
      </c>
      <c r="AF33" s="25">
        <v>2.47535197647059</v>
      </c>
      <c r="AG33" s="47">
        <v>0.80830130742941397</v>
      </c>
      <c r="AH33" s="44">
        <v>4.3799999999999999E-2</v>
      </c>
      <c r="AI33" s="25">
        <v>2.4948900439024402</v>
      </c>
      <c r="AJ33" s="47">
        <v>0.80169626436347297</v>
      </c>
      <c r="AK33" s="44">
        <v>4.2599999999999999E-2</v>
      </c>
      <c r="AL33" s="47">
        <v>2.49995725194858</v>
      </c>
      <c r="AM33" s="47">
        <v>0.80001413763120699</v>
      </c>
      <c r="AN33" s="44">
        <v>4.2299999999999997E-2</v>
      </c>
      <c r="AO33" s="47">
        <v>2.4999995801447299</v>
      </c>
      <c r="AP33" s="47">
        <v>0.80000013885018395</v>
      </c>
      <c r="AQ33" s="47">
        <v>4.2302788879199499E-2</v>
      </c>
      <c r="AR33" s="25">
        <v>2.499999995809</v>
      </c>
      <c r="AS33" s="47">
        <v>0.80000000138600502</v>
      </c>
      <c r="AT33" s="44">
        <v>4.2302764457779397E-2</v>
      </c>
      <c r="AU33" s="47">
        <v>2.4999999999581002</v>
      </c>
      <c r="AV33" s="47">
        <v>0.80000000001385796</v>
      </c>
      <c r="AW33" s="47">
        <v>4.2302764214008699E-2</v>
      </c>
      <c r="AX33" s="25">
        <v>2.5</v>
      </c>
      <c r="AY33" s="47">
        <v>0.8</v>
      </c>
      <c r="AZ33" s="44">
        <v>4.2302764211546599E-2</v>
      </c>
    </row>
    <row r="34" spans="1:56" x14ac:dyDescent="0.25">
      <c r="A34" s="2">
        <v>0.7</v>
      </c>
      <c r="B34" s="25">
        <v>2.0904508000000002</v>
      </c>
      <c r="C34" s="47">
        <v>0.99999479999999996</v>
      </c>
      <c r="D34" s="44">
        <v>0.211362049969858</v>
      </c>
      <c r="E34" s="47">
        <v>2.0904508000409598</v>
      </c>
      <c r="F34" s="47">
        <v>0.99999479997139495</v>
      </c>
      <c r="G34" s="47">
        <v>0.2114</v>
      </c>
      <c r="H34" s="25">
        <v>2.0904508040963101</v>
      </c>
      <c r="I34" s="47">
        <v>0.99999479713908002</v>
      </c>
      <c r="J34" s="44">
        <v>0.2114</v>
      </c>
      <c r="K34" s="47">
        <v>2.0904512103691202</v>
      </c>
      <c r="L34" s="47">
        <v>0.99999451339271905</v>
      </c>
      <c r="M34" s="47">
        <v>0.21129999999999999</v>
      </c>
      <c r="N34" s="25">
        <v>2.0904925822077201</v>
      </c>
      <c r="O34" s="47">
        <v>0.99996562001522504</v>
      </c>
      <c r="P34" s="44">
        <v>0.20849999999999999</v>
      </c>
      <c r="Q34" s="25">
        <v>2.0976044978165902</v>
      </c>
      <c r="R34" s="47">
        <v>0.99503582430772097</v>
      </c>
      <c r="S34" s="44">
        <v>0.16400000000000001</v>
      </c>
      <c r="T34" s="25">
        <v>2.1145419294117702</v>
      </c>
      <c r="U34" s="47">
        <v>0.98358451304512695</v>
      </c>
      <c r="V34" s="44">
        <v>0.13320000000000001</v>
      </c>
      <c r="W34" s="25">
        <v>2.2164659384615399</v>
      </c>
      <c r="X34" s="47">
        <v>0.92227241838580298</v>
      </c>
      <c r="Y34" s="44">
        <v>7.8200000000000006E-2</v>
      </c>
      <c r="Z34" s="25">
        <v>2.2952254000000001</v>
      </c>
      <c r="AA34" s="47">
        <v>0.88229524079234201</v>
      </c>
      <c r="AB34" s="44">
        <v>6.2100000000000002E-2</v>
      </c>
      <c r="AC34" s="25">
        <v>2.3739848615384598</v>
      </c>
      <c r="AD34" s="47">
        <v>0.84741488773721996</v>
      </c>
      <c r="AE34" s="44">
        <v>5.2200000000000003E-2</v>
      </c>
      <c r="AF34" s="25">
        <v>2.4759088705882402</v>
      </c>
      <c r="AG34" s="47">
        <v>0.80837380775053402</v>
      </c>
      <c r="AH34" s="44">
        <v>4.3799999999999999E-2</v>
      </c>
      <c r="AI34" s="25">
        <v>2.4950054975609799</v>
      </c>
      <c r="AJ34" s="47">
        <v>0.80171159416390503</v>
      </c>
      <c r="AK34" s="44">
        <v>4.2599999999999999E-2</v>
      </c>
      <c r="AL34" s="47">
        <v>2.4999582177922899</v>
      </c>
      <c r="AM34" s="47">
        <v>0.80001426649266305</v>
      </c>
      <c r="AN34" s="44">
        <v>4.2299999999999997E-2</v>
      </c>
      <c r="AO34" s="47">
        <v>2.4999995896308902</v>
      </c>
      <c r="AP34" s="47">
        <v>0.80000014011586296</v>
      </c>
      <c r="AQ34" s="47">
        <v>4.2302789158258303E-2</v>
      </c>
      <c r="AR34" s="25">
        <v>2.49999999590369</v>
      </c>
      <c r="AS34" s="47">
        <v>0.80000000139863903</v>
      </c>
      <c r="AT34" s="44">
        <v>4.2302764460564898E-2</v>
      </c>
      <c r="AU34" s="47">
        <v>2.4999999999590399</v>
      </c>
      <c r="AV34" s="47">
        <v>0.80000000001398497</v>
      </c>
      <c r="AW34" s="47">
        <v>4.2302764214036503E-2</v>
      </c>
      <c r="AX34" s="25">
        <v>2.5</v>
      </c>
      <c r="AY34" s="47">
        <v>0.8</v>
      </c>
      <c r="AZ34" s="44">
        <v>4.2302764211546599E-2</v>
      </c>
    </row>
    <row r="35" spans="1:56" x14ac:dyDescent="0.25">
      <c r="A35" s="2">
        <v>0.71</v>
      </c>
      <c r="B35" s="25">
        <v>2.0973239000000001</v>
      </c>
      <c r="C35" s="47">
        <v>0.99999389999999999</v>
      </c>
      <c r="D35" s="44">
        <v>0.21112691518687199</v>
      </c>
      <c r="E35" s="47">
        <v>2.0973239000402701</v>
      </c>
      <c r="F35" s="47">
        <v>0.99999389997158405</v>
      </c>
      <c r="G35" s="47">
        <v>0.21110000000000001</v>
      </c>
      <c r="H35" s="25">
        <v>2.09732390402757</v>
      </c>
      <c r="I35" s="47">
        <v>0.99999389715781295</v>
      </c>
      <c r="J35" s="44">
        <v>0.21110000000000001</v>
      </c>
      <c r="K35" s="47">
        <v>2.0973243034822602</v>
      </c>
      <c r="L35" s="47">
        <v>0.99999361526938901</v>
      </c>
      <c r="M35" s="47">
        <v>0.21110000000000001</v>
      </c>
      <c r="N35" s="25">
        <v>2.09736498101408</v>
      </c>
      <c r="O35" s="47">
        <v>0.99996491105497098</v>
      </c>
      <c r="P35" s="44">
        <v>0.2084</v>
      </c>
      <c r="Q35" s="25">
        <v>2.1043575436681201</v>
      </c>
      <c r="R35" s="47">
        <v>0.99506659570733802</v>
      </c>
      <c r="S35" s="44">
        <v>0.16400000000000001</v>
      </c>
      <c r="T35" s="25">
        <v>2.1210107294117599</v>
      </c>
      <c r="U35" s="47">
        <v>0.98368230797441802</v>
      </c>
      <c r="V35" s="44">
        <v>0.1333</v>
      </c>
      <c r="W35" s="25">
        <v>2.2212242384615402</v>
      </c>
      <c r="X35" s="47">
        <v>0.92258358815845898</v>
      </c>
      <c r="Y35" s="44">
        <v>7.8299999999999995E-2</v>
      </c>
      <c r="Z35" s="25">
        <v>2.2986619500000001</v>
      </c>
      <c r="AA35" s="47">
        <v>0.88261300402989096</v>
      </c>
      <c r="AB35" s="44">
        <v>6.2199999999999998E-2</v>
      </c>
      <c r="AC35" s="25">
        <v>2.37609966153846</v>
      </c>
      <c r="AD35" s="47">
        <v>0.84765256090038998</v>
      </c>
      <c r="AE35" s="44">
        <v>5.2299999999999999E-2</v>
      </c>
      <c r="AF35" s="25">
        <v>2.4763131705882402</v>
      </c>
      <c r="AG35" s="47">
        <v>0.80842660020359403</v>
      </c>
      <c r="AH35" s="44">
        <v>4.3799999999999999E-2</v>
      </c>
      <c r="AI35" s="25">
        <v>2.4950893158536598</v>
      </c>
      <c r="AJ35" s="47">
        <v>0.80172276275150001</v>
      </c>
      <c r="AK35" s="44">
        <v>4.2599999999999999E-2</v>
      </c>
      <c r="AL35" s="47">
        <v>2.4999589189859202</v>
      </c>
      <c r="AM35" s="47">
        <v>0.80001436038784401</v>
      </c>
      <c r="AN35" s="44">
        <v>4.2299999999999997E-2</v>
      </c>
      <c r="AO35" s="47">
        <v>2.4999995965177502</v>
      </c>
      <c r="AP35" s="47">
        <v>0.80000014103810302</v>
      </c>
      <c r="AQ35" s="47">
        <v>4.2302789249430303E-2</v>
      </c>
      <c r="AR35" s="25">
        <v>2.4999999959724302</v>
      </c>
      <c r="AS35" s="47">
        <v>0.800000001407844</v>
      </c>
      <c r="AT35" s="44">
        <v>4.2302764461474997E-2</v>
      </c>
      <c r="AU35" s="47">
        <v>2.49999999995973</v>
      </c>
      <c r="AV35" s="47">
        <v>0.80000000001407701</v>
      </c>
      <c r="AW35" s="47">
        <v>4.2302764214045697E-2</v>
      </c>
      <c r="AX35" s="25">
        <v>2.5</v>
      </c>
      <c r="AY35" s="47">
        <v>0.8</v>
      </c>
      <c r="AZ35" s="44">
        <v>4.2302764211546599E-2</v>
      </c>
    </row>
    <row r="36" spans="1:56" x14ac:dyDescent="0.25">
      <c r="A36" s="2">
        <v>0.72</v>
      </c>
      <c r="B36" s="25">
        <v>2.0968664000000001</v>
      </c>
      <c r="C36" s="47">
        <v>0.99999300000000002</v>
      </c>
      <c r="D36" s="44">
        <v>0.21091720667775901</v>
      </c>
      <c r="E36" s="47">
        <v>2.0968664000403101</v>
      </c>
      <c r="F36" s="47">
        <v>0.99999299997157198</v>
      </c>
      <c r="G36" s="47">
        <v>0.2109</v>
      </c>
      <c r="H36" s="25">
        <v>2.0968664040321401</v>
      </c>
      <c r="I36" s="47">
        <v>0.99999299715658496</v>
      </c>
      <c r="J36" s="44">
        <v>0.2109</v>
      </c>
      <c r="K36" s="47">
        <v>2.0968668039406801</v>
      </c>
      <c r="L36" s="47">
        <v>0.99999271514640997</v>
      </c>
      <c r="M36" s="47">
        <v>0.2109</v>
      </c>
      <c r="N36" s="25">
        <v>2.0969075276882299</v>
      </c>
      <c r="O36" s="47">
        <v>0.99996399853616502</v>
      </c>
      <c r="P36" s="44">
        <v>0.2082</v>
      </c>
      <c r="Q36" s="25">
        <v>2.1039080349344998</v>
      </c>
      <c r="R36" s="47">
        <v>0.99506362055158704</v>
      </c>
      <c r="S36" s="44">
        <v>0.16389999999999999</v>
      </c>
      <c r="T36" s="25">
        <v>2.12058014117647</v>
      </c>
      <c r="U36" s="47">
        <v>0.98367494364514496</v>
      </c>
      <c r="V36" s="44">
        <v>0.13320000000000001</v>
      </c>
      <c r="W36" s="25">
        <v>2.2209075076923099</v>
      </c>
      <c r="X36" s="47">
        <v>0.92256233334795101</v>
      </c>
      <c r="Y36" s="44">
        <v>7.8200000000000006E-2</v>
      </c>
      <c r="Z36" s="25">
        <v>2.2984331999999998</v>
      </c>
      <c r="AA36" s="47">
        <v>0.88259147723160603</v>
      </c>
      <c r="AB36" s="44">
        <v>6.2100000000000002E-2</v>
      </c>
      <c r="AC36" s="25">
        <v>2.3759588923076902</v>
      </c>
      <c r="AD36" s="47">
        <v>0.84763651070609902</v>
      </c>
      <c r="AE36" s="44">
        <v>5.2200000000000003E-2</v>
      </c>
      <c r="AF36" s="25">
        <v>2.4762862588235302</v>
      </c>
      <c r="AG36" s="47">
        <v>0.80842304124026299</v>
      </c>
      <c r="AH36" s="44">
        <v>4.3799999999999999E-2</v>
      </c>
      <c r="AI36" s="25">
        <v>2.4950837365853702</v>
      </c>
      <c r="AJ36" s="47">
        <v>0.80172200996478904</v>
      </c>
      <c r="AK36" s="44">
        <v>4.2599999999999999E-2</v>
      </c>
      <c r="AL36" s="47">
        <v>2.4999588723117698</v>
      </c>
      <c r="AM36" s="47">
        <v>0.80001435405937105</v>
      </c>
      <c r="AN36" s="44">
        <v>4.2299999999999997E-2</v>
      </c>
      <c r="AO36" s="47">
        <v>2.4999995960593302</v>
      </c>
      <c r="AP36" s="47">
        <v>0.80000014097594496</v>
      </c>
      <c r="AQ36" s="47">
        <v>4.2302789178123003E-2</v>
      </c>
      <c r="AR36" s="25">
        <v>2.49999999596786</v>
      </c>
      <c r="AS36" s="47">
        <v>0.80000000140722405</v>
      </c>
      <c r="AT36" s="44">
        <v>4.2302764460763302E-2</v>
      </c>
      <c r="AU36" s="47">
        <v>2.4999999999596798</v>
      </c>
      <c r="AV36" s="47">
        <v>0.80000000001407101</v>
      </c>
      <c r="AW36" s="47">
        <v>4.2302764214038502E-2</v>
      </c>
      <c r="AX36" s="25">
        <v>2.5</v>
      </c>
      <c r="AY36" s="47">
        <v>0.8</v>
      </c>
      <c r="AZ36" s="44">
        <v>4.2302764211546599E-2</v>
      </c>
    </row>
    <row r="37" spans="1:56" x14ac:dyDescent="0.25">
      <c r="A37" s="2">
        <v>0.73</v>
      </c>
      <c r="B37" s="25">
        <v>2.1035279999999998</v>
      </c>
      <c r="C37" s="47">
        <v>0.99999199999999999</v>
      </c>
      <c r="D37" s="44">
        <v>0.21083561857448499</v>
      </c>
      <c r="E37" s="47">
        <v>2.1035280000396499</v>
      </c>
      <c r="F37" s="47">
        <v>0.99999199997175203</v>
      </c>
      <c r="G37" s="47">
        <v>0.21079999999999999</v>
      </c>
      <c r="H37" s="25">
        <v>2.10352800396551</v>
      </c>
      <c r="I37" s="47">
        <v>0.99999199717458098</v>
      </c>
      <c r="J37" s="44">
        <v>0.21079999999999999</v>
      </c>
      <c r="K37" s="47">
        <v>2.1035283972657401</v>
      </c>
      <c r="L37" s="47">
        <v>0.99999171694915501</v>
      </c>
      <c r="M37" s="47">
        <v>0.21079999999999999</v>
      </c>
      <c r="N37" s="25">
        <v>2.1035684480718202</v>
      </c>
      <c r="O37" s="47">
        <v>0.99996318205071399</v>
      </c>
      <c r="P37" s="44">
        <v>0.2082</v>
      </c>
      <c r="Q37" s="25">
        <v>2.1104532751091698</v>
      </c>
      <c r="R37" s="47">
        <v>0.99509305343966903</v>
      </c>
      <c r="S37" s="44">
        <v>0.1641</v>
      </c>
      <c r="T37" s="25">
        <v>2.12684988235294</v>
      </c>
      <c r="U37" s="47">
        <v>0.98376884471331905</v>
      </c>
      <c r="V37" s="44">
        <v>0.13350000000000001</v>
      </c>
      <c r="W37" s="25">
        <v>2.2255193846153798</v>
      </c>
      <c r="X37" s="47">
        <v>0.92286252872171004</v>
      </c>
      <c r="Y37" s="44">
        <v>7.8399999999999997E-2</v>
      </c>
      <c r="Z37" s="25">
        <v>2.3017639999999999</v>
      </c>
      <c r="AA37" s="47">
        <v>0.88289880090250505</v>
      </c>
      <c r="AB37" s="44">
        <v>6.2300000000000001E-2</v>
      </c>
      <c r="AC37" s="25">
        <v>2.3780086153846098</v>
      </c>
      <c r="AD37" s="47">
        <v>0.84786686928166699</v>
      </c>
      <c r="AE37" s="44">
        <v>5.2299999999999999E-2</v>
      </c>
      <c r="AF37" s="25">
        <v>2.4766781176470598</v>
      </c>
      <c r="AG37" s="47">
        <v>0.80847433134743996</v>
      </c>
      <c r="AH37" s="44">
        <v>4.3799999999999999E-2</v>
      </c>
      <c r="AI37" s="25">
        <v>2.49516497560976</v>
      </c>
      <c r="AJ37" s="47">
        <v>0.80173286513971098</v>
      </c>
      <c r="AK37" s="44">
        <v>4.2599999999999999E-2</v>
      </c>
      <c r="AL37" s="47">
        <v>2.4999595519281801</v>
      </c>
      <c r="AM37" s="47">
        <v>0.80001444532913202</v>
      </c>
      <c r="AN37" s="44">
        <v>4.2299999999999997E-2</v>
      </c>
      <c r="AO37" s="47">
        <v>2.4999996027342699</v>
      </c>
      <c r="AP37" s="47">
        <v>0.80000014187239998</v>
      </c>
      <c r="AQ37" s="47">
        <v>4.2302789395241999E-2</v>
      </c>
      <c r="AR37" s="25">
        <v>2.4999999960344899</v>
      </c>
      <c r="AS37" s="47">
        <v>0.800000001416172</v>
      </c>
      <c r="AT37" s="44">
        <v>4.2302764462930499E-2</v>
      </c>
      <c r="AU37" s="47">
        <v>2.4999999999603499</v>
      </c>
      <c r="AV37" s="47">
        <v>0.80000000001416005</v>
      </c>
      <c r="AW37" s="47">
        <v>4.23027642140602E-2</v>
      </c>
      <c r="AX37" s="25">
        <v>2.5</v>
      </c>
      <c r="AY37" s="47">
        <v>0.8</v>
      </c>
      <c r="AZ37" s="44">
        <v>4.2302764211546599E-2</v>
      </c>
    </row>
    <row r="38" spans="1:56" x14ac:dyDescent="0.25">
      <c r="A38" s="2">
        <v>0.74</v>
      </c>
      <c r="B38" s="25">
        <v>2.0964624999999999</v>
      </c>
      <c r="C38" s="47">
        <v>0.9999903</v>
      </c>
      <c r="D38" s="44">
        <v>0.21057226310994101</v>
      </c>
      <c r="E38" s="47">
        <v>2.0964625000403498</v>
      </c>
      <c r="F38" s="47">
        <v>0.99999029997155997</v>
      </c>
      <c r="G38" s="47">
        <v>0.21060000000000001</v>
      </c>
      <c r="H38" s="25">
        <v>2.0964625040361802</v>
      </c>
      <c r="I38" s="47">
        <v>0.99999029715553001</v>
      </c>
      <c r="J38" s="44">
        <v>0.21060000000000001</v>
      </c>
      <c r="K38" s="47">
        <v>2.0964629043453802</v>
      </c>
      <c r="L38" s="47">
        <v>0.99999001504048901</v>
      </c>
      <c r="M38" s="47">
        <v>0.21049999999999999</v>
      </c>
      <c r="N38" s="25">
        <v>2.0965036688941101</v>
      </c>
      <c r="O38" s="47">
        <v>0.99996128775367199</v>
      </c>
      <c r="P38" s="44">
        <v>0.20810000000000001</v>
      </c>
      <c r="Q38" s="25">
        <v>2.1035111899563299</v>
      </c>
      <c r="R38" s="47">
        <v>0.99505913441235805</v>
      </c>
      <c r="S38" s="44">
        <v>0.16389999999999999</v>
      </c>
      <c r="T38" s="25">
        <v>2.1202000000000001</v>
      </c>
      <c r="U38" s="47">
        <v>0.98366668907126797</v>
      </c>
      <c r="V38" s="44">
        <v>0.13320000000000001</v>
      </c>
      <c r="W38" s="25">
        <v>2.22062788461538</v>
      </c>
      <c r="X38" s="47">
        <v>0.92254239587978204</v>
      </c>
      <c r="Y38" s="44">
        <v>7.8200000000000006E-2</v>
      </c>
      <c r="Z38" s="25">
        <v>2.2982312500000002</v>
      </c>
      <c r="AA38" s="47">
        <v>0.88257168342117698</v>
      </c>
      <c r="AB38" s="44">
        <v>6.2100000000000002E-2</v>
      </c>
      <c r="AC38" s="25">
        <v>2.3758346153846102</v>
      </c>
      <c r="AD38" s="47">
        <v>0.84762188745620104</v>
      </c>
      <c r="AE38" s="44">
        <v>5.2200000000000003E-2</v>
      </c>
      <c r="AF38" s="25">
        <v>2.4762624999999998</v>
      </c>
      <c r="AG38" s="47">
        <v>0.80841981957554099</v>
      </c>
      <c r="AH38" s="44">
        <v>4.3799999999999999E-2</v>
      </c>
      <c r="AI38" s="25">
        <v>2.4950788109756101</v>
      </c>
      <c r="AJ38" s="47">
        <v>0.80172132910916105</v>
      </c>
      <c r="AK38" s="44">
        <v>4.2599999999999999E-2</v>
      </c>
      <c r="AL38" s="47">
        <v>2.4999588311059</v>
      </c>
      <c r="AM38" s="47">
        <v>0.80001434833680896</v>
      </c>
      <c r="AN38" s="44">
        <v>4.2299999999999997E-2</v>
      </c>
      <c r="AO38" s="47">
        <v>2.4999995956546202</v>
      </c>
      <c r="AP38" s="47">
        <v>0.80000014091973803</v>
      </c>
      <c r="AQ38" s="47">
        <v>4.2302789196552601E-2</v>
      </c>
      <c r="AR38" s="25">
        <v>2.4999999959638202</v>
      </c>
      <c r="AS38" s="47">
        <v>0.80000000140666305</v>
      </c>
      <c r="AT38" s="44">
        <v>4.2302764460947197E-2</v>
      </c>
      <c r="AU38" s="47">
        <v>2.4999999999596398</v>
      </c>
      <c r="AV38" s="47">
        <v>0.80000000001406502</v>
      </c>
      <c r="AW38" s="47">
        <v>4.2302764214040299E-2</v>
      </c>
      <c r="AX38" s="25">
        <v>2.5</v>
      </c>
      <c r="AY38" s="47">
        <v>0.8</v>
      </c>
      <c r="AZ38" s="44">
        <v>4.2302764211546599E-2</v>
      </c>
    </row>
    <row r="39" spans="1:56" x14ac:dyDescent="0.25">
      <c r="A39" s="2">
        <v>0.75</v>
      </c>
      <c r="B39" s="25">
        <v>2.0980886999999999</v>
      </c>
      <c r="C39" s="47">
        <v>0.99999020000000005</v>
      </c>
      <c r="D39" s="44">
        <v>0.21051938529567901</v>
      </c>
      <c r="E39" s="47">
        <v>2.09808870004019</v>
      </c>
      <c r="F39" s="47">
        <v>0.99999019997160599</v>
      </c>
      <c r="G39" s="47">
        <v>0.21049999999999999</v>
      </c>
      <c r="H39" s="25">
        <v>2.0980887040199101</v>
      </c>
      <c r="I39" s="47">
        <v>0.99999019715993998</v>
      </c>
      <c r="J39" s="44">
        <v>0.21049999999999999</v>
      </c>
      <c r="K39" s="47">
        <v>2.0980891027159299</v>
      </c>
      <c r="L39" s="47">
        <v>0.99998991548219596</v>
      </c>
      <c r="M39" s="47">
        <v>0.21049999999999999</v>
      </c>
      <c r="N39" s="25">
        <v>2.0981297029891901</v>
      </c>
      <c r="O39" s="47">
        <v>0.99996123271821102</v>
      </c>
      <c r="P39" s="44">
        <v>0.20810000000000001</v>
      </c>
      <c r="Q39" s="25">
        <v>2.1051089847161601</v>
      </c>
      <c r="R39" s="47">
        <v>0.99506648994618396</v>
      </c>
      <c r="S39" s="44">
        <v>0.16389999999999999</v>
      </c>
      <c r="T39" s="25">
        <v>2.1217305411764702</v>
      </c>
      <c r="U39" s="47">
        <v>0.98368983017411205</v>
      </c>
      <c r="V39" s="44">
        <v>0.1333</v>
      </c>
      <c r="W39" s="25">
        <v>2.2217537153846201</v>
      </c>
      <c r="X39" s="47">
        <v>0.922615914531564</v>
      </c>
      <c r="Y39" s="44">
        <v>7.8200000000000006E-2</v>
      </c>
      <c r="Z39" s="25">
        <v>2.29904435</v>
      </c>
      <c r="AA39" s="47">
        <v>0.88264683315944503</v>
      </c>
      <c r="AB39" s="44">
        <v>6.2100000000000002E-2</v>
      </c>
      <c r="AC39" s="25">
        <v>2.3763349846153798</v>
      </c>
      <c r="AD39" s="47">
        <v>0.84767815182200401</v>
      </c>
      <c r="AE39" s="44">
        <v>5.2200000000000003E-2</v>
      </c>
      <c r="AF39" s="25">
        <v>2.4763581588235302</v>
      </c>
      <c r="AG39" s="47">
        <v>0.80843233175604701</v>
      </c>
      <c r="AH39" s="44">
        <v>4.3799999999999999E-2</v>
      </c>
      <c r="AI39" s="25">
        <v>2.49509864268293</v>
      </c>
      <c r="AJ39" s="47">
        <v>0.80172397668135797</v>
      </c>
      <c r="AK39" s="44">
        <v>4.2599999999999999E-2</v>
      </c>
      <c r="AL39" s="47">
        <v>2.4999589970108098</v>
      </c>
      <c r="AM39" s="47">
        <v>0.80001437059631098</v>
      </c>
      <c r="AN39" s="44">
        <v>4.2299999999999997E-2</v>
      </c>
      <c r="AO39" s="47">
        <v>2.4999995972840798</v>
      </c>
      <c r="AP39" s="47">
        <v>0.80000014113837203</v>
      </c>
      <c r="AQ39" s="47">
        <v>4.2302789199803903E-2</v>
      </c>
      <c r="AR39" s="25">
        <v>2.49999999598008</v>
      </c>
      <c r="AS39" s="47">
        <v>0.80000000140884497</v>
      </c>
      <c r="AT39" s="44">
        <v>4.2302764460979699E-2</v>
      </c>
      <c r="AU39" s="47">
        <v>2.4999999999598099</v>
      </c>
      <c r="AV39" s="47">
        <v>0.800000000014086</v>
      </c>
      <c r="AW39" s="47">
        <v>4.2302764214040597E-2</v>
      </c>
      <c r="AX39" s="25">
        <v>2.5</v>
      </c>
      <c r="AY39" s="47">
        <v>0.8</v>
      </c>
      <c r="AZ39" s="44">
        <v>4.2302764211546599E-2</v>
      </c>
    </row>
    <row r="40" spans="1:56" x14ac:dyDescent="0.25">
      <c r="A40" s="2">
        <v>0.76</v>
      </c>
      <c r="B40" s="25">
        <v>2.1014781</v>
      </c>
      <c r="C40" s="47">
        <v>0.99998730000000002</v>
      </c>
      <c r="D40" s="44">
        <v>0.21032621063239201</v>
      </c>
      <c r="E40" s="47">
        <v>2.1014781000398499</v>
      </c>
      <c r="F40" s="47">
        <v>0.999987299971696</v>
      </c>
      <c r="G40" s="47">
        <v>0.21029999999999999</v>
      </c>
      <c r="H40" s="25">
        <v>2.1014781039860102</v>
      </c>
      <c r="I40" s="47">
        <v>0.99998729716913304</v>
      </c>
      <c r="J40" s="44">
        <v>0.21029999999999999</v>
      </c>
      <c r="K40" s="47">
        <v>2.10147849931974</v>
      </c>
      <c r="L40" s="47">
        <v>0.99998701640334497</v>
      </c>
      <c r="M40" s="47">
        <v>0.21029999999999999</v>
      </c>
      <c r="N40" s="25">
        <v>2.1015187572026099</v>
      </c>
      <c r="O40" s="47">
        <v>0.99995842648868605</v>
      </c>
      <c r="P40" s="44">
        <v>0.20799999999999999</v>
      </c>
      <c r="Q40" s="25">
        <v>2.1084391812227099</v>
      </c>
      <c r="R40" s="47">
        <v>0.99507914138684594</v>
      </c>
      <c r="S40" s="44">
        <v>0.1641</v>
      </c>
      <c r="T40" s="25">
        <v>2.1249205647058802</v>
      </c>
      <c r="U40" s="47">
        <v>0.98373543453458401</v>
      </c>
      <c r="V40" s="44">
        <v>0.13350000000000001</v>
      </c>
      <c r="W40" s="25">
        <v>2.22410022307692</v>
      </c>
      <c r="X40" s="47">
        <v>0.92276722691610003</v>
      </c>
      <c r="Y40" s="44">
        <v>7.8399999999999997E-2</v>
      </c>
      <c r="Z40" s="25">
        <v>2.3007390499999998</v>
      </c>
      <c r="AA40" s="47">
        <v>0.88280222667002795</v>
      </c>
      <c r="AB40" s="44">
        <v>6.2300000000000001E-2</v>
      </c>
      <c r="AC40" s="25">
        <v>2.3773778769230698</v>
      </c>
      <c r="AD40" s="47">
        <v>0.847794783580615</v>
      </c>
      <c r="AE40" s="44">
        <v>5.2299999999999999E-2</v>
      </c>
      <c r="AF40" s="25">
        <v>2.4765575352941198</v>
      </c>
      <c r="AG40" s="47">
        <v>0.80845832226006198</v>
      </c>
      <c r="AH40" s="44">
        <v>4.3799999999999999E-2</v>
      </c>
      <c r="AI40" s="25">
        <v>2.4951399768292699</v>
      </c>
      <c r="AJ40" s="47">
        <v>0.80172947795925598</v>
      </c>
      <c r="AK40" s="44">
        <v>4.2599999999999999E-2</v>
      </c>
      <c r="AL40" s="47">
        <v>2.4999593427973901</v>
      </c>
      <c r="AM40" s="47">
        <v>0.80001441685194996</v>
      </c>
      <c r="AN40" s="44">
        <v>4.2299999999999997E-2</v>
      </c>
      <c r="AO40" s="47">
        <v>2.4999996006802601</v>
      </c>
      <c r="AP40" s="47">
        <v>0.80000014159269595</v>
      </c>
      <c r="AQ40" s="47">
        <v>4.23027894177316E-2</v>
      </c>
      <c r="AR40" s="25">
        <v>2.49999999601398</v>
      </c>
      <c r="AS40" s="47">
        <v>0.80000000141338001</v>
      </c>
      <c r="AT40" s="44">
        <v>4.2302764463155E-2</v>
      </c>
      <c r="AU40" s="47">
        <v>2.4999999999601501</v>
      </c>
      <c r="AV40" s="47">
        <v>0.80000000001413196</v>
      </c>
      <c r="AW40" s="47">
        <v>4.2302764214062399E-2</v>
      </c>
      <c r="AX40" s="25">
        <v>2.5</v>
      </c>
      <c r="AY40" s="47">
        <v>0.8</v>
      </c>
      <c r="AZ40" s="44">
        <v>4.2302764211546599E-2</v>
      </c>
    </row>
    <row r="41" spans="1:56" x14ac:dyDescent="0.25">
      <c r="A41" s="2">
        <v>0.77</v>
      </c>
      <c r="B41" s="25">
        <v>2.1019956999999998</v>
      </c>
      <c r="C41" s="47">
        <v>0.99998589999999998</v>
      </c>
      <c r="D41" s="44">
        <v>0.210176644868108</v>
      </c>
      <c r="E41" s="47">
        <v>2.1019957000398</v>
      </c>
      <c r="F41" s="47">
        <v>0.99998589997171305</v>
      </c>
      <c r="G41" s="47">
        <v>0.2102</v>
      </c>
      <c r="H41" s="25">
        <v>2.1019957039808399</v>
      </c>
      <c r="I41" s="47">
        <v>0.99998589717054598</v>
      </c>
      <c r="J41" s="44">
        <v>0.2102</v>
      </c>
      <c r="K41" s="47">
        <v>2.1019960988011102</v>
      </c>
      <c r="L41" s="47">
        <v>0.99998561654497797</v>
      </c>
      <c r="M41" s="47">
        <v>0.21010000000000001</v>
      </c>
      <c r="N41" s="25">
        <v>2.10203630439706</v>
      </c>
      <c r="O41" s="47">
        <v>0.99995704090666404</v>
      </c>
      <c r="P41" s="44">
        <v>0.2079</v>
      </c>
      <c r="Q41" s="25">
        <v>2.1089477401746701</v>
      </c>
      <c r="R41" s="47">
        <v>0.99508013333559997</v>
      </c>
      <c r="S41" s="44">
        <v>0.16420000000000001</v>
      </c>
      <c r="T41" s="25">
        <v>2.12540771764706</v>
      </c>
      <c r="U41" s="47">
        <v>0.98374150100792801</v>
      </c>
      <c r="V41" s="44">
        <v>0.13350000000000001</v>
      </c>
      <c r="W41" s="25">
        <v>2.22445856153846</v>
      </c>
      <c r="X41" s="47">
        <v>0.92278971436530499</v>
      </c>
      <c r="Y41" s="44">
        <v>7.8399999999999997E-2</v>
      </c>
      <c r="Z41" s="25">
        <v>2.3009978499999999</v>
      </c>
      <c r="AA41" s="47">
        <v>0.88282554565562099</v>
      </c>
      <c r="AB41" s="44">
        <v>6.2300000000000001E-2</v>
      </c>
      <c r="AC41" s="25">
        <v>2.3775371384615398</v>
      </c>
      <c r="AD41" s="47">
        <v>0.84781236619350597</v>
      </c>
      <c r="AE41" s="44">
        <v>5.2299999999999999E-2</v>
      </c>
      <c r="AF41" s="25">
        <v>2.4765879823529402</v>
      </c>
      <c r="AG41" s="47">
        <v>0.80846225382161496</v>
      </c>
      <c r="AH41" s="44">
        <v>4.3900000000000002E-2</v>
      </c>
      <c r="AI41" s="25">
        <v>2.4951462890243898</v>
      </c>
      <c r="AJ41" s="47">
        <v>0.80173031052965005</v>
      </c>
      <c r="AK41" s="44">
        <v>4.2599999999999999E-2</v>
      </c>
      <c r="AL41" s="47">
        <v>2.4999593956029398</v>
      </c>
      <c r="AM41" s="47">
        <v>0.80001442385316102</v>
      </c>
      <c r="AN41" s="44">
        <v>4.2299999999999997E-2</v>
      </c>
      <c r="AO41" s="47">
        <v>2.4999996011988999</v>
      </c>
      <c r="AP41" s="47">
        <v>0.80000014166146205</v>
      </c>
      <c r="AQ41" s="47">
        <v>4.2302789433289301E-2</v>
      </c>
      <c r="AR41" s="25">
        <v>2.4999999960191599</v>
      </c>
      <c r="AS41" s="47">
        <v>0.80000000141406702</v>
      </c>
      <c r="AT41" s="44">
        <v>4.2302764463310299E-2</v>
      </c>
      <c r="AU41" s="47">
        <v>2.4999999999601998</v>
      </c>
      <c r="AV41" s="47">
        <v>0.80000000001413896</v>
      </c>
      <c r="AW41" s="47">
        <v>4.2302764214064002E-2</v>
      </c>
      <c r="AX41" s="25">
        <v>2.5</v>
      </c>
      <c r="AY41" s="47">
        <v>0.8</v>
      </c>
      <c r="AZ41" s="44">
        <v>4.2302764211546599E-2</v>
      </c>
    </row>
    <row r="42" spans="1:56" x14ac:dyDescent="0.25">
      <c r="A42" s="2">
        <v>0.78</v>
      </c>
      <c r="B42" s="25">
        <v>2.1001865999999998</v>
      </c>
      <c r="C42" s="47">
        <v>0.99998379999999998</v>
      </c>
      <c r="D42" s="44">
        <v>0.209847336626419</v>
      </c>
      <c r="E42" s="47">
        <v>2.1001866000399798</v>
      </c>
      <c r="F42" s="47">
        <v>0.99998379997166298</v>
      </c>
      <c r="G42" s="47">
        <v>0.20979999999999999</v>
      </c>
      <c r="H42" s="25">
        <v>2.1001866039989299</v>
      </c>
      <c r="I42" s="47">
        <v>0.99998379716569896</v>
      </c>
      <c r="J42" s="44">
        <v>0.20979999999999999</v>
      </c>
      <c r="K42" s="47">
        <v>2.1001870006138299</v>
      </c>
      <c r="L42" s="47">
        <v>0.99998351605941305</v>
      </c>
      <c r="M42" s="47">
        <v>0.20979999999999999</v>
      </c>
      <c r="N42" s="25">
        <v>2.1002273889614398</v>
      </c>
      <c r="O42" s="47">
        <v>0.99995489147757799</v>
      </c>
      <c r="P42" s="44">
        <v>0.2077</v>
      </c>
      <c r="Q42" s="25">
        <v>2.1071702401746801</v>
      </c>
      <c r="R42" s="47">
        <v>0.995069837406654</v>
      </c>
      <c r="S42" s="44">
        <v>0.16400000000000001</v>
      </c>
      <c r="T42" s="25">
        <v>2.1237050352941198</v>
      </c>
      <c r="U42" s="47">
        <v>0.98371385176937098</v>
      </c>
      <c r="V42" s="44">
        <v>0.1333</v>
      </c>
      <c r="W42" s="25">
        <v>2.22320610769231</v>
      </c>
      <c r="X42" s="47">
        <v>0.92270678803640704</v>
      </c>
      <c r="Y42" s="44">
        <v>7.8299999999999995E-2</v>
      </c>
      <c r="Z42" s="25">
        <v>2.3000932999999999</v>
      </c>
      <c r="AA42" s="47">
        <v>0.88274113016018196</v>
      </c>
      <c r="AB42" s="44">
        <v>6.2199999999999998E-2</v>
      </c>
      <c r="AC42" s="25">
        <v>2.3769804923076898</v>
      </c>
      <c r="AD42" s="47">
        <v>0.84774924198503498</v>
      </c>
      <c r="AE42" s="44">
        <v>5.2299999999999999E-2</v>
      </c>
      <c r="AF42" s="25">
        <v>2.47648156470588</v>
      </c>
      <c r="AG42" s="47">
        <v>0.808448220236892</v>
      </c>
      <c r="AH42" s="44">
        <v>4.3799999999999999E-2</v>
      </c>
      <c r="AI42" s="25">
        <v>2.4951242268292702</v>
      </c>
      <c r="AJ42" s="47">
        <v>0.80172734097531595</v>
      </c>
      <c r="AK42" s="44">
        <v>4.2599999999999999E-2</v>
      </c>
      <c r="AL42" s="47">
        <v>2.49995921103856</v>
      </c>
      <c r="AM42" s="47">
        <v>0.80001439888641401</v>
      </c>
      <c r="AN42" s="44">
        <v>4.2299999999999997E-2</v>
      </c>
      <c r="AO42" s="47">
        <v>2.4999995993861801</v>
      </c>
      <c r="AP42" s="47">
        <v>0.80000014141623799</v>
      </c>
      <c r="AQ42" s="47">
        <v>4.2302789288991401E-2</v>
      </c>
      <c r="AR42" s="25">
        <v>2.4999999960010699</v>
      </c>
      <c r="AS42" s="47">
        <v>0.80000000141161898</v>
      </c>
      <c r="AT42" s="44">
        <v>4.2302764461869903E-2</v>
      </c>
      <c r="AU42" s="47">
        <v>2.49999999996002</v>
      </c>
      <c r="AV42" s="47">
        <v>0.80000000001411498</v>
      </c>
      <c r="AW42" s="47">
        <v>4.2302764214049597E-2</v>
      </c>
      <c r="AX42" s="25">
        <v>2.5</v>
      </c>
      <c r="AY42" s="47">
        <v>0.8</v>
      </c>
      <c r="AZ42" s="44">
        <v>4.2302764211546599E-2</v>
      </c>
    </row>
    <row r="43" spans="1:56" ht="15.75" thickBot="1" x14ac:dyDescent="0.3">
      <c r="A43" s="2">
        <v>0.79</v>
      </c>
      <c r="B43" s="25">
        <v>2.1049039</v>
      </c>
      <c r="C43" s="47">
        <v>0.99998100000000001</v>
      </c>
      <c r="D43" s="44">
        <v>0.20968728715948501</v>
      </c>
      <c r="E43" s="47">
        <v>2.1049039000395098</v>
      </c>
      <c r="F43" s="47">
        <v>0.99998099997179202</v>
      </c>
      <c r="G43" s="47">
        <v>0.2097</v>
      </c>
      <c r="H43" s="25">
        <v>2.1049039039517501</v>
      </c>
      <c r="I43" s="47">
        <v>0.99998099717842903</v>
      </c>
      <c r="J43" s="44">
        <v>0.2097</v>
      </c>
      <c r="K43" s="47">
        <v>2.1049042958870801</v>
      </c>
      <c r="L43" s="47">
        <v>0.99998071733462301</v>
      </c>
      <c r="M43" s="47">
        <v>0.2097</v>
      </c>
      <c r="N43" s="25">
        <v>2.10494420770251</v>
      </c>
      <c r="O43" s="47">
        <v>0.99995222129047501</v>
      </c>
      <c r="P43" s="44">
        <v>0.2077</v>
      </c>
      <c r="Q43" s="25">
        <v>2.1118051419213999</v>
      </c>
      <c r="R43" s="47">
        <v>0.99508856835391701</v>
      </c>
      <c r="S43" s="44">
        <v>0.16420000000000001</v>
      </c>
      <c r="T43" s="25">
        <v>2.1281448470588198</v>
      </c>
      <c r="U43" s="47">
        <v>0.98377822018142702</v>
      </c>
      <c r="V43" s="44">
        <v>0.1336</v>
      </c>
      <c r="W43" s="25">
        <v>2.2264719307692298</v>
      </c>
      <c r="X43" s="47">
        <v>0.92291772437318997</v>
      </c>
      <c r="Y43" s="44">
        <v>7.85E-2</v>
      </c>
      <c r="Z43" s="25">
        <v>2.30245195</v>
      </c>
      <c r="AA43" s="47">
        <v>0.88295771859063299</v>
      </c>
      <c r="AB43" s="44">
        <v>6.2300000000000001E-2</v>
      </c>
      <c r="AC43" s="25">
        <v>2.3784319692307698</v>
      </c>
      <c r="AD43" s="47">
        <v>0.84791186578259203</v>
      </c>
      <c r="AE43" s="44">
        <v>5.2299999999999999E-2</v>
      </c>
      <c r="AF43" s="25">
        <v>2.4767590529411798</v>
      </c>
      <c r="AG43" s="47">
        <v>0.808484483767554</v>
      </c>
      <c r="AH43" s="44">
        <v>4.3900000000000002E-2</v>
      </c>
      <c r="AI43" s="25">
        <v>2.4951817548780499</v>
      </c>
      <c r="AJ43" s="47">
        <v>0.80173501767722399</v>
      </c>
      <c r="AK43" s="44">
        <v>4.2599999999999999E-2</v>
      </c>
      <c r="AL43" s="47">
        <v>2.49995969229749</v>
      </c>
      <c r="AM43" s="47">
        <v>0.80001446343551696</v>
      </c>
      <c r="AN43" s="44">
        <v>4.2299999999999997E-2</v>
      </c>
      <c r="AO43" s="47">
        <v>2.49999960411292</v>
      </c>
      <c r="AP43" s="47">
        <v>0.80000014205024195</v>
      </c>
      <c r="AQ43" s="47">
        <v>4.2302789496880197E-2</v>
      </c>
      <c r="AR43" s="25">
        <v>2.49999999604825</v>
      </c>
      <c r="AS43" s="47">
        <v>0.80000000141794703</v>
      </c>
      <c r="AT43" s="44">
        <v>4.2302764463945E-2</v>
      </c>
      <c r="AU43" s="47">
        <v>2.4999999999604898</v>
      </c>
      <c r="AV43" s="47">
        <v>0.80000000001417804</v>
      </c>
      <c r="AW43" s="47">
        <v>4.2302764214070303E-2</v>
      </c>
      <c r="AX43" s="25">
        <v>2.5</v>
      </c>
      <c r="AY43" s="47">
        <v>0.8</v>
      </c>
      <c r="AZ43" s="44">
        <v>4.2302764211546599E-2</v>
      </c>
    </row>
    <row r="44" spans="1:56" ht="15.75" thickBot="1" x14ac:dyDescent="0.3">
      <c r="A44" s="41" t="s">
        <v>68</v>
      </c>
      <c r="B44" s="45">
        <f>AVERAGE(Table57[Q(H20)])</f>
        <v>2.0858491150000003</v>
      </c>
      <c r="C44" s="46">
        <f>AVERAGE(Table57[W(H20)])</f>
        <v>0.99999648500000016</v>
      </c>
      <c r="D44" s="48">
        <f>AVERAGE(Table57[A(H20)])</f>
        <v>0.21187544712944431</v>
      </c>
      <c r="E44" s="46">
        <f>AVERAGE(Table57[Qmix])</f>
        <v>2.0858491150414147</v>
      </c>
      <c r="F44" s="46">
        <f>AVERAGE(Table57[Wmix])</f>
        <v>0.99999648497125759</v>
      </c>
      <c r="G44" s="46">
        <f>AVERAGE(Table57[Amix])</f>
        <v>0.21186250000000001</v>
      </c>
      <c r="H44" s="45">
        <f>AVERAGE(Table57[Qmix9])</f>
        <v>2.0858491191423356</v>
      </c>
      <c r="I44" s="46">
        <f>AVERAGE(Table57[Wmix9])</f>
        <v>0.99999648212520076</v>
      </c>
      <c r="J44" s="48">
        <f>AVERAGE(Table57[Amix9])</f>
        <v>0.21185499999999999</v>
      </c>
      <c r="K44" s="46">
        <f>AVERAGE(Table57[Qmix8])</f>
        <v>2.0858495299800177</v>
      </c>
      <c r="L44" s="46">
        <f>AVERAGE(Table57[Wmix8])</f>
        <v>0.99999619700225373</v>
      </c>
      <c r="M44" s="46">
        <f>AVERAGE(Table57[Amix8])</f>
        <v>0.21171499999999996</v>
      </c>
      <c r="N44" s="45">
        <f>AVERAGE(Table57[Qmix2])</f>
        <v>2.085891366671599</v>
      </c>
      <c r="O44" s="46">
        <f>AVERAGE(Table57[Wmix2])</f>
        <v>0.99996716347260095</v>
      </c>
      <c r="P44" s="48">
        <f>AVERAGE(Table57[Amix2])</f>
        <v>0.20841500000000002</v>
      </c>
      <c r="Q44" s="45">
        <f>AVERAGE(Table57[Qmix12])</f>
        <v>2.0930831915938866</v>
      </c>
      <c r="R44" s="46">
        <f>AVERAGE(Table57[Wmix1])</f>
        <v>0.99501411762868153</v>
      </c>
      <c r="S44" s="48">
        <f>AVERAGE(Table57[Amix1])</f>
        <v>0.16368000000000005</v>
      </c>
      <c r="T44" s="45">
        <f>AVERAGE(Table57[Qmix3])</f>
        <v>2.1102109317647058</v>
      </c>
      <c r="U44" s="46">
        <f>AVERAGE(Table57[Wmix3])</f>
        <v>0.98351383791243896</v>
      </c>
      <c r="V44" s="48">
        <f>AVERAGE(Table57[Amix3])</f>
        <v>0.13289500000000001</v>
      </c>
      <c r="W44" s="45">
        <f>AVERAGE(Table57[Qmix4])</f>
        <v>2.2132801565384614</v>
      </c>
      <c r="X44" s="46">
        <f>AVERAGE(Table57[Wmix4])</f>
        <v>0.92205421562738166</v>
      </c>
      <c r="Y44" s="48">
        <f>AVERAGE(Table57[Amix4])</f>
        <v>7.7929999999999972E-2</v>
      </c>
      <c r="Z44" s="45">
        <f>AVERAGE(Table57[Qmix5])</f>
        <v>2.292924557500001</v>
      </c>
      <c r="AA44" s="46">
        <f>AVERAGE(Table57[Wmix5])</f>
        <v>0.88207815382240662</v>
      </c>
      <c r="AB44" s="48">
        <f>AVERAGE(Table57[Amix5])</f>
        <v>6.1935000000000004E-2</v>
      </c>
      <c r="AC44" s="45">
        <f>AVERAGE(Table57[Qmix6])</f>
        <v>2.3725689584615361</v>
      </c>
      <c r="AD44" s="46">
        <f>AVERAGE(Table57[Wmix6])</f>
        <v>0.84725630673773189</v>
      </c>
      <c r="AE44" s="48">
        <f>AVERAGE(Table57[Amix6])</f>
        <v>5.213000000000001E-2</v>
      </c>
      <c r="AF44" s="45">
        <f>AVERAGE(Table57[Qmix7])</f>
        <v>2.4756381832352949</v>
      </c>
      <c r="AG44" s="46">
        <f>AVERAGE(Table57[Wmix7])</f>
        <v>0.80833952727320235</v>
      </c>
      <c r="AH44" s="46">
        <f>AVERAGE(Table57[Amix7])</f>
        <v>4.3812500000000018E-2</v>
      </c>
      <c r="AI44" s="45">
        <f>AVERAGE(Table57[Qmix10])</f>
        <v>2.4949493794512221</v>
      </c>
      <c r="AJ44" s="46">
        <f>AVERAGE(Table57[Wmix10])</f>
        <v>0.8017043759568887</v>
      </c>
      <c r="AK44" s="48">
        <f>AVERAGE(Table57[Amix80])</f>
        <v>4.2599999999999978E-2</v>
      </c>
      <c r="AL44" s="45">
        <f>AVERAGE(Table57[Qmix11])</f>
        <v>2.4999577483284017</v>
      </c>
      <c r="AM44" s="46">
        <f>AVERAGE(Table57[Wmix11])</f>
        <v>0.80001420588155603</v>
      </c>
      <c r="AN44" s="48">
        <f>AVERAGE(Table57[Amix77])</f>
        <v>4.2299999999999997E-2</v>
      </c>
      <c r="AO44" s="46">
        <f>AVERAGE(Table57[Qmix13])</f>
        <v>2.4999995850199879</v>
      </c>
      <c r="AP44" s="46">
        <f>AVERAGE(Table57[Wmix12])</f>
        <v>0.80000013952054494</v>
      </c>
      <c r="AQ44" s="46">
        <f>AVERAGE(Table57[Amix74])</f>
        <v>4.2302788876505307E-2</v>
      </c>
      <c r="AR44" s="45">
        <f>AVERAGE(Table57[Qmix14])</f>
        <v>2.4999999958576633</v>
      </c>
      <c r="AS44" s="46">
        <f>AVERAGE(Table57[Wmix13])</f>
        <v>0.80000000139269623</v>
      </c>
      <c r="AT44" s="48">
        <f>AVERAGE(Table57[Amix744])</f>
        <v>4.2302764457752474E-2</v>
      </c>
      <c r="AU44" s="45">
        <f>AVERAGE(Table57[Qmix15])</f>
        <v>2.4999999999585834</v>
      </c>
      <c r="AV44" s="46">
        <f>AVERAGE(Table57[Wmix14])</f>
        <v>0.80000000001392524</v>
      </c>
      <c r="AW44" s="48">
        <f>AVERAGE(Table57[Amix762])</f>
        <v>4.2302764214008401E-2</v>
      </c>
      <c r="AX44" s="54">
        <f>AVERAGE(Table57[Q(Dust)])</f>
        <v>2.5</v>
      </c>
      <c r="AY44" s="55">
        <f>AVERAGE(Table57[W(Dust)])</f>
        <v>0.80000000000000038</v>
      </c>
      <c r="AZ44" s="48">
        <f>AVERAGE(Table57[A(Dust)])</f>
        <v>4.2302764211546565E-2</v>
      </c>
    </row>
    <row r="45" spans="1:56" x14ac:dyDescent="0.25">
      <c r="A45" s="40" t="s">
        <v>69</v>
      </c>
      <c r="B45" s="56"/>
      <c r="C45" s="50"/>
      <c r="D45" s="57"/>
      <c r="E45" s="56"/>
      <c r="F45" s="50"/>
      <c r="G45" s="57">
        <f>G44/D44</f>
        <v>0.99993889273335013</v>
      </c>
      <c r="H45" s="56"/>
      <c r="I45" s="50"/>
      <c r="J45" s="57">
        <f>J44/D44</f>
        <v>0.9999034945779639</v>
      </c>
      <c r="K45" s="50"/>
      <c r="L45" s="50"/>
      <c r="M45" s="50">
        <f>M44/D44</f>
        <v>0.99924272901075539</v>
      </c>
      <c r="N45" s="56"/>
      <c r="O45" s="50"/>
      <c r="P45" s="57">
        <f>P44/D44</f>
        <v>0.98366754064084572</v>
      </c>
      <c r="Q45" s="56"/>
      <c r="R45" s="50"/>
      <c r="S45" s="57">
        <f>S44/D44</f>
        <v>0.77252934314753574</v>
      </c>
      <c r="T45" s="56"/>
      <c r="U45" s="50"/>
      <c r="V45" s="57">
        <f>V44/G44</f>
        <v>0.62727004543040887</v>
      </c>
      <c r="W45" s="56"/>
      <c r="X45" s="50"/>
      <c r="Y45" s="57">
        <f>Y44/D44</f>
        <v>0.36781043323245</v>
      </c>
      <c r="Z45" s="56"/>
      <c r="AA45" s="50"/>
      <c r="AB45" s="57">
        <f>AB44/D44</f>
        <v>0.29231796717890163</v>
      </c>
      <c r="AC45" s="56"/>
      <c r="AD45" s="50"/>
      <c r="AE45" s="57">
        <f>AE44/D44</f>
        <v>0.24604077870406302</v>
      </c>
      <c r="AF45" s="56"/>
      <c r="AG45" s="50"/>
      <c r="AH45" s="57">
        <f>AH44/D44</f>
        <v>0.20678422438081265</v>
      </c>
      <c r="AI45" s="58"/>
      <c r="AJ45" s="59"/>
      <c r="AK45" s="60">
        <f>AK44/D44</f>
        <v>0.20106152259338339</v>
      </c>
      <c r="AL45" s="56"/>
      <c r="AM45" s="50"/>
      <c r="AN45" s="57">
        <f>AN44/D44</f>
        <v>0.19964559637793713</v>
      </c>
      <c r="AO45" s="50"/>
      <c r="AP45" s="50"/>
      <c r="AQ45" s="50">
        <f>AQ44/D44</f>
        <v>0.19965875918912215</v>
      </c>
      <c r="AR45" s="56"/>
      <c r="AS45" s="50"/>
      <c r="AT45" s="57">
        <f>AT44/D44</f>
        <v>0.19965864393861454</v>
      </c>
      <c r="AU45" s="50"/>
      <c r="AV45" s="50"/>
      <c r="AW45" s="50">
        <f>AW44/D44</f>
        <v>0.19965864278820247</v>
      </c>
      <c r="AX45" s="56"/>
      <c r="AY45" s="50"/>
      <c r="AZ45" s="57">
        <f>AZ44/D44</f>
        <v>0.19965864277658321</v>
      </c>
    </row>
    <row r="46" spans="1:56" ht="15.75" thickBot="1" x14ac:dyDescent="0.3">
      <c r="A46" s="40" t="s">
        <v>70</v>
      </c>
      <c r="B46" s="61"/>
      <c r="C46" s="51"/>
      <c r="D46" s="62"/>
      <c r="E46" s="61"/>
      <c r="F46" s="51"/>
      <c r="G46" s="62">
        <f>(G44-D44)/D44</f>
        <v>-6.1107266649881222E-5</v>
      </c>
      <c r="H46" s="61"/>
      <c r="I46" s="51"/>
      <c r="J46" s="62">
        <f>(J44-D44)/D44</f>
        <v>-9.6505422036141195E-5</v>
      </c>
      <c r="K46" s="51"/>
      <c r="L46" s="51"/>
      <c r="M46" s="51">
        <f>(M44-D44)/D44</f>
        <v>-7.5727098924458067E-4</v>
      </c>
      <c r="N46" s="61"/>
      <c r="O46" s="51"/>
      <c r="P46" s="62">
        <f>(P44-D44)/D44</f>
        <v>-1.6332459359154297E-2</v>
      </c>
      <c r="Q46" s="61"/>
      <c r="R46" s="51"/>
      <c r="S46" s="62">
        <f>(S44-D44)/D44</f>
        <v>-0.22747065685246426</v>
      </c>
      <c r="T46" s="61"/>
      <c r="U46" s="51"/>
      <c r="V46" s="62">
        <f>(V44-G44)/G44</f>
        <v>-0.37272995456959107</v>
      </c>
      <c r="W46" s="61"/>
      <c r="X46" s="51"/>
      <c r="Y46" s="62">
        <f>(Y44-D44)/D44</f>
        <v>-0.63218956676755</v>
      </c>
      <c r="Z46" s="61"/>
      <c r="AA46" s="51"/>
      <c r="AB46" s="62">
        <f>(AB44-D44)/D44</f>
        <v>-0.70768203282109843</v>
      </c>
      <c r="AC46" s="61"/>
      <c r="AD46" s="51"/>
      <c r="AE46" s="62">
        <f>(AE44-D44)/D44</f>
        <v>-0.75395922129593695</v>
      </c>
      <c r="AF46" s="61"/>
      <c r="AG46" s="51"/>
      <c r="AH46" s="62">
        <f>(AH44-D44)/D44</f>
        <v>-0.79321577561918744</v>
      </c>
      <c r="AI46" s="61"/>
      <c r="AJ46" s="51"/>
      <c r="AK46" s="62">
        <f>(AK44-D44)/D44</f>
        <v>-0.79893847740661661</v>
      </c>
      <c r="AL46" s="61"/>
      <c r="AM46" s="51"/>
      <c r="AN46" s="62">
        <f>(AN44-D44)/D44</f>
        <v>-0.80035440362206278</v>
      </c>
      <c r="AO46" s="51"/>
      <c r="AP46" s="51"/>
      <c r="AQ46" s="51">
        <f>(AQ44-D44)/D44</f>
        <v>-0.80034124081087776</v>
      </c>
      <c r="AR46" s="61"/>
      <c r="AS46" s="51"/>
      <c r="AT46" s="62">
        <f>(AT44-D44)/D44</f>
        <v>-0.80034135606138546</v>
      </c>
      <c r="AU46" s="51"/>
      <c r="AV46" s="51"/>
      <c r="AW46" s="51">
        <f>(AW44-D44)/D44</f>
        <v>-0.80034135721179755</v>
      </c>
      <c r="AX46" s="61"/>
      <c r="AY46" s="51"/>
      <c r="AZ46" s="62">
        <f>(AZ44-D44)/D44</f>
        <v>-0.80034135722341671</v>
      </c>
    </row>
    <row r="47" spans="1:56" s="39" customFormat="1" ht="15.75" thickBot="1" x14ac:dyDescent="0.3">
      <c r="A47" s="42" t="s">
        <v>71</v>
      </c>
      <c r="B47" s="63"/>
      <c r="C47" s="49"/>
      <c r="D47" s="64">
        <f>D44*PI()</f>
        <v>0.66562634817791488</v>
      </c>
      <c r="E47" s="63"/>
      <c r="F47" s="49"/>
      <c r="G47" s="64">
        <f>G44*PI()</f>
        <v>0.6655856735711676</v>
      </c>
      <c r="H47" s="63"/>
      <c r="I47" s="49"/>
      <c r="J47" s="64">
        <f>J44*PI()</f>
        <v>0.66556211162626555</v>
      </c>
      <c r="K47" s="49"/>
      <c r="L47" s="49"/>
      <c r="M47" s="49">
        <f>M44*PI()</f>
        <v>0.66512228865476297</v>
      </c>
      <c r="N47" s="63"/>
      <c r="O47" s="49"/>
      <c r="P47" s="64">
        <f>P44*PI()</f>
        <v>0.65475503289791681</v>
      </c>
      <c r="Q47" s="63"/>
      <c r="R47" s="49"/>
      <c r="S47" s="64">
        <f>S44*PI()</f>
        <v>0.51421588553957753</v>
      </c>
      <c r="T47" s="63"/>
      <c r="U47" s="49"/>
      <c r="V47" s="64">
        <f>V44*PI()</f>
        <v>0.4175019556988156</v>
      </c>
      <c r="W47" s="63"/>
      <c r="X47" s="49"/>
      <c r="Y47" s="64">
        <f>Y44*PI()</f>
        <v>0.24482431549425249</v>
      </c>
      <c r="Z47" s="63"/>
      <c r="AA47" s="49"/>
      <c r="AB47" s="64">
        <f>AB44*PI()</f>
        <v>0.19457454100008384</v>
      </c>
      <c r="AC47" s="63"/>
      <c r="AD47" s="49"/>
      <c r="AE47" s="64">
        <f>AE44*PI()</f>
        <v>0.16377122503163594</v>
      </c>
      <c r="AF47" s="63"/>
      <c r="AG47" s="49"/>
      <c r="AH47" s="64">
        <f>AH44*PI()</f>
        <v>0.13764102813540285</v>
      </c>
      <c r="AI47" s="63"/>
      <c r="AJ47" s="49"/>
      <c r="AK47" s="64">
        <f>AK44*PI()</f>
        <v>0.13383184704292511</v>
      </c>
      <c r="AL47" s="63"/>
      <c r="AM47" s="49"/>
      <c r="AN47" s="64">
        <f>AN44*PI()</f>
        <v>0.13288936924684824</v>
      </c>
      <c r="AO47" s="49"/>
      <c r="AP47" s="49"/>
      <c r="AQ47" s="49">
        <f>AQ44*PI()</f>
        <v>0.1328981307607891</v>
      </c>
      <c r="AR47" s="63"/>
      <c r="AS47" s="49"/>
      <c r="AT47" s="64">
        <f>AT44*PI()</f>
        <v>0.13289805404701457</v>
      </c>
      <c r="AU47" s="49"/>
      <c r="AV47" s="49"/>
      <c r="AW47" s="49">
        <f>AW44*PI()</f>
        <v>0.13289805328127</v>
      </c>
      <c r="AX47" s="63"/>
      <c r="AY47" s="49"/>
      <c r="AZ47" s="64">
        <f>AZ44*PI()</f>
        <v>0.1328980532735359</v>
      </c>
      <c r="BD47"/>
    </row>
    <row r="48" spans="1:56" ht="15.75" thickBot="1" x14ac:dyDescent="0.3"/>
    <row r="49" spans="1:52" x14ac:dyDescent="0.25">
      <c r="A49" s="109" t="s">
        <v>114</v>
      </c>
      <c r="B49" s="112" t="s">
        <v>115</v>
      </c>
      <c r="C49" s="109" t="s">
        <v>116</v>
      </c>
      <c r="D49" s="110" t="s">
        <v>117</v>
      </c>
      <c r="E49" s="111" t="s">
        <v>118</v>
      </c>
      <c r="F49" s="114" t="s">
        <v>119</v>
      </c>
      <c r="G49" s="110" t="s">
        <v>120</v>
      </c>
      <c r="H49" s="110" t="s">
        <v>121</v>
      </c>
      <c r="I49" s="111" t="s">
        <v>122</v>
      </c>
      <c r="AQ49" s="65">
        <v>0.1328981307607891</v>
      </c>
      <c r="AT49">
        <v>0.13289805404701457</v>
      </c>
      <c r="AW49">
        <v>0.13289805328127</v>
      </c>
      <c r="AZ49">
        <v>0.1328980532735359</v>
      </c>
    </row>
    <row r="50" spans="1:52" x14ac:dyDescent="0.25">
      <c r="A50" s="107">
        <v>0.19735212899999999</v>
      </c>
      <c r="B50" s="113" t="s">
        <v>123</v>
      </c>
      <c r="C50" s="116">
        <v>2.0742712000000001</v>
      </c>
      <c r="D50" s="106">
        <v>0.87508730000000001</v>
      </c>
      <c r="E50" s="117">
        <v>0.99999990000000005</v>
      </c>
      <c r="F50" s="115">
        <v>2.0749511680000001</v>
      </c>
      <c r="G50" s="106">
        <v>0.99961434895073298</v>
      </c>
      <c r="H50" s="106">
        <v>0.87505129114923996</v>
      </c>
      <c r="I50" s="108">
        <v>0.19758428892433999</v>
      </c>
    </row>
    <row r="51" spans="1:52" ht="15.75" thickBot="1" x14ac:dyDescent="0.3">
      <c r="A51" s="171">
        <v>0.14005635</v>
      </c>
      <c r="B51" s="172" t="s">
        <v>124</v>
      </c>
      <c r="C51" s="173">
        <v>2.0742712000000001</v>
      </c>
      <c r="D51" s="169">
        <v>0.87508730000000001</v>
      </c>
      <c r="E51" s="174">
        <v>0.99999990000000005</v>
      </c>
      <c r="F51" s="168">
        <v>2.09683369</v>
      </c>
      <c r="G51" s="169">
        <v>0.98736180338967705</v>
      </c>
      <c r="H51" s="169">
        <v>0.87380540502616399</v>
      </c>
      <c r="I51" s="170">
        <v>0.14060540764644899</v>
      </c>
    </row>
    <row r="52" spans="1:52" ht="15.75" thickBot="1" x14ac:dyDescent="0.3">
      <c r="A52" s="175">
        <f>0.52/PI()</f>
        <v>0.16552114081557115</v>
      </c>
      <c r="B52" s="176" t="s">
        <v>188</v>
      </c>
      <c r="C52" s="165">
        <v>2.0742712000000001</v>
      </c>
      <c r="D52" s="166">
        <v>0.87508730000000001</v>
      </c>
      <c r="E52" s="167">
        <v>0.99999990000000005</v>
      </c>
      <c r="F52" s="177">
        <v>2.0817214540000002</v>
      </c>
      <c r="G52" s="166">
        <v>0.99579665003676099</v>
      </c>
      <c r="H52" s="166">
        <v>0.87466372659061797</v>
      </c>
      <c r="I52" s="176">
        <v>0.16705667114195699</v>
      </c>
      <c r="J52" t="s">
        <v>193</v>
      </c>
    </row>
    <row r="53" spans="1:52" ht="15.75" thickBot="1" x14ac:dyDescent="0.3"/>
    <row r="54" spans="1:52" ht="15.75" thickBot="1" x14ac:dyDescent="0.3">
      <c r="A54" s="53" t="s">
        <v>189</v>
      </c>
      <c r="B54" s="144" t="s">
        <v>72</v>
      </c>
      <c r="C54" s="145"/>
      <c r="D54" s="146"/>
      <c r="E54" s="147" t="s">
        <v>192</v>
      </c>
      <c r="F54" s="148"/>
      <c r="G54" s="149"/>
    </row>
    <row r="55" spans="1:52" ht="15.75" thickBot="1" x14ac:dyDescent="0.3">
      <c r="A55" s="3" t="s">
        <v>14</v>
      </c>
      <c r="B55" s="28" t="s">
        <v>15</v>
      </c>
      <c r="C55" s="29" t="s">
        <v>16</v>
      </c>
      <c r="D55" s="30" t="s">
        <v>56</v>
      </c>
      <c r="E55" s="15" t="s">
        <v>89</v>
      </c>
      <c r="F55" s="178" t="s">
        <v>90</v>
      </c>
      <c r="G55" s="43" t="s">
        <v>91</v>
      </c>
    </row>
    <row r="56" spans="1:52" ht="15.75" thickBot="1" x14ac:dyDescent="0.3">
      <c r="A56" s="41" t="s">
        <v>68</v>
      </c>
      <c r="B56" s="45">
        <v>2.0742712000000001</v>
      </c>
      <c r="C56" s="46">
        <v>0.99999990000000005</v>
      </c>
      <c r="D56" s="48">
        <v>0.21263007853075</v>
      </c>
      <c r="E56" s="45">
        <f>AVERAGE(Table57[Qmix])</f>
        <v>2.0858491150414147</v>
      </c>
      <c r="F56" s="46">
        <f>AVERAGE(Table57[Wmix])</f>
        <v>0.99999648497125759</v>
      </c>
      <c r="G56" s="48">
        <v>0.16705667114195699</v>
      </c>
    </row>
    <row r="57" spans="1:52" x14ac:dyDescent="0.25">
      <c r="A57" s="40" t="s">
        <v>69</v>
      </c>
      <c r="B57" s="56"/>
      <c r="C57" s="50"/>
      <c r="D57" s="57"/>
      <c r="E57" s="56"/>
      <c r="F57" s="50"/>
      <c r="G57" s="57">
        <f>G56/D56</f>
        <v>0.78566810630132788</v>
      </c>
    </row>
    <row r="58" spans="1:52" ht="15.75" thickBot="1" x14ac:dyDescent="0.3">
      <c r="A58" s="40" t="s">
        <v>70</v>
      </c>
      <c r="B58" s="61"/>
      <c r="C58" s="51"/>
      <c r="D58" s="62"/>
      <c r="E58" s="61"/>
      <c r="F58" s="51"/>
      <c r="G58" s="62">
        <f>(G56-D56)/D56</f>
        <v>-0.21433189369867209</v>
      </c>
    </row>
    <row r="59" spans="1:52" ht="15.75" thickBot="1" x14ac:dyDescent="0.3">
      <c r="A59" s="42" t="s">
        <v>71</v>
      </c>
      <c r="B59" s="63"/>
      <c r="C59" s="49"/>
      <c r="D59" s="64">
        <f>D56*PI()</f>
        <v>0.66799709264442497</v>
      </c>
      <c r="E59" s="63"/>
      <c r="F59" s="49"/>
      <c r="G59" s="64">
        <f>G56*PI()</f>
        <v>0.5248240107927381</v>
      </c>
    </row>
  </sheetData>
  <mergeCells count="21">
    <mergeCell ref="B54:D54"/>
    <mergeCell ref="E54:G54"/>
    <mergeCell ref="Z2:AB2"/>
    <mergeCell ref="AC2:AE2"/>
    <mergeCell ref="AF2:AH2"/>
    <mergeCell ref="A1:D1"/>
    <mergeCell ref="Q2:S2"/>
    <mergeCell ref="N2:P2"/>
    <mergeCell ref="T2:V2"/>
    <mergeCell ref="W2:Y2"/>
    <mergeCell ref="E2:G2"/>
    <mergeCell ref="B2:D2"/>
    <mergeCell ref="E1:I1"/>
    <mergeCell ref="K2:M2"/>
    <mergeCell ref="H2:J2"/>
    <mergeCell ref="AX2:AZ2"/>
    <mergeCell ref="AU2:AW2"/>
    <mergeCell ref="AI2:AK2"/>
    <mergeCell ref="AL2:AN2"/>
    <mergeCell ref="AR2:AT2"/>
    <mergeCell ref="AO2:AQ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22" zoomScale="90" zoomScaleNormal="90" workbookViewId="0">
      <selection activeCell="C16" sqref="C16"/>
    </sheetView>
  </sheetViews>
  <sheetFormatPr defaultRowHeight="15" x14ac:dyDescent="0.25"/>
  <cols>
    <col min="1" max="1" width="29.140625" bestFit="1" customWidth="1"/>
    <col min="2" max="2" width="26.28515625" bestFit="1" customWidth="1"/>
    <col min="3" max="4" width="20" bestFit="1" customWidth="1"/>
    <col min="5" max="5" width="12.140625" bestFit="1" customWidth="1"/>
    <col min="6" max="6" width="9.85546875" bestFit="1" customWidth="1"/>
    <col min="7" max="7" width="9.140625" bestFit="1" customWidth="1"/>
    <col min="8" max="8" width="9.28515625" bestFit="1" customWidth="1"/>
    <col min="9" max="9" width="9.85546875" bestFit="1" customWidth="1"/>
    <col min="10" max="10" width="9.140625" bestFit="1" customWidth="1"/>
    <col min="11" max="11" width="9.28515625" bestFit="1" customWidth="1"/>
    <col min="12" max="12" width="9.85546875" bestFit="1" customWidth="1"/>
    <col min="13" max="13" width="9.140625" bestFit="1" customWidth="1"/>
    <col min="14" max="14" width="9.28515625" bestFit="1" customWidth="1"/>
    <col min="15" max="15" width="9.85546875" bestFit="1" customWidth="1"/>
    <col min="16" max="16" width="9.140625" bestFit="1" customWidth="1"/>
    <col min="17" max="17" width="9.28515625" bestFit="1" customWidth="1"/>
    <col min="18" max="18" width="9.85546875" bestFit="1" customWidth="1"/>
    <col min="19" max="19" width="9.140625" bestFit="1" customWidth="1"/>
    <col min="20" max="23" width="9.28515625" bestFit="1" customWidth="1"/>
    <col min="24" max="24" width="9.85546875" bestFit="1" customWidth="1"/>
    <col min="25" max="25" width="9.140625" bestFit="1" customWidth="1"/>
    <col min="26" max="26" width="10.28515625" bestFit="1" customWidth="1"/>
    <col min="27" max="27" width="10.7109375" bestFit="1" customWidth="1"/>
    <col min="28" max="28" width="10.140625" bestFit="1" customWidth="1"/>
  </cols>
  <sheetData>
    <row r="1" spans="1:28" ht="15.75" thickBot="1" x14ac:dyDescent="0.3">
      <c r="A1" s="156" t="s">
        <v>125</v>
      </c>
      <c r="B1" s="157"/>
      <c r="C1" s="157"/>
      <c r="D1" s="158"/>
      <c r="E1" s="153" t="s">
        <v>126</v>
      </c>
      <c r="F1" s="154"/>
      <c r="G1" s="155"/>
      <c r="H1" s="153" t="s">
        <v>127</v>
      </c>
      <c r="I1" s="154"/>
      <c r="J1" s="155"/>
      <c r="K1" s="153" t="s">
        <v>128</v>
      </c>
      <c r="L1" s="154"/>
      <c r="M1" s="155"/>
      <c r="N1" s="153" t="s">
        <v>129</v>
      </c>
      <c r="O1" s="154"/>
      <c r="P1" s="155"/>
      <c r="Q1" s="153" t="s">
        <v>130</v>
      </c>
      <c r="R1" s="154"/>
      <c r="S1" s="155"/>
      <c r="T1" s="153" t="s">
        <v>131</v>
      </c>
      <c r="U1" s="154"/>
      <c r="V1" s="155"/>
      <c r="W1" s="153" t="s">
        <v>127</v>
      </c>
      <c r="X1" s="154"/>
      <c r="Y1" s="155"/>
    </row>
    <row r="2" spans="1:28" ht="15.75" thickBot="1" x14ac:dyDescent="0.3">
      <c r="A2" s="159" t="s">
        <v>0</v>
      </c>
      <c r="B2" s="159"/>
      <c r="C2" s="159"/>
      <c r="D2" s="159"/>
      <c r="E2" s="136" t="s">
        <v>132</v>
      </c>
      <c r="F2" s="137"/>
      <c r="G2" s="138"/>
      <c r="H2" s="136" t="s">
        <v>3</v>
      </c>
      <c r="I2" s="137"/>
      <c r="J2" s="138"/>
      <c r="K2" s="136" t="s">
        <v>4</v>
      </c>
      <c r="L2" s="137"/>
      <c r="M2" s="138"/>
      <c r="N2" s="136" t="s">
        <v>5</v>
      </c>
      <c r="O2" s="137"/>
      <c r="P2" s="138"/>
      <c r="Q2" s="136" t="s">
        <v>6</v>
      </c>
      <c r="R2" s="137"/>
      <c r="S2" s="138"/>
      <c r="T2" s="136" t="s">
        <v>7</v>
      </c>
      <c r="U2" s="137"/>
      <c r="V2" s="138"/>
      <c r="W2" s="136" t="s">
        <v>8</v>
      </c>
      <c r="X2" s="137"/>
      <c r="Y2" s="138"/>
      <c r="Z2" s="136" t="s">
        <v>13</v>
      </c>
      <c r="AA2" s="137"/>
      <c r="AB2" s="138"/>
    </row>
    <row r="3" spans="1:28" x14ac:dyDescent="0.25">
      <c r="A3" s="3" t="s">
        <v>14</v>
      </c>
      <c r="B3" s="28" t="s">
        <v>15</v>
      </c>
      <c r="C3" s="29" t="s">
        <v>16</v>
      </c>
      <c r="D3" s="31" t="s">
        <v>56</v>
      </c>
      <c r="E3" s="10" t="s">
        <v>18</v>
      </c>
      <c r="F3" s="4" t="s">
        <v>19</v>
      </c>
      <c r="G3" s="32" t="s">
        <v>57</v>
      </c>
      <c r="H3" s="10" t="s">
        <v>21</v>
      </c>
      <c r="I3" s="4" t="s">
        <v>22</v>
      </c>
      <c r="J3" s="11" t="s">
        <v>58</v>
      </c>
      <c r="K3" s="10" t="s">
        <v>24</v>
      </c>
      <c r="L3" s="4" t="s">
        <v>25</v>
      </c>
      <c r="M3" s="32" t="s">
        <v>59</v>
      </c>
      <c r="N3" s="10" t="s">
        <v>27</v>
      </c>
      <c r="O3" s="4" t="s">
        <v>28</v>
      </c>
      <c r="P3" s="32" t="s">
        <v>60</v>
      </c>
      <c r="Q3" s="10" t="s">
        <v>30</v>
      </c>
      <c r="R3" s="4" t="s">
        <v>31</v>
      </c>
      <c r="S3" s="32" t="s">
        <v>61</v>
      </c>
      <c r="T3" s="10" t="s">
        <v>33</v>
      </c>
      <c r="U3" s="4" t="s">
        <v>34</v>
      </c>
      <c r="V3" s="32" t="s">
        <v>62</v>
      </c>
      <c r="W3" s="10" t="s">
        <v>36</v>
      </c>
      <c r="X3" s="4" t="s">
        <v>37</v>
      </c>
      <c r="Y3" s="32" t="s">
        <v>63</v>
      </c>
      <c r="Z3" s="36" t="s">
        <v>51</v>
      </c>
      <c r="AA3" s="31" t="s">
        <v>52</v>
      </c>
      <c r="AB3" s="30" t="s">
        <v>53</v>
      </c>
    </row>
    <row r="4" spans="1:28" x14ac:dyDescent="0.25">
      <c r="A4" s="27">
        <v>0.4</v>
      </c>
      <c r="B4" s="25">
        <v>2.0640941000000002</v>
      </c>
      <c r="C4" s="47">
        <v>1</v>
      </c>
      <c r="D4" s="47">
        <v>0.29859999999999998</v>
      </c>
      <c r="E4" s="25">
        <v>2.3424</v>
      </c>
      <c r="F4" s="47">
        <v>0.86370000000000002</v>
      </c>
      <c r="G4" s="44">
        <v>0.29777362689422998</v>
      </c>
      <c r="H4" s="25">
        <v>2.4496000000000002</v>
      </c>
      <c r="I4" s="47">
        <v>0.81950000000000001</v>
      </c>
      <c r="J4" s="44">
        <v>0.21225296360603199</v>
      </c>
      <c r="K4" s="25">
        <v>2.4371</v>
      </c>
      <c r="L4" s="47">
        <v>0.82450000000000001</v>
      </c>
      <c r="M4" s="44">
        <v>3.7579091620953797E-2</v>
      </c>
      <c r="N4" s="25">
        <v>2.4268000000000001</v>
      </c>
      <c r="O4" s="47">
        <v>0.8286</v>
      </c>
      <c r="P4" s="44">
        <v>0.25798527617220401</v>
      </c>
      <c r="Q4" s="25">
        <v>2.4178000000000002</v>
      </c>
      <c r="R4" s="47">
        <v>0.83220000000000005</v>
      </c>
      <c r="S4" s="44">
        <v>0.29699572044780898</v>
      </c>
      <c r="T4" s="25"/>
      <c r="U4" s="47"/>
      <c r="V4" s="44"/>
      <c r="W4" s="25">
        <v>2.4022999999999999</v>
      </c>
      <c r="X4" s="47">
        <v>0.83850000000000002</v>
      </c>
      <c r="Y4" s="44">
        <v>5.80960947638859E-2</v>
      </c>
      <c r="Z4" s="25">
        <v>2.5</v>
      </c>
      <c r="AA4" s="47">
        <v>0.8</v>
      </c>
      <c r="AB4" s="44">
        <v>4.41E-2</v>
      </c>
    </row>
    <row r="5" spans="1:28" x14ac:dyDescent="0.25">
      <c r="A5" s="27">
        <v>0.41</v>
      </c>
      <c r="B5" s="25">
        <v>2.0649524000000001</v>
      </c>
      <c r="C5" s="47">
        <v>1</v>
      </c>
      <c r="D5" s="47">
        <v>0.29859999999999998</v>
      </c>
      <c r="E5" s="25">
        <v>2.3426999999999998</v>
      </c>
      <c r="F5" s="47">
        <v>0.86370000000000002</v>
      </c>
      <c r="G5" s="44">
        <v>0.29777397115568999</v>
      </c>
      <c r="H5" s="25">
        <v>2.4497</v>
      </c>
      <c r="I5" s="47">
        <v>0.81950000000000001</v>
      </c>
      <c r="J5" s="44">
        <v>0.21225683121737901</v>
      </c>
      <c r="K5" s="25">
        <v>2.4371999999999998</v>
      </c>
      <c r="L5" s="47">
        <v>0.82450000000000001</v>
      </c>
      <c r="M5" s="44">
        <v>3.7579776119930602E-2</v>
      </c>
      <c r="N5" s="25">
        <v>2.4268999999999998</v>
      </c>
      <c r="O5" s="47">
        <v>0.8286</v>
      </c>
      <c r="P5" s="44">
        <v>0.25798840949751201</v>
      </c>
      <c r="Q5" s="25">
        <v>2.4180000000000001</v>
      </c>
      <c r="R5" s="47">
        <v>0.83220000000000005</v>
      </c>
      <c r="S5" s="44">
        <v>0.29700290461046902</v>
      </c>
      <c r="T5" s="25"/>
      <c r="U5" s="47"/>
      <c r="V5" s="44"/>
      <c r="W5" s="25">
        <v>2.4024000000000001</v>
      </c>
      <c r="X5" s="47">
        <v>0.83850000000000002</v>
      </c>
      <c r="Y5" s="44">
        <v>5.8097038773841397E-2</v>
      </c>
      <c r="Z5" s="25">
        <v>2.5</v>
      </c>
      <c r="AA5" s="47">
        <v>0.8</v>
      </c>
      <c r="AB5" s="44">
        <v>4.41E-2</v>
      </c>
    </row>
    <row r="6" spans="1:28" x14ac:dyDescent="0.25">
      <c r="A6" s="27">
        <v>0.42</v>
      </c>
      <c r="B6" s="25">
        <v>2.0675995</v>
      </c>
      <c r="C6" s="47">
        <v>1</v>
      </c>
      <c r="D6" s="47">
        <v>0.29859999999999998</v>
      </c>
      <c r="E6" s="25">
        <v>2.3435999999999999</v>
      </c>
      <c r="F6" s="47">
        <v>0.86380000000000001</v>
      </c>
      <c r="G6" s="44">
        <v>0.29781984059956201</v>
      </c>
      <c r="H6" s="25">
        <v>2.4500000000000002</v>
      </c>
      <c r="I6" s="47">
        <v>0.81950000000000001</v>
      </c>
      <c r="J6" s="44">
        <v>0.212295849564589</v>
      </c>
      <c r="K6" s="25">
        <v>2.4376000000000002</v>
      </c>
      <c r="L6" s="47">
        <v>0.82450000000000001</v>
      </c>
      <c r="M6" s="44">
        <v>3.7586687814180599E-2</v>
      </c>
      <c r="N6" s="25">
        <v>2.4274</v>
      </c>
      <c r="O6" s="47">
        <v>0.8286</v>
      </c>
      <c r="P6" s="44">
        <v>0.25801800429357202</v>
      </c>
      <c r="Q6" s="25">
        <v>2.4184999999999999</v>
      </c>
      <c r="R6" s="47">
        <v>0.83220000000000005</v>
      </c>
      <c r="S6" s="44">
        <v>0.29707399197895701</v>
      </c>
      <c r="T6" s="25"/>
      <c r="U6" s="47"/>
      <c r="V6" s="44"/>
      <c r="W6" s="25">
        <v>2.403</v>
      </c>
      <c r="X6" s="47">
        <v>0.83860000000000001</v>
      </c>
      <c r="Y6" s="44">
        <v>5.81061153790055E-2</v>
      </c>
      <c r="Z6" s="25">
        <v>2.5</v>
      </c>
      <c r="AA6" s="47">
        <v>0.8</v>
      </c>
      <c r="AB6" s="44">
        <v>4.4200000000000003E-2</v>
      </c>
    </row>
    <row r="7" spans="1:28" x14ac:dyDescent="0.25">
      <c r="A7" s="27">
        <v>0.43</v>
      </c>
      <c r="B7" s="25">
        <v>2.0678839999999998</v>
      </c>
      <c r="C7" s="47">
        <v>1</v>
      </c>
      <c r="D7" s="47">
        <v>0.29859999999999998</v>
      </c>
      <c r="E7" s="25">
        <v>2.3437000000000001</v>
      </c>
      <c r="F7" s="47">
        <v>0.86380000000000001</v>
      </c>
      <c r="G7" s="44">
        <v>0.29779754047586199</v>
      </c>
      <c r="H7" s="25">
        <v>2.4500999999999999</v>
      </c>
      <c r="I7" s="47">
        <v>0.81950000000000001</v>
      </c>
      <c r="J7" s="44">
        <v>0.212269889558581</v>
      </c>
      <c r="K7" s="25">
        <v>2.4376000000000002</v>
      </c>
      <c r="L7" s="47">
        <v>0.82450000000000001</v>
      </c>
      <c r="M7" s="44">
        <v>3.7582087555954401E-2</v>
      </c>
      <c r="N7" s="25">
        <v>2.4274</v>
      </c>
      <c r="O7" s="47">
        <v>0.8286</v>
      </c>
      <c r="P7" s="44">
        <v>0.25799899912735003</v>
      </c>
      <c r="Q7" s="25">
        <v>2.4184999999999999</v>
      </c>
      <c r="R7" s="47">
        <v>0.83220000000000005</v>
      </c>
      <c r="S7" s="44">
        <v>0.29702716456369599</v>
      </c>
      <c r="T7" s="25"/>
      <c r="U7" s="47"/>
      <c r="V7" s="44"/>
      <c r="W7" s="25">
        <v>2.4030999999999998</v>
      </c>
      <c r="X7" s="47">
        <v>0.83860000000000001</v>
      </c>
      <c r="Y7" s="44">
        <v>5.8100228645235202E-2</v>
      </c>
      <c r="Z7" s="25">
        <v>2.5</v>
      </c>
      <c r="AA7" s="47">
        <v>0.8</v>
      </c>
      <c r="AB7" s="44">
        <v>4.41E-2</v>
      </c>
    </row>
    <row r="8" spans="1:28" x14ac:dyDescent="0.25">
      <c r="A8" s="27">
        <v>0.44</v>
      </c>
      <c r="B8" s="25">
        <v>2.0669558000000001</v>
      </c>
      <c r="C8" s="47">
        <v>1</v>
      </c>
      <c r="D8" s="47">
        <v>0.29859999999999998</v>
      </c>
      <c r="E8" s="25">
        <v>2.3433999999999999</v>
      </c>
      <c r="F8" s="47">
        <v>0.86380000000000001</v>
      </c>
      <c r="G8" s="44">
        <v>0.297774774091489</v>
      </c>
      <c r="H8" s="25">
        <v>2.4500000000000002</v>
      </c>
      <c r="I8" s="47">
        <v>0.81950000000000001</v>
      </c>
      <c r="J8" s="44">
        <v>0.21225704610826099</v>
      </c>
      <c r="K8" s="25">
        <v>2.4375</v>
      </c>
      <c r="L8" s="47">
        <v>0.82450000000000001</v>
      </c>
      <c r="M8" s="44">
        <v>3.7579813111106898E-2</v>
      </c>
      <c r="N8" s="25">
        <v>2.4272999999999998</v>
      </c>
      <c r="O8" s="47">
        <v>0.8286</v>
      </c>
      <c r="P8" s="44">
        <v>0.257989240454496</v>
      </c>
      <c r="Q8" s="25">
        <v>2.4184000000000001</v>
      </c>
      <c r="R8" s="47">
        <v>0.83220000000000005</v>
      </c>
      <c r="S8" s="44">
        <v>0.29700374796837198</v>
      </c>
      <c r="T8" s="25"/>
      <c r="U8" s="47"/>
      <c r="V8" s="44"/>
      <c r="W8" s="25">
        <v>2.4028999999999998</v>
      </c>
      <c r="X8" s="47">
        <v>0.83860000000000001</v>
      </c>
      <c r="Y8" s="44">
        <v>5.8097237555135801E-2</v>
      </c>
      <c r="Z8" s="25">
        <v>2.5</v>
      </c>
      <c r="AA8" s="47">
        <v>0.8</v>
      </c>
      <c r="AB8" s="44">
        <v>4.41E-2</v>
      </c>
    </row>
    <row r="9" spans="1:28" x14ac:dyDescent="0.25">
      <c r="A9" s="27">
        <v>0.45</v>
      </c>
      <c r="B9" s="25">
        <v>2.070713</v>
      </c>
      <c r="C9" s="47">
        <v>1</v>
      </c>
      <c r="D9" s="47">
        <v>0.29859999999999998</v>
      </c>
      <c r="E9" s="25">
        <v>2.3448000000000002</v>
      </c>
      <c r="F9" s="47">
        <v>0.8639</v>
      </c>
      <c r="G9" s="44">
        <v>0.29782121572046599</v>
      </c>
      <c r="H9" s="25">
        <v>2.4504000000000001</v>
      </c>
      <c r="I9" s="47">
        <v>0.81950000000000001</v>
      </c>
      <c r="J9" s="44">
        <v>0.212302321559142</v>
      </c>
      <c r="K9" s="25">
        <v>2.4380000000000002</v>
      </c>
      <c r="L9" s="47">
        <v>0.82450000000000001</v>
      </c>
      <c r="M9" s="44">
        <v>3.7587833240632897E-2</v>
      </c>
      <c r="N9" s="25">
        <v>2.4279000000000002</v>
      </c>
      <c r="O9" s="47">
        <v>0.82869999999999999</v>
      </c>
      <c r="P9" s="44">
        <v>0.25802380937585201</v>
      </c>
      <c r="Q9" s="25">
        <v>2.4190999999999998</v>
      </c>
      <c r="R9" s="47">
        <v>0.83230000000000004</v>
      </c>
      <c r="S9" s="44">
        <v>0.29708638566187001</v>
      </c>
      <c r="T9" s="25"/>
      <c r="U9" s="47"/>
      <c r="V9" s="44"/>
      <c r="W9" s="25">
        <v>2.4037000000000002</v>
      </c>
      <c r="X9" s="47">
        <v>0.83860000000000001</v>
      </c>
      <c r="Y9" s="44">
        <v>5.8107820837683899E-2</v>
      </c>
      <c r="Z9" s="25">
        <v>2.5</v>
      </c>
      <c r="AA9" s="47">
        <v>0.8</v>
      </c>
      <c r="AB9" s="44">
        <v>4.4200000000000003E-2</v>
      </c>
    </row>
    <row r="10" spans="1:28" x14ac:dyDescent="0.25">
      <c r="A10" s="27">
        <v>0.46</v>
      </c>
      <c r="B10" s="25">
        <v>2.0770862000000001</v>
      </c>
      <c r="C10" s="47">
        <v>1</v>
      </c>
      <c r="D10" s="47">
        <v>0.29859999999999998</v>
      </c>
      <c r="E10" s="25">
        <v>2.3471000000000002</v>
      </c>
      <c r="F10" s="47">
        <v>0.86399999999999999</v>
      </c>
      <c r="G10" s="44">
        <v>0.29804757303807999</v>
      </c>
      <c r="H10" s="25">
        <v>2.4510999999999998</v>
      </c>
      <c r="I10" s="47">
        <v>0.8196</v>
      </c>
      <c r="J10" s="44">
        <v>0.21246077669669799</v>
      </c>
      <c r="K10" s="25">
        <v>2.4388999999999998</v>
      </c>
      <c r="L10" s="47">
        <v>0.8246</v>
      </c>
      <c r="M10" s="44">
        <v>3.76159641354794E-2</v>
      </c>
      <c r="N10" s="25">
        <v>2.4289999999999998</v>
      </c>
      <c r="O10" s="47">
        <v>0.82869999999999999</v>
      </c>
      <c r="P10" s="44">
        <v>0.25814267010271802</v>
      </c>
      <c r="Q10" s="25">
        <v>2.4203000000000001</v>
      </c>
      <c r="R10" s="47">
        <v>0.83240000000000003</v>
      </c>
      <c r="S10" s="44">
        <v>0.29737363025317498</v>
      </c>
      <c r="T10" s="25"/>
      <c r="U10" s="47"/>
      <c r="V10" s="44"/>
      <c r="W10" s="25">
        <v>2.4051999999999998</v>
      </c>
      <c r="X10" s="47">
        <v>0.8387</v>
      </c>
      <c r="Y10" s="44">
        <v>5.8144427347233497E-2</v>
      </c>
      <c r="Z10" s="25">
        <v>2.5</v>
      </c>
      <c r="AA10" s="47">
        <v>0.8</v>
      </c>
      <c r="AB10" s="44">
        <v>4.4499999999999998E-2</v>
      </c>
    </row>
    <row r="11" spans="1:28" x14ac:dyDescent="0.25">
      <c r="A11" s="27">
        <v>0.47</v>
      </c>
      <c r="B11" s="25">
        <v>2.0744126000000001</v>
      </c>
      <c r="C11" s="47">
        <v>0.99999990000000005</v>
      </c>
      <c r="D11" s="47">
        <v>0.2984</v>
      </c>
      <c r="E11" s="25">
        <v>2.3460999999999999</v>
      </c>
      <c r="F11" s="47">
        <v>0.8639</v>
      </c>
      <c r="G11" s="44">
        <v>0.29788990222858402</v>
      </c>
      <c r="H11" s="25">
        <v>2.4508000000000001</v>
      </c>
      <c r="I11" s="47">
        <v>0.8196</v>
      </c>
      <c r="J11" s="44">
        <v>0.21229312254093499</v>
      </c>
      <c r="K11" s="25">
        <v>2.4386000000000001</v>
      </c>
      <c r="L11" s="47">
        <v>0.8246</v>
      </c>
      <c r="M11" s="44">
        <v>3.7590165716221202E-2</v>
      </c>
      <c r="N11" s="25">
        <v>2.4285000000000001</v>
      </c>
      <c r="O11" s="47">
        <v>0.82869999999999999</v>
      </c>
      <c r="P11" s="44">
        <v>0.25801310636149899</v>
      </c>
      <c r="Q11" s="25">
        <v>2.4198</v>
      </c>
      <c r="R11" s="47">
        <v>0.83230000000000004</v>
      </c>
      <c r="S11" s="44">
        <v>0.297123714563575</v>
      </c>
      <c r="T11" s="25"/>
      <c r="U11" s="47"/>
      <c r="V11" s="44"/>
      <c r="W11" s="25">
        <v>2.4045999999999998</v>
      </c>
      <c r="X11" s="47">
        <v>0.8387</v>
      </c>
      <c r="Y11" s="44">
        <v>5.8112810157391802E-2</v>
      </c>
      <c r="Z11" s="25">
        <v>2.5</v>
      </c>
      <c r="AA11" s="47">
        <v>0.8</v>
      </c>
      <c r="AB11" s="44">
        <v>4.4299999999999999E-2</v>
      </c>
    </row>
    <row r="12" spans="1:28" s="103" customFormat="1" x14ac:dyDescent="0.25">
      <c r="A12" s="104">
        <v>0.48</v>
      </c>
      <c r="B12" s="101">
        <v>2.0742712000000001</v>
      </c>
      <c r="C12" s="100">
        <v>0.99999990000000005</v>
      </c>
      <c r="D12" s="100">
        <v>0.2984</v>
      </c>
      <c r="E12" s="101">
        <v>2.3460999999999999</v>
      </c>
      <c r="F12" s="100">
        <v>0.8639</v>
      </c>
      <c r="G12" s="102">
        <v>0.29784511097642702</v>
      </c>
      <c r="H12" s="101">
        <v>2.4508000000000001</v>
      </c>
      <c r="I12" s="100">
        <v>0.8196</v>
      </c>
      <c r="J12" s="102">
        <v>0.21226216384892099</v>
      </c>
      <c r="K12" s="101">
        <v>2.4384999999999999</v>
      </c>
      <c r="L12" s="100">
        <v>0.8246</v>
      </c>
      <c r="M12" s="102">
        <v>3.7584674205401597E-2</v>
      </c>
      <c r="N12" s="101">
        <v>2.4285000000000001</v>
      </c>
      <c r="O12" s="100">
        <v>0.82869999999999999</v>
      </c>
      <c r="P12" s="102">
        <v>0.25799026662218599</v>
      </c>
      <c r="Q12" s="101">
        <v>2.4197000000000002</v>
      </c>
      <c r="R12" s="100">
        <v>0.83230000000000004</v>
      </c>
      <c r="S12" s="102">
        <v>0.29706779875542999</v>
      </c>
      <c r="T12" s="101"/>
      <c r="U12" s="100"/>
      <c r="V12" s="102"/>
      <c r="W12" s="101">
        <v>2.4045000000000001</v>
      </c>
      <c r="X12" s="100">
        <v>0.8387</v>
      </c>
      <c r="Y12" s="102">
        <v>5.8105746640220599E-2</v>
      </c>
      <c r="Z12" s="101">
        <v>2.5</v>
      </c>
      <c r="AA12" s="100">
        <v>0.8</v>
      </c>
      <c r="AB12" s="102">
        <v>4.4200000000000003E-2</v>
      </c>
    </row>
    <row r="13" spans="1:28" x14ac:dyDescent="0.25">
      <c r="A13" s="27">
        <v>0.49</v>
      </c>
      <c r="B13" s="25">
        <v>2.0792742</v>
      </c>
      <c r="C13" s="47">
        <v>1</v>
      </c>
      <c r="D13" s="47">
        <v>0.29870000000000002</v>
      </c>
      <c r="E13" s="25">
        <v>2.3479000000000001</v>
      </c>
      <c r="F13" s="47">
        <v>0.86399999999999999</v>
      </c>
      <c r="G13" s="44">
        <v>0.29798145036409401</v>
      </c>
      <c r="H13" s="25">
        <v>2.4514</v>
      </c>
      <c r="I13" s="47">
        <v>0.8196</v>
      </c>
      <c r="J13" s="44">
        <v>0.212420238298764</v>
      </c>
      <c r="K13" s="25">
        <v>2.4392999999999998</v>
      </c>
      <c r="L13" s="47">
        <v>0.8246</v>
      </c>
      <c r="M13" s="44">
        <v>3.7608755905254497E-2</v>
      </c>
      <c r="N13" s="25">
        <v>2.4293</v>
      </c>
      <c r="O13" s="47">
        <v>0.82879999999999998</v>
      </c>
      <c r="P13" s="44">
        <v>0.25811350612162298</v>
      </c>
      <c r="Q13" s="25">
        <v>2.4207000000000001</v>
      </c>
      <c r="R13" s="47">
        <v>0.83240000000000003</v>
      </c>
      <c r="S13" s="44">
        <v>0.29730107024798802</v>
      </c>
      <c r="T13" s="25"/>
      <c r="U13" s="47"/>
      <c r="V13" s="44"/>
      <c r="W13" s="25">
        <v>2.4056999999999999</v>
      </c>
      <c r="X13" s="47">
        <v>0.83879999999999999</v>
      </c>
      <c r="Y13" s="44">
        <v>5.8135332982681198E-2</v>
      </c>
      <c r="Z13" s="25">
        <v>2.5</v>
      </c>
      <c r="AA13" s="47">
        <v>0.8</v>
      </c>
      <c r="AB13" s="44">
        <v>4.4400000000000002E-2</v>
      </c>
    </row>
    <row r="14" spans="1:28" x14ac:dyDescent="0.25">
      <c r="A14" s="27">
        <v>0.5</v>
      </c>
      <c r="B14" s="25">
        <v>2.0788422</v>
      </c>
      <c r="C14" s="47">
        <v>0.99999990000000005</v>
      </c>
      <c r="D14" s="47">
        <v>0.2984</v>
      </c>
      <c r="E14" s="25">
        <v>2.3477000000000001</v>
      </c>
      <c r="F14" s="47">
        <v>0.86399999999999999</v>
      </c>
      <c r="G14" s="44">
        <v>0.298003575213167</v>
      </c>
      <c r="H14" s="25">
        <v>2.4512999999999998</v>
      </c>
      <c r="I14" s="47">
        <v>0.8196</v>
      </c>
      <c r="J14" s="44">
        <v>0.212375560158615</v>
      </c>
      <c r="K14" s="25">
        <v>2.4392</v>
      </c>
      <c r="L14" s="47">
        <v>0.8246</v>
      </c>
      <c r="M14" s="44">
        <v>3.7604809885996002E-2</v>
      </c>
      <c r="N14" s="25">
        <v>2.4293</v>
      </c>
      <c r="O14" s="47">
        <v>0.82869999999999999</v>
      </c>
      <c r="P14" s="44">
        <v>0.25807530258728201</v>
      </c>
      <c r="Q14" s="25">
        <v>2.4205999999999999</v>
      </c>
      <c r="R14" s="47">
        <v>0.83240000000000003</v>
      </c>
      <c r="S14" s="44">
        <v>0.29727348663678799</v>
      </c>
      <c r="T14" s="25"/>
      <c r="U14" s="47"/>
      <c r="V14" s="44"/>
      <c r="W14" s="25">
        <v>2.4056000000000002</v>
      </c>
      <c r="X14" s="47">
        <v>0.83879999999999999</v>
      </c>
      <c r="Y14" s="44">
        <v>5.81319519504883E-2</v>
      </c>
      <c r="Z14" s="25">
        <v>2.5</v>
      </c>
      <c r="AA14" s="47">
        <v>0.8</v>
      </c>
      <c r="AB14" s="44">
        <v>4.4400000000000002E-2</v>
      </c>
    </row>
    <row r="15" spans="1:28" x14ac:dyDescent="0.25">
      <c r="A15" s="27">
        <v>0.51</v>
      </c>
      <c r="B15" s="25">
        <v>2.0755110000000001</v>
      </c>
      <c r="C15" s="47">
        <v>0.99999979999999999</v>
      </c>
      <c r="D15" s="47">
        <v>0.29830000000000001</v>
      </c>
      <c r="E15" s="25">
        <v>2.3464999999999998</v>
      </c>
      <c r="F15" s="47">
        <v>0.86399999999999999</v>
      </c>
      <c r="G15" s="44">
        <v>0.29782316141465398</v>
      </c>
      <c r="H15" s="25">
        <v>2.4510000000000001</v>
      </c>
      <c r="I15" s="47">
        <v>0.8196</v>
      </c>
      <c r="J15" s="44">
        <v>0.21220134220047099</v>
      </c>
      <c r="K15" s="25">
        <v>2.4386999999999999</v>
      </c>
      <c r="L15" s="47">
        <v>0.8246</v>
      </c>
      <c r="M15" s="44">
        <v>3.7577361123115403E-2</v>
      </c>
      <c r="N15" s="25">
        <v>2.4287000000000001</v>
      </c>
      <c r="O15" s="47">
        <v>0.82869999999999999</v>
      </c>
      <c r="P15" s="44">
        <v>0.25793915938932899</v>
      </c>
      <c r="Q15" s="25">
        <v>2.42</v>
      </c>
      <c r="R15" s="47">
        <v>0.83230000000000004</v>
      </c>
      <c r="S15" s="44">
        <v>0.297004630192793</v>
      </c>
      <c r="T15" s="25"/>
      <c r="U15" s="47"/>
      <c r="V15" s="44"/>
      <c r="W15" s="25">
        <v>2.4047999999999998</v>
      </c>
      <c r="X15" s="47">
        <v>0.8387</v>
      </c>
      <c r="Y15" s="44">
        <v>5.8097883714146099E-2</v>
      </c>
      <c r="Z15" s="25">
        <v>2.5</v>
      </c>
      <c r="AA15" s="47">
        <v>0.8</v>
      </c>
      <c r="AB15" s="44">
        <v>4.4200000000000003E-2</v>
      </c>
    </row>
    <row r="16" spans="1:28" x14ac:dyDescent="0.25">
      <c r="A16" s="27">
        <v>0.52</v>
      </c>
      <c r="B16" s="25">
        <v>2.0781101999999998</v>
      </c>
      <c r="C16" s="47">
        <v>0.99999979999999999</v>
      </c>
      <c r="D16" s="47">
        <v>0.29830000000000001</v>
      </c>
      <c r="E16" s="25">
        <v>2.3473999999999999</v>
      </c>
      <c r="F16" s="47">
        <v>0.86399999999999999</v>
      </c>
      <c r="G16" s="44">
        <v>0.29782419035376301</v>
      </c>
      <c r="H16" s="25">
        <v>2.4512999999999998</v>
      </c>
      <c r="I16" s="47">
        <v>0.8196</v>
      </c>
      <c r="J16" s="44">
        <v>0.212200868451386</v>
      </c>
      <c r="K16" s="25">
        <v>2.4390999999999998</v>
      </c>
      <c r="L16" s="47">
        <v>0.8246</v>
      </c>
      <c r="M16" s="44">
        <v>3.7577282735565501E-2</v>
      </c>
      <c r="N16" s="25">
        <v>2.4291</v>
      </c>
      <c r="O16" s="47">
        <v>0.82869999999999999</v>
      </c>
      <c r="P16" s="44">
        <v>0.25793965220554399</v>
      </c>
      <c r="Q16" s="25">
        <v>2.4205000000000001</v>
      </c>
      <c r="R16" s="47">
        <v>0.83240000000000003</v>
      </c>
      <c r="S16" s="44">
        <v>0.29700445345690502</v>
      </c>
      <c r="T16" s="25"/>
      <c r="U16" s="47"/>
      <c r="V16" s="44"/>
      <c r="W16" s="25">
        <v>2.4054000000000002</v>
      </c>
      <c r="X16" s="47">
        <v>0.8387</v>
      </c>
      <c r="Y16" s="44">
        <v>5.8097979863859998E-2</v>
      </c>
      <c r="Z16" s="25">
        <v>2.5</v>
      </c>
      <c r="AA16" s="47">
        <v>0.8</v>
      </c>
      <c r="AB16" s="44">
        <v>4.4200000000000003E-2</v>
      </c>
    </row>
    <row r="17" spans="1:28" x14ac:dyDescent="0.25">
      <c r="A17" s="27">
        <v>0.53</v>
      </c>
      <c r="B17" s="25">
        <v>2.0835105999999999</v>
      </c>
      <c r="C17" s="47">
        <v>0.99999959999999999</v>
      </c>
      <c r="D17" s="47">
        <v>0.29820000000000002</v>
      </c>
      <c r="E17" s="25">
        <v>2.3494000000000002</v>
      </c>
      <c r="F17" s="47">
        <v>0.86409999999999998</v>
      </c>
      <c r="G17" s="44">
        <v>0.29818406449764301</v>
      </c>
      <c r="H17" s="25">
        <v>2.4519000000000002</v>
      </c>
      <c r="I17" s="47">
        <v>0.8196</v>
      </c>
      <c r="J17" s="44">
        <v>0.212360635832055</v>
      </c>
      <c r="K17" s="25">
        <v>2.4399000000000002</v>
      </c>
      <c r="L17" s="47">
        <v>0.82469999999999999</v>
      </c>
      <c r="M17" s="44">
        <v>3.76116531623727E-2</v>
      </c>
      <c r="N17" s="25">
        <v>2.4300000000000002</v>
      </c>
      <c r="O17" s="47">
        <v>0.82879999999999998</v>
      </c>
      <c r="P17" s="44">
        <v>0.258042853899205</v>
      </c>
      <c r="Q17" s="25">
        <v>2.4215</v>
      </c>
      <c r="R17" s="47">
        <v>0.83240000000000003</v>
      </c>
      <c r="S17" s="44">
        <v>0.29737184562102997</v>
      </c>
      <c r="T17" s="25"/>
      <c r="U17" s="47"/>
      <c r="V17" s="44"/>
      <c r="W17" s="25">
        <v>2.4066000000000001</v>
      </c>
      <c r="X17" s="47">
        <v>0.83879999999999999</v>
      </c>
      <c r="Y17" s="44">
        <v>5.8144745660095698E-2</v>
      </c>
      <c r="Z17" s="25">
        <v>2.5</v>
      </c>
      <c r="AA17" s="47">
        <v>0.8</v>
      </c>
      <c r="AB17" s="44">
        <v>4.4699999999999997E-2</v>
      </c>
    </row>
    <row r="18" spans="1:28" x14ac:dyDescent="0.25">
      <c r="A18" s="27">
        <v>0.54</v>
      </c>
      <c r="B18" s="25">
        <v>2.0800046999999999</v>
      </c>
      <c r="C18" s="47">
        <v>0.99999950000000004</v>
      </c>
      <c r="D18" s="47">
        <v>0.29809999999999998</v>
      </c>
      <c r="E18" s="25">
        <v>2.3481000000000001</v>
      </c>
      <c r="F18" s="47">
        <v>0.86409999999999998</v>
      </c>
      <c r="G18" s="44">
        <v>0.29800403215350701</v>
      </c>
      <c r="H18" s="25">
        <v>2.4514999999999998</v>
      </c>
      <c r="I18" s="47">
        <v>0.8196</v>
      </c>
      <c r="J18" s="44">
        <v>0.21218983193240001</v>
      </c>
      <c r="K18" s="25">
        <v>2.4394</v>
      </c>
      <c r="L18" s="47">
        <v>0.8246</v>
      </c>
      <c r="M18" s="44">
        <v>3.7583855169176901E-2</v>
      </c>
      <c r="N18" s="25">
        <v>2.4295</v>
      </c>
      <c r="O18" s="47">
        <v>0.82879999999999998</v>
      </c>
      <c r="P18" s="44">
        <v>0.257906753033249</v>
      </c>
      <c r="Q18" s="25">
        <v>2.4207999999999998</v>
      </c>
      <c r="R18" s="47">
        <v>0.83240000000000003</v>
      </c>
      <c r="S18" s="44">
        <v>0.29709687611266999</v>
      </c>
      <c r="T18" s="25"/>
      <c r="U18" s="47"/>
      <c r="V18" s="44"/>
      <c r="W18" s="25">
        <v>2.4058000000000002</v>
      </c>
      <c r="X18" s="47">
        <v>0.83879999999999999</v>
      </c>
      <c r="Y18" s="44">
        <v>5.8109627848859001E-2</v>
      </c>
      <c r="Z18" s="25">
        <v>2.5</v>
      </c>
      <c r="AA18" s="47">
        <v>0.8</v>
      </c>
      <c r="AB18" s="44">
        <v>4.4400000000000002E-2</v>
      </c>
    </row>
    <row r="19" spans="1:28" x14ac:dyDescent="0.25">
      <c r="A19" s="27">
        <v>0.55000000000000004</v>
      </c>
      <c r="B19" s="25">
        <v>2.0854764000000001</v>
      </c>
      <c r="C19" s="47">
        <v>0.99999939999999998</v>
      </c>
      <c r="D19" s="47">
        <v>0.29809999999999998</v>
      </c>
      <c r="E19" s="25">
        <v>2.3500999999999999</v>
      </c>
      <c r="F19" s="47">
        <v>0.86419999999999997</v>
      </c>
      <c r="G19" s="44">
        <v>0.29796160014955497</v>
      </c>
      <c r="H19" s="25">
        <v>2.4521000000000002</v>
      </c>
      <c r="I19" s="47">
        <v>0.81969999999999998</v>
      </c>
      <c r="J19" s="44">
        <v>0.212122499436255</v>
      </c>
      <c r="K19" s="25">
        <v>2.4401000000000002</v>
      </c>
      <c r="L19" s="47">
        <v>0.82469999999999999</v>
      </c>
      <c r="M19" s="44">
        <v>3.7574323170317399E-2</v>
      </c>
      <c r="N19" s="25">
        <v>2.4304000000000001</v>
      </c>
      <c r="O19" s="47">
        <v>0.82879999999999998</v>
      </c>
      <c r="P19" s="44">
        <v>0.25784937526074803</v>
      </c>
      <c r="Q19" s="25">
        <v>2.4218000000000002</v>
      </c>
      <c r="R19" s="47">
        <v>0.83250000000000002</v>
      </c>
      <c r="S19" s="44">
        <v>0.297007918620666</v>
      </c>
      <c r="T19" s="25"/>
      <c r="U19" s="47"/>
      <c r="V19" s="44"/>
      <c r="W19" s="25">
        <v>2.4070999999999998</v>
      </c>
      <c r="X19" s="47">
        <v>0.83889999999999998</v>
      </c>
      <c r="Y19" s="44">
        <v>5.8098502468025198E-2</v>
      </c>
      <c r="Z19" s="25">
        <v>2.5</v>
      </c>
      <c r="AA19" s="47">
        <v>0.8</v>
      </c>
      <c r="AB19" s="44">
        <v>4.4400000000000002E-2</v>
      </c>
    </row>
    <row r="20" spans="1:28" x14ac:dyDescent="0.25">
      <c r="A20" s="27">
        <v>0.56000000000000005</v>
      </c>
      <c r="B20" s="25">
        <v>2.0944213999999999</v>
      </c>
      <c r="C20" s="47">
        <v>0.99999930000000004</v>
      </c>
      <c r="D20" s="47">
        <v>0.29809999999999998</v>
      </c>
      <c r="E20" s="25">
        <v>2.3532999999999999</v>
      </c>
      <c r="F20" s="47">
        <v>0.86439999999999995</v>
      </c>
      <c r="G20" s="44">
        <v>0.29792049874971299</v>
      </c>
      <c r="H20" s="25">
        <v>2.4531000000000001</v>
      </c>
      <c r="I20" s="47">
        <v>0.81969999999999998</v>
      </c>
      <c r="J20" s="44">
        <v>0.21206560469164301</v>
      </c>
      <c r="K20" s="25">
        <v>2.4413999999999998</v>
      </c>
      <c r="L20" s="47">
        <v>0.82479999999999998</v>
      </c>
      <c r="M20" s="44">
        <v>3.7566505471730197E-2</v>
      </c>
      <c r="N20" s="25">
        <v>2.4319000000000002</v>
      </c>
      <c r="O20" s="47">
        <v>0.82889999999999997</v>
      </c>
      <c r="P20" s="44">
        <v>0.257800376541723</v>
      </c>
      <c r="Q20" s="25">
        <v>2.4235000000000002</v>
      </c>
      <c r="R20" s="47">
        <v>0.83260000000000001</v>
      </c>
      <c r="S20" s="44">
        <v>0.29693642095746198</v>
      </c>
      <c r="T20" s="25"/>
      <c r="U20" s="47"/>
      <c r="V20" s="44"/>
      <c r="W20" s="25">
        <v>2.4091</v>
      </c>
      <c r="X20" s="47">
        <v>0.83899999999999997</v>
      </c>
      <c r="Y20" s="44">
        <v>5.8089707278705799E-2</v>
      </c>
      <c r="Z20" s="25">
        <v>2.5</v>
      </c>
      <c r="AA20" s="47">
        <v>0.8</v>
      </c>
      <c r="AB20" s="44">
        <v>4.4400000000000002E-2</v>
      </c>
    </row>
    <row r="21" spans="1:28" x14ac:dyDescent="0.25">
      <c r="A21" s="27">
        <v>0.56999999999999995</v>
      </c>
      <c r="B21" s="25">
        <v>2.0766106</v>
      </c>
      <c r="C21" s="47">
        <v>0.99999919999999998</v>
      </c>
      <c r="D21" s="47">
        <v>0.2979</v>
      </c>
      <c r="E21" s="25">
        <v>2.3469000000000002</v>
      </c>
      <c r="F21" s="47">
        <v>0.86399999999999999</v>
      </c>
      <c r="G21" s="44">
        <v>0.29791320130856702</v>
      </c>
      <c r="H21" s="25">
        <v>2.4510999999999998</v>
      </c>
      <c r="I21" s="47">
        <v>0.8196</v>
      </c>
      <c r="J21" s="44">
        <v>0.212003995664693</v>
      </c>
      <c r="K21" s="25">
        <v>2.4388999999999998</v>
      </c>
      <c r="L21" s="47">
        <v>0.8246</v>
      </c>
      <c r="M21" s="44">
        <v>3.7557607170449203E-2</v>
      </c>
      <c r="N21" s="25">
        <v>2.4289000000000001</v>
      </c>
      <c r="O21" s="47">
        <v>0.82869999999999999</v>
      </c>
      <c r="P21" s="44">
        <v>0.257740034473879</v>
      </c>
      <c r="Q21" s="25">
        <v>2.4201999999999999</v>
      </c>
      <c r="R21" s="47">
        <v>0.83240000000000003</v>
      </c>
      <c r="S21" s="44">
        <v>0.29684697942573501</v>
      </c>
      <c r="T21" s="25"/>
      <c r="U21" s="47"/>
      <c r="V21" s="44"/>
      <c r="W21" s="25">
        <v>2.4051</v>
      </c>
      <c r="X21" s="47">
        <v>0.8387</v>
      </c>
      <c r="Y21" s="44">
        <v>5.8077446133469601E-2</v>
      </c>
      <c r="Z21" s="25">
        <v>2.5</v>
      </c>
      <c r="AA21" s="47">
        <v>0.8</v>
      </c>
      <c r="AB21" s="44">
        <v>4.4299999999999999E-2</v>
      </c>
    </row>
    <row r="22" spans="1:28" x14ac:dyDescent="0.25">
      <c r="A22" s="27">
        <v>0.57999999999999996</v>
      </c>
      <c r="B22" s="25">
        <v>2.0490065</v>
      </c>
      <c r="C22" s="47">
        <v>0.99999890000000002</v>
      </c>
      <c r="D22" s="47">
        <v>0.29759999999999998</v>
      </c>
      <c r="E22" s="25">
        <v>2.3369</v>
      </c>
      <c r="F22" s="47">
        <v>0.86339999999999995</v>
      </c>
      <c r="G22" s="44">
        <v>0.298281067557228</v>
      </c>
      <c r="H22" s="25">
        <v>2.4479000000000002</v>
      </c>
      <c r="I22" s="47">
        <v>0.81930000000000003</v>
      </c>
      <c r="J22" s="44">
        <v>0.212171458629582</v>
      </c>
      <c r="K22" s="25">
        <v>2.4348999999999998</v>
      </c>
      <c r="L22" s="47">
        <v>0.82430000000000003</v>
      </c>
      <c r="M22" s="44">
        <v>3.7593037106883997E-2</v>
      </c>
      <c r="N22" s="25">
        <v>2.4241999999999999</v>
      </c>
      <c r="O22" s="47">
        <v>0.82840000000000003</v>
      </c>
      <c r="P22" s="44">
        <v>0.25782626223809402</v>
      </c>
      <c r="Q22" s="25">
        <v>2.415</v>
      </c>
      <c r="R22" s="47">
        <v>0.83199999999999996</v>
      </c>
      <c r="S22" s="44">
        <v>0.29721107017756498</v>
      </c>
      <c r="T22" s="25"/>
      <c r="U22" s="47"/>
      <c r="V22" s="44"/>
      <c r="W22" s="25">
        <v>2.3988999999999998</v>
      </c>
      <c r="X22" s="47">
        <v>0.83830000000000005</v>
      </c>
      <c r="Y22" s="44">
        <v>5.8121870299444101E-2</v>
      </c>
      <c r="Z22" s="25">
        <v>2.5</v>
      </c>
      <c r="AA22" s="47">
        <v>0.8</v>
      </c>
      <c r="AB22" s="44">
        <v>4.48E-2</v>
      </c>
    </row>
    <row r="23" spans="1:28" x14ac:dyDescent="0.25">
      <c r="A23" s="27">
        <v>0.59</v>
      </c>
      <c r="B23" s="25">
        <v>2.0770197000000001</v>
      </c>
      <c r="C23" s="47">
        <v>0.99999899999999997</v>
      </c>
      <c r="D23" s="47">
        <v>0.29780000000000001</v>
      </c>
      <c r="E23" s="25">
        <v>2.347</v>
      </c>
      <c r="F23" s="47">
        <v>0.86399999999999999</v>
      </c>
      <c r="G23" s="44">
        <v>0.29804745872057797</v>
      </c>
      <c r="H23" s="25">
        <v>2.4510999999999998</v>
      </c>
      <c r="I23" s="47">
        <v>0.8196</v>
      </c>
      <c r="J23" s="44">
        <v>0.21204223933793201</v>
      </c>
      <c r="K23" s="25">
        <v>2.4388999999999998</v>
      </c>
      <c r="L23" s="47">
        <v>0.8246</v>
      </c>
      <c r="M23" s="44">
        <v>3.7568306408727201E-2</v>
      </c>
      <c r="N23" s="25">
        <v>2.4289999999999998</v>
      </c>
      <c r="O23" s="47">
        <v>0.82869999999999999</v>
      </c>
      <c r="P23" s="44">
        <v>0.25774850892651002</v>
      </c>
      <c r="Q23" s="25">
        <v>2.4201999999999999</v>
      </c>
      <c r="R23" s="47">
        <v>0.83240000000000003</v>
      </c>
      <c r="S23" s="44">
        <v>0.296964450997725</v>
      </c>
      <c r="T23" s="25"/>
      <c r="U23" s="47"/>
      <c r="V23" s="44"/>
      <c r="W23" s="25">
        <v>2.4051999999999998</v>
      </c>
      <c r="X23" s="47">
        <v>0.8387</v>
      </c>
      <c r="Y23" s="44">
        <v>5.8091927308107201E-2</v>
      </c>
      <c r="Z23" s="25">
        <v>2.5</v>
      </c>
      <c r="AA23" s="47">
        <v>0.8</v>
      </c>
      <c r="AB23" s="44">
        <v>4.4499999999999998E-2</v>
      </c>
    </row>
    <row r="24" spans="1:28" x14ac:dyDescent="0.25">
      <c r="A24" s="27">
        <v>0.6</v>
      </c>
      <c r="B24" s="25">
        <v>2.1451096999999999</v>
      </c>
      <c r="C24" s="47">
        <v>0.99999859999999996</v>
      </c>
      <c r="D24" s="47">
        <v>0.29809999999999998</v>
      </c>
      <c r="E24" s="25">
        <v>2.3717000000000001</v>
      </c>
      <c r="F24" s="47">
        <v>0.86539999999999995</v>
      </c>
      <c r="G24" s="44">
        <v>0.297717074989437</v>
      </c>
      <c r="H24" s="25">
        <v>2.4590000000000001</v>
      </c>
      <c r="I24" s="47">
        <v>0.82020000000000004</v>
      </c>
      <c r="J24" s="44">
        <v>0.21169421488859699</v>
      </c>
      <c r="K24" s="25">
        <v>2.4487999999999999</v>
      </c>
      <c r="L24" s="47">
        <v>0.82530000000000003</v>
      </c>
      <c r="M24" s="44">
        <v>3.7513639566025603E-2</v>
      </c>
      <c r="N24" s="25">
        <v>2.4403999999999999</v>
      </c>
      <c r="O24" s="47">
        <v>0.82950000000000002</v>
      </c>
      <c r="P24" s="44">
        <v>0.25746913969120999</v>
      </c>
      <c r="Q24" s="25">
        <v>2.4331</v>
      </c>
      <c r="R24" s="47">
        <v>0.83320000000000005</v>
      </c>
      <c r="S24" s="44">
        <v>0.29643670656301602</v>
      </c>
      <c r="T24" s="25"/>
      <c r="U24" s="47"/>
      <c r="V24" s="44"/>
      <c r="W24" s="25">
        <v>2.4203999999999999</v>
      </c>
      <c r="X24" s="47">
        <v>0.8397</v>
      </c>
      <c r="Y24" s="44">
        <v>5.8027001073262398E-2</v>
      </c>
      <c r="Z24" s="25">
        <v>2.5</v>
      </c>
      <c r="AA24" s="47">
        <v>0.8</v>
      </c>
      <c r="AB24" s="44">
        <v>4.41E-2</v>
      </c>
    </row>
    <row r="25" spans="1:28" x14ac:dyDescent="0.25">
      <c r="A25" s="27">
        <v>0.61</v>
      </c>
      <c r="B25" s="25">
        <v>2.1453316</v>
      </c>
      <c r="C25" s="47">
        <v>0.99999859999999996</v>
      </c>
      <c r="D25" s="47">
        <v>0.29809999999999998</v>
      </c>
      <c r="E25" s="25">
        <v>2.3717000000000001</v>
      </c>
      <c r="F25" s="47">
        <v>0.86539999999999995</v>
      </c>
      <c r="G25" s="44">
        <v>0.29762718728838</v>
      </c>
      <c r="H25" s="25">
        <v>2.4590000000000001</v>
      </c>
      <c r="I25" s="47">
        <v>0.82020000000000004</v>
      </c>
      <c r="J25" s="44">
        <v>0.21162660584778001</v>
      </c>
      <c r="K25" s="25">
        <v>2.4487999999999999</v>
      </c>
      <c r="L25" s="47">
        <v>0.82530000000000003</v>
      </c>
      <c r="M25" s="44">
        <v>3.7501681555236401E-2</v>
      </c>
      <c r="N25" s="25">
        <v>2.4403999999999999</v>
      </c>
      <c r="O25" s="47">
        <v>0.82950000000000002</v>
      </c>
      <c r="P25" s="44">
        <v>0.25741950513287398</v>
      </c>
      <c r="Q25" s="25">
        <v>2.4331</v>
      </c>
      <c r="R25" s="47">
        <v>0.83320000000000005</v>
      </c>
      <c r="S25" s="44">
        <v>0.29631448198427301</v>
      </c>
      <c r="T25" s="25"/>
      <c r="U25" s="47"/>
      <c r="V25" s="44"/>
      <c r="W25" s="25">
        <v>2.4205000000000001</v>
      </c>
      <c r="X25" s="47">
        <v>0.8397</v>
      </c>
      <c r="Y25" s="44">
        <v>5.8011657857534003E-2</v>
      </c>
      <c r="Z25" s="25">
        <v>2.5</v>
      </c>
      <c r="AA25" s="47">
        <v>0.8</v>
      </c>
      <c r="AB25" s="44">
        <v>4.3900000000000002E-2</v>
      </c>
    </row>
    <row r="26" spans="1:28" x14ac:dyDescent="0.25">
      <c r="A26" s="27">
        <v>0.62</v>
      </c>
      <c r="B26" s="25">
        <v>2.0678619999999999</v>
      </c>
      <c r="C26" s="47">
        <v>0.99999819999999995</v>
      </c>
      <c r="D26" s="47">
        <v>0.29749999999999999</v>
      </c>
      <c r="E26" s="25">
        <v>2.3437000000000001</v>
      </c>
      <c r="F26" s="47">
        <v>0.86380000000000001</v>
      </c>
      <c r="G26" s="44">
        <v>0.29781995524642901</v>
      </c>
      <c r="H26" s="25">
        <v>2.4500999999999999</v>
      </c>
      <c r="I26" s="47">
        <v>0.81950000000000001</v>
      </c>
      <c r="J26" s="44">
        <v>0.21163438097627699</v>
      </c>
      <c r="K26" s="25">
        <v>2.4376000000000002</v>
      </c>
      <c r="L26" s="47">
        <v>0.82450000000000001</v>
      </c>
      <c r="M26" s="44">
        <v>3.7508525944402703E-2</v>
      </c>
      <c r="N26" s="25">
        <v>2.4274</v>
      </c>
      <c r="O26" s="47">
        <v>0.8286</v>
      </c>
      <c r="P26" s="44">
        <v>0.25736653207177701</v>
      </c>
      <c r="Q26" s="25">
        <v>2.4184999999999999</v>
      </c>
      <c r="R26" s="47">
        <v>0.83220000000000005</v>
      </c>
      <c r="S26" s="44">
        <v>0.29637753979867898</v>
      </c>
      <c r="T26" s="25"/>
      <c r="U26" s="47"/>
      <c r="V26" s="44"/>
      <c r="W26" s="25">
        <v>2.4030999999999998</v>
      </c>
      <c r="X26" s="47">
        <v>0.83860000000000001</v>
      </c>
      <c r="Y26" s="44">
        <v>5.80150464023955E-2</v>
      </c>
      <c r="Z26" s="25">
        <v>2.5</v>
      </c>
      <c r="AA26" s="47">
        <v>0.8</v>
      </c>
      <c r="AB26" s="44">
        <v>4.4200000000000003E-2</v>
      </c>
    </row>
    <row r="27" spans="1:28" x14ac:dyDescent="0.25">
      <c r="A27" s="27">
        <v>0.63</v>
      </c>
      <c r="B27" s="25">
        <v>2.0130701000000002</v>
      </c>
      <c r="C27" s="47">
        <v>0.99999760000000004</v>
      </c>
      <c r="D27" s="47">
        <v>0.29699999999999999</v>
      </c>
      <c r="E27" s="25">
        <v>2.3239000000000001</v>
      </c>
      <c r="F27" s="47">
        <v>0.86260000000000003</v>
      </c>
      <c r="G27" s="44">
        <v>0.29837713904451302</v>
      </c>
      <c r="H27" s="25">
        <v>2.4437000000000002</v>
      </c>
      <c r="I27" s="47">
        <v>0.81899999999999995</v>
      </c>
      <c r="J27" s="44">
        <v>0.211881458842922</v>
      </c>
      <c r="K27" s="25">
        <v>2.4297</v>
      </c>
      <c r="L27" s="47">
        <v>0.82389999999999997</v>
      </c>
      <c r="M27" s="44">
        <v>3.7559981508398399E-2</v>
      </c>
      <c r="N27" s="25">
        <v>2.4182000000000001</v>
      </c>
      <c r="O27" s="47">
        <v>0.82799999999999996</v>
      </c>
      <c r="P27" s="44">
        <v>0.257479327356754</v>
      </c>
      <c r="Q27" s="25">
        <v>2.4081999999999999</v>
      </c>
      <c r="R27" s="47">
        <v>0.83150000000000002</v>
      </c>
      <c r="S27" s="44">
        <v>0.29689427554407899</v>
      </c>
      <c r="T27" s="25"/>
      <c r="U27" s="47"/>
      <c r="V27" s="44"/>
      <c r="W27" s="25">
        <v>2.3908</v>
      </c>
      <c r="X27" s="47">
        <v>0.83779999999999999</v>
      </c>
      <c r="Y27" s="44">
        <v>5.80764144394567E-2</v>
      </c>
      <c r="Z27" s="25">
        <v>2.5</v>
      </c>
      <c r="AA27" s="47">
        <v>0.8</v>
      </c>
      <c r="AB27" s="44">
        <v>4.4999999999999998E-2</v>
      </c>
    </row>
    <row r="28" spans="1:28" x14ac:dyDescent="0.25">
      <c r="A28" s="27">
        <v>0.64</v>
      </c>
      <c r="B28" s="25">
        <v>2.0478844999999999</v>
      </c>
      <c r="C28" s="47">
        <v>0.99999760000000004</v>
      </c>
      <c r="D28" s="47">
        <v>0.29720000000000002</v>
      </c>
      <c r="E28" s="25">
        <v>2.3365</v>
      </c>
      <c r="F28" s="47">
        <v>0.86339999999999995</v>
      </c>
      <c r="G28" s="44">
        <v>0.29839175111635902</v>
      </c>
      <c r="H28" s="25">
        <v>2.4478</v>
      </c>
      <c r="I28" s="47">
        <v>0.81930000000000003</v>
      </c>
      <c r="J28" s="44">
        <v>0.211910268141529</v>
      </c>
      <c r="K28" s="25">
        <v>2.4346999999999999</v>
      </c>
      <c r="L28" s="47">
        <v>0.82430000000000003</v>
      </c>
      <c r="M28" s="44">
        <v>3.75652856066057E-2</v>
      </c>
      <c r="N28" s="25">
        <v>2.4241000000000001</v>
      </c>
      <c r="O28" s="47">
        <v>0.82840000000000003</v>
      </c>
      <c r="P28" s="44">
        <v>0.25750886269291101</v>
      </c>
      <c r="Q28" s="25">
        <v>2.4148000000000001</v>
      </c>
      <c r="R28" s="47">
        <v>0.83199999999999996</v>
      </c>
      <c r="S28" s="44">
        <v>0.296955154820912</v>
      </c>
      <c r="T28" s="25"/>
      <c r="U28" s="47"/>
      <c r="V28" s="44"/>
      <c r="W28" s="25">
        <v>2.3986000000000001</v>
      </c>
      <c r="X28" s="47">
        <v>0.83830000000000005</v>
      </c>
      <c r="Y28" s="44">
        <v>5.80856240169546E-2</v>
      </c>
      <c r="Z28" s="25">
        <v>2.5</v>
      </c>
      <c r="AA28" s="47">
        <v>0.8</v>
      </c>
      <c r="AB28" s="44">
        <v>4.4999999999999998E-2</v>
      </c>
    </row>
    <row r="29" spans="1:28" x14ac:dyDescent="0.25">
      <c r="A29" s="27">
        <v>0.65</v>
      </c>
      <c r="B29" s="25">
        <v>2.1078855999999999</v>
      </c>
      <c r="C29" s="47">
        <v>0.99999729999999998</v>
      </c>
      <c r="D29" s="47">
        <v>0.29749999999999999</v>
      </c>
      <c r="E29" s="25">
        <v>2.3582000000000001</v>
      </c>
      <c r="F29" s="47">
        <v>0.86460000000000004</v>
      </c>
      <c r="G29" s="44">
        <v>0.29794843567651502</v>
      </c>
      <c r="H29" s="25">
        <v>2.4546999999999999</v>
      </c>
      <c r="I29" s="47">
        <v>0.81979999999999997</v>
      </c>
      <c r="J29" s="44">
        <v>0.21151222685703699</v>
      </c>
      <c r="K29" s="25">
        <v>2.4434</v>
      </c>
      <c r="L29" s="47">
        <v>0.82489999999999997</v>
      </c>
      <c r="M29" s="44">
        <v>3.7498086956286203E-2</v>
      </c>
      <c r="N29" s="25">
        <v>2.4340999999999999</v>
      </c>
      <c r="O29" s="47">
        <v>0.82909999999999995</v>
      </c>
      <c r="P29" s="44">
        <v>0.25720054635437301</v>
      </c>
      <c r="Q29" s="25">
        <v>2.4260999999999999</v>
      </c>
      <c r="R29" s="47">
        <v>0.83279999999999998</v>
      </c>
      <c r="S29" s="44">
        <v>0.296291372128279</v>
      </c>
      <c r="T29" s="25"/>
      <c r="U29" s="47"/>
      <c r="V29" s="44"/>
      <c r="W29" s="25">
        <v>2.4121000000000001</v>
      </c>
      <c r="X29" s="47">
        <v>0.83919999999999995</v>
      </c>
      <c r="Y29" s="44">
        <v>5.8002414445330698E-2</v>
      </c>
      <c r="Z29" s="25">
        <v>2.5</v>
      </c>
      <c r="AA29" s="47">
        <v>0.8</v>
      </c>
      <c r="AB29" s="44">
        <v>4.4400000000000002E-2</v>
      </c>
    </row>
    <row r="30" spans="1:28" x14ac:dyDescent="0.25">
      <c r="A30" s="27">
        <v>0.66</v>
      </c>
      <c r="B30" s="25">
        <v>2.1379454</v>
      </c>
      <c r="C30" s="47">
        <v>0.99999689999999997</v>
      </c>
      <c r="D30" s="47">
        <v>0.29759999999999998</v>
      </c>
      <c r="E30" s="25">
        <v>2.3691</v>
      </c>
      <c r="F30" s="47">
        <v>0.86529999999999996</v>
      </c>
      <c r="G30" s="44">
        <v>0.29791596233169898</v>
      </c>
      <c r="H30" s="25">
        <v>2.4582000000000002</v>
      </c>
      <c r="I30" s="47">
        <v>0.82010000000000005</v>
      </c>
      <c r="J30" s="44">
        <v>0.21141619950426499</v>
      </c>
      <c r="K30" s="25">
        <v>2.4477000000000002</v>
      </c>
      <c r="L30" s="47">
        <v>0.82520000000000004</v>
      </c>
      <c r="M30" s="44">
        <v>3.7485435262139002E-2</v>
      </c>
      <c r="N30" s="25">
        <v>2.4392</v>
      </c>
      <c r="O30" s="47">
        <v>0.82940000000000003</v>
      </c>
      <c r="P30" s="44">
        <v>0.25709953579123601</v>
      </c>
      <c r="Q30" s="25">
        <v>2.4317000000000002</v>
      </c>
      <c r="R30" s="47">
        <v>0.83320000000000005</v>
      </c>
      <c r="S30" s="44">
        <v>0.29617079941838598</v>
      </c>
      <c r="T30" s="25"/>
      <c r="U30" s="47"/>
      <c r="V30" s="44"/>
      <c r="W30" s="25">
        <v>2.4188000000000001</v>
      </c>
      <c r="X30" s="47">
        <v>0.83960000000000001</v>
      </c>
      <c r="Y30" s="44">
        <v>5.7986651580844498E-2</v>
      </c>
      <c r="Z30" s="25">
        <v>2.5</v>
      </c>
      <c r="AA30" s="47">
        <v>0.8</v>
      </c>
      <c r="AB30" s="44">
        <v>4.4299999999999999E-2</v>
      </c>
    </row>
    <row r="31" spans="1:28" x14ac:dyDescent="0.25">
      <c r="A31" s="27">
        <v>0.67</v>
      </c>
      <c r="B31" s="25">
        <v>2.1153993999999998</v>
      </c>
      <c r="C31" s="47">
        <v>0.99999649999999995</v>
      </c>
      <c r="D31" s="47">
        <v>0.29730000000000001</v>
      </c>
      <c r="E31" s="25">
        <v>2.3609</v>
      </c>
      <c r="F31" s="47">
        <v>0.86480000000000001</v>
      </c>
      <c r="G31" s="44">
        <v>0.29795148981321601</v>
      </c>
      <c r="H31" s="25">
        <v>2.4556</v>
      </c>
      <c r="I31" s="47">
        <v>0.81989999999999996</v>
      </c>
      <c r="J31" s="44">
        <v>0.21134572514784</v>
      </c>
      <c r="K31" s="25">
        <v>2.4445000000000001</v>
      </c>
      <c r="L31" s="47">
        <v>0.82499999999999996</v>
      </c>
      <c r="M31" s="44">
        <v>3.7476828650649399E-2</v>
      </c>
      <c r="N31" s="25">
        <v>2.4354</v>
      </c>
      <c r="O31" s="47">
        <v>0.82920000000000005</v>
      </c>
      <c r="P31" s="44">
        <v>0.257008264240142</v>
      </c>
      <c r="Q31" s="25">
        <v>2.4275000000000002</v>
      </c>
      <c r="R31" s="47">
        <v>0.83289999999999997</v>
      </c>
      <c r="S31" s="44">
        <v>0.29608071861944402</v>
      </c>
      <c r="T31" s="25"/>
      <c r="U31" s="47"/>
      <c r="V31" s="44"/>
      <c r="W31" s="25">
        <v>2.4138000000000002</v>
      </c>
      <c r="X31" s="47">
        <v>0.83930000000000005</v>
      </c>
      <c r="Y31" s="44">
        <v>5.7972837248211298E-2</v>
      </c>
      <c r="Z31" s="25">
        <v>2.5</v>
      </c>
      <c r="AA31" s="47">
        <v>0.8</v>
      </c>
      <c r="AB31" s="44">
        <v>4.4400000000000002E-2</v>
      </c>
    </row>
    <row r="32" spans="1:28" x14ac:dyDescent="0.25">
      <c r="A32" s="27">
        <v>0.68</v>
      </c>
      <c r="B32" s="25">
        <v>2.0954518000000002</v>
      </c>
      <c r="C32" s="47">
        <v>0.99999610000000005</v>
      </c>
      <c r="D32" s="47">
        <v>0.29720000000000002</v>
      </c>
      <c r="E32" s="25">
        <v>2.3536999999999999</v>
      </c>
      <c r="F32" s="47">
        <v>0.86439999999999995</v>
      </c>
      <c r="G32" s="44">
        <v>0.29830030175455002</v>
      </c>
      <c r="H32" s="25">
        <v>2.4533</v>
      </c>
      <c r="I32" s="47">
        <v>0.81969999999999998</v>
      </c>
      <c r="J32" s="44">
        <v>0.211525096346319</v>
      </c>
      <c r="K32" s="25">
        <v>2.4416000000000002</v>
      </c>
      <c r="L32" s="47">
        <v>0.82479999999999998</v>
      </c>
      <c r="M32" s="44">
        <v>3.75124957867502E-2</v>
      </c>
      <c r="N32" s="25">
        <v>2.4319999999999999</v>
      </c>
      <c r="O32" s="47">
        <v>0.82889999999999997</v>
      </c>
      <c r="P32" s="44">
        <v>0.257103202989102</v>
      </c>
      <c r="Q32" s="25">
        <v>2.4237000000000002</v>
      </c>
      <c r="R32" s="47">
        <v>0.83260000000000001</v>
      </c>
      <c r="S32" s="44">
        <v>0.296437834514159</v>
      </c>
      <c r="T32" s="25"/>
      <c r="U32" s="47"/>
      <c r="V32" s="44"/>
      <c r="W32" s="25">
        <v>2.4093</v>
      </c>
      <c r="X32" s="47">
        <v>0.83899999999999997</v>
      </c>
      <c r="Y32" s="44">
        <v>5.8015959548063399E-2</v>
      </c>
      <c r="Z32" s="25">
        <v>2.5</v>
      </c>
      <c r="AA32" s="47">
        <v>0.8</v>
      </c>
      <c r="AB32" s="44">
        <v>4.4900000000000002E-2</v>
      </c>
    </row>
    <row r="33" spans="1:28" x14ac:dyDescent="0.25">
      <c r="A33" s="27">
        <v>0.69</v>
      </c>
      <c r="B33" s="25">
        <v>2.0809836000000002</v>
      </c>
      <c r="C33" s="47">
        <v>0.99999559999999998</v>
      </c>
      <c r="D33" s="47">
        <v>0.29699999999999999</v>
      </c>
      <c r="E33" s="25">
        <v>2.3485</v>
      </c>
      <c r="F33" s="47">
        <v>0.86409999999999998</v>
      </c>
      <c r="G33" s="44">
        <v>0.29820532092482099</v>
      </c>
      <c r="H33" s="25">
        <v>2.4516</v>
      </c>
      <c r="I33" s="47">
        <v>0.8196</v>
      </c>
      <c r="J33" s="44">
        <v>0.21135655444930701</v>
      </c>
      <c r="K33" s="25">
        <v>2.4394999999999998</v>
      </c>
      <c r="L33" s="47">
        <v>0.8246</v>
      </c>
      <c r="M33" s="44">
        <v>3.7486865088631902E-2</v>
      </c>
      <c r="N33" s="25">
        <v>2.4296000000000002</v>
      </c>
      <c r="O33" s="47">
        <v>0.82879999999999998</v>
      </c>
      <c r="P33" s="44">
        <v>0.25693540235337797</v>
      </c>
      <c r="Q33" s="25">
        <v>2.4209999999999998</v>
      </c>
      <c r="R33" s="47">
        <v>0.83240000000000003</v>
      </c>
      <c r="S33" s="44">
        <v>0.29617632930468302</v>
      </c>
      <c r="T33" s="25"/>
      <c r="U33" s="47"/>
      <c r="V33" s="44"/>
      <c r="W33" s="25">
        <v>2.4060000000000001</v>
      </c>
      <c r="X33" s="47">
        <v>0.83879999999999999</v>
      </c>
      <c r="Y33" s="44">
        <v>5.7980206667787998E-2</v>
      </c>
      <c r="Z33" s="25">
        <v>2.5</v>
      </c>
      <c r="AA33" s="47">
        <v>0.8</v>
      </c>
      <c r="AB33" s="44">
        <v>4.4699999999999997E-2</v>
      </c>
    </row>
    <row r="34" spans="1:28" x14ac:dyDescent="0.25">
      <c r="A34" s="27">
        <v>0.7</v>
      </c>
      <c r="B34" s="25">
        <v>2.0904508000000002</v>
      </c>
      <c r="C34" s="47">
        <v>0.99999479999999996</v>
      </c>
      <c r="D34" s="47">
        <v>0.2969</v>
      </c>
      <c r="E34" s="25">
        <v>2.3519000000000001</v>
      </c>
      <c r="F34" s="47">
        <v>0.86429999999999996</v>
      </c>
      <c r="G34" s="44">
        <v>0.29686499649538001</v>
      </c>
      <c r="H34" s="25">
        <v>2.4527000000000001</v>
      </c>
      <c r="I34" s="47">
        <v>0.81969999999999998</v>
      </c>
      <c r="J34" s="44">
        <v>0.21127848799653801</v>
      </c>
      <c r="K34" s="25">
        <v>2.4409000000000001</v>
      </c>
      <c r="L34" s="47">
        <v>0.82469999999999999</v>
      </c>
      <c r="M34" s="44">
        <v>3.7479624462962199E-2</v>
      </c>
      <c r="N34" s="25">
        <v>2.4312</v>
      </c>
      <c r="O34" s="47">
        <v>0.82889999999999997</v>
      </c>
      <c r="P34" s="44">
        <v>0.256817240056538</v>
      </c>
      <c r="Q34" s="25">
        <v>2.4228000000000001</v>
      </c>
      <c r="R34" s="47">
        <v>0.83250000000000002</v>
      </c>
      <c r="S34" s="44">
        <v>0.29610246574190702</v>
      </c>
      <c r="T34" s="25"/>
      <c r="U34" s="47"/>
      <c r="V34" s="44"/>
      <c r="W34" s="25">
        <v>2.4081999999999999</v>
      </c>
      <c r="X34" s="47">
        <v>0.83889999999999998</v>
      </c>
      <c r="Y34" s="44">
        <v>5.7968022381942701E-2</v>
      </c>
      <c r="Z34" s="25">
        <v>2.5</v>
      </c>
      <c r="AA34" s="47">
        <v>0.8</v>
      </c>
      <c r="AB34" s="44">
        <v>4.4900000000000002E-2</v>
      </c>
    </row>
    <row r="35" spans="1:28" x14ac:dyDescent="0.25">
      <c r="A35" s="27">
        <v>0.71</v>
      </c>
      <c r="B35" s="25">
        <v>2.0973239000000001</v>
      </c>
      <c r="C35" s="47">
        <v>0.99999389999999999</v>
      </c>
      <c r="D35" s="47">
        <v>0.29680000000000001</v>
      </c>
      <c r="E35" s="25">
        <v>2.3544</v>
      </c>
      <c r="F35" s="47">
        <v>0.86439999999999995</v>
      </c>
      <c r="G35" s="44">
        <v>0.29673320413889598</v>
      </c>
      <c r="H35" s="25">
        <v>2.4535</v>
      </c>
      <c r="I35" s="47">
        <v>0.81979999999999997</v>
      </c>
      <c r="J35" s="44">
        <v>0.21105007812222101</v>
      </c>
      <c r="K35" s="25">
        <v>2.4419</v>
      </c>
      <c r="L35" s="47">
        <v>0.82479999999999998</v>
      </c>
      <c r="M35" s="44">
        <v>3.7445752842528303E-2</v>
      </c>
      <c r="N35" s="25">
        <v>2.4323999999999999</v>
      </c>
      <c r="O35" s="47">
        <v>0.82899999999999996</v>
      </c>
      <c r="P35" s="44">
        <v>0.25658326451042102</v>
      </c>
      <c r="Q35" s="25">
        <v>2.4241000000000001</v>
      </c>
      <c r="R35" s="47">
        <v>0.83260000000000001</v>
      </c>
      <c r="S35" s="44">
        <v>0.29575809905976103</v>
      </c>
      <c r="T35" s="25"/>
      <c r="U35" s="47"/>
      <c r="V35" s="44"/>
      <c r="W35" s="25">
        <v>2.4097</v>
      </c>
      <c r="X35" s="47">
        <v>0.83899999999999997</v>
      </c>
      <c r="Y35" s="44">
        <v>5.7920869430045603E-2</v>
      </c>
      <c r="Z35" s="25">
        <v>2.5</v>
      </c>
      <c r="AA35" s="47">
        <v>0.8</v>
      </c>
      <c r="AB35" s="44">
        <v>4.4699999999999997E-2</v>
      </c>
    </row>
    <row r="36" spans="1:28" x14ac:dyDescent="0.25">
      <c r="A36" s="27">
        <v>0.72</v>
      </c>
      <c r="B36" s="25">
        <v>2.0968664000000001</v>
      </c>
      <c r="C36" s="47">
        <v>0.99999300000000002</v>
      </c>
      <c r="D36" s="47">
        <v>0.29659999999999997</v>
      </c>
      <c r="E36" s="25">
        <v>2.3542000000000001</v>
      </c>
      <c r="F36" s="47">
        <v>0.86439999999999995</v>
      </c>
      <c r="G36" s="44">
        <v>0.29664381492132202</v>
      </c>
      <c r="H36" s="25">
        <v>2.4533999999999998</v>
      </c>
      <c r="I36" s="47">
        <v>0.81979999999999997</v>
      </c>
      <c r="J36" s="44">
        <v>0.21084533398717301</v>
      </c>
      <c r="K36" s="25">
        <v>2.4418000000000002</v>
      </c>
      <c r="L36" s="47">
        <v>0.82479999999999998</v>
      </c>
      <c r="M36" s="44">
        <v>3.7415573378422197E-2</v>
      </c>
      <c r="N36" s="25">
        <v>2.4323000000000001</v>
      </c>
      <c r="O36" s="47">
        <v>0.82899999999999996</v>
      </c>
      <c r="P36" s="44">
        <v>0.25636901542855101</v>
      </c>
      <c r="Q36" s="25">
        <v>2.4239999999999999</v>
      </c>
      <c r="R36" s="47">
        <v>0.83260000000000001</v>
      </c>
      <c r="S36" s="44">
        <v>0.29544855689171401</v>
      </c>
      <c r="T36" s="25"/>
      <c r="U36" s="47"/>
      <c r="V36" s="44"/>
      <c r="W36" s="25">
        <v>2.4096000000000002</v>
      </c>
      <c r="X36" s="47">
        <v>0.83899999999999997</v>
      </c>
      <c r="Y36" s="44">
        <v>5.7878002397429199E-2</v>
      </c>
      <c r="Z36" s="25">
        <v>2.5</v>
      </c>
      <c r="AA36" s="47">
        <v>0.8</v>
      </c>
      <c r="AB36" s="44">
        <v>4.4600000000000001E-2</v>
      </c>
    </row>
    <row r="37" spans="1:28" x14ac:dyDescent="0.25">
      <c r="A37" s="27">
        <v>0.73</v>
      </c>
      <c r="B37" s="25">
        <v>2.1035279999999998</v>
      </c>
      <c r="C37" s="47">
        <v>0.99999199999999999</v>
      </c>
      <c r="D37" s="47">
        <v>0.29649999999999999</v>
      </c>
      <c r="E37" s="25">
        <v>2.3565999999999998</v>
      </c>
      <c r="F37" s="47">
        <v>0.86460000000000004</v>
      </c>
      <c r="G37" s="44">
        <v>0.296734817422737</v>
      </c>
      <c r="H37" s="25">
        <v>2.4542000000000002</v>
      </c>
      <c r="I37" s="47">
        <v>0.81979999999999997</v>
      </c>
      <c r="J37" s="44">
        <v>0.210768725958902</v>
      </c>
      <c r="K37" s="25">
        <v>2.4428000000000001</v>
      </c>
      <c r="L37" s="47">
        <v>0.82489999999999997</v>
      </c>
      <c r="M37" s="44">
        <v>3.74084433130384E-2</v>
      </c>
      <c r="N37" s="25">
        <v>2.4333999999999998</v>
      </c>
      <c r="O37" s="47">
        <v>0.82899999999999996</v>
      </c>
      <c r="P37" s="44">
        <v>0.25624677850023297</v>
      </c>
      <c r="Q37" s="25">
        <v>2.4251999999999998</v>
      </c>
      <c r="R37" s="47">
        <v>0.8327</v>
      </c>
      <c r="S37" s="44">
        <v>0.29537176189213699</v>
      </c>
      <c r="T37" s="25"/>
      <c r="U37" s="47"/>
      <c r="V37" s="44"/>
      <c r="W37" s="25">
        <v>2.4110999999999998</v>
      </c>
      <c r="X37" s="47">
        <v>0.83909999999999996</v>
      </c>
      <c r="Y37" s="44">
        <v>5.7864587779553597E-2</v>
      </c>
      <c r="Z37" s="25">
        <v>2.5</v>
      </c>
      <c r="AA37" s="47">
        <v>0.8</v>
      </c>
      <c r="AB37" s="44">
        <v>4.4699999999999997E-2</v>
      </c>
    </row>
    <row r="38" spans="1:28" x14ac:dyDescent="0.25">
      <c r="A38" s="27">
        <v>0.74</v>
      </c>
      <c r="B38" s="25">
        <v>2.0964624999999999</v>
      </c>
      <c r="C38" s="47">
        <v>0.9999903</v>
      </c>
      <c r="D38" s="47">
        <v>0.29620000000000002</v>
      </c>
      <c r="E38" s="25">
        <v>2.3540999999999999</v>
      </c>
      <c r="F38" s="47">
        <v>0.86439999999999995</v>
      </c>
      <c r="G38" s="44">
        <v>0.29668837816913801</v>
      </c>
      <c r="H38" s="25">
        <v>2.4533999999999998</v>
      </c>
      <c r="I38" s="47">
        <v>0.81969999999999998</v>
      </c>
      <c r="J38" s="44">
        <v>0.210511036072275</v>
      </c>
      <c r="K38" s="25">
        <v>2.4417</v>
      </c>
      <c r="L38" s="47">
        <v>0.82479999999999998</v>
      </c>
      <c r="M38" s="44">
        <v>3.7372637854591703E-2</v>
      </c>
      <c r="N38" s="25">
        <v>2.4321999999999999</v>
      </c>
      <c r="O38" s="47">
        <v>0.82899999999999996</v>
      </c>
      <c r="P38" s="44">
        <v>0.25594939790687499</v>
      </c>
      <c r="Q38" s="25">
        <v>2.4239000000000002</v>
      </c>
      <c r="R38" s="47">
        <v>0.83260000000000001</v>
      </c>
      <c r="S38" s="44">
        <v>0.29499843793875802</v>
      </c>
      <c r="T38" s="25"/>
      <c r="U38" s="47"/>
      <c r="V38" s="44"/>
      <c r="W38" s="25">
        <v>2.4095</v>
      </c>
      <c r="X38" s="47">
        <v>0.83899999999999997</v>
      </c>
      <c r="Y38" s="44">
        <v>5.7810594228002603E-2</v>
      </c>
      <c r="Z38" s="25">
        <v>2.5</v>
      </c>
      <c r="AA38" s="47">
        <v>0.8</v>
      </c>
      <c r="AB38" s="44">
        <v>4.4600000000000001E-2</v>
      </c>
    </row>
    <row r="39" spans="1:28" x14ac:dyDescent="0.25">
      <c r="A39" s="27">
        <v>0.75</v>
      </c>
      <c r="B39" s="25">
        <v>2.0980886999999999</v>
      </c>
      <c r="C39" s="47">
        <v>0.99999020000000005</v>
      </c>
      <c r="D39" s="47">
        <v>0.29620000000000002</v>
      </c>
      <c r="E39" s="25">
        <v>2.3546999999999998</v>
      </c>
      <c r="F39" s="47">
        <v>0.86439999999999995</v>
      </c>
      <c r="G39" s="44">
        <v>0.29664418199569897</v>
      </c>
      <c r="H39" s="25">
        <v>2.4535999999999998</v>
      </c>
      <c r="I39" s="47">
        <v>0.81979999999999997</v>
      </c>
      <c r="J39" s="44">
        <v>0.21045856185490899</v>
      </c>
      <c r="K39" s="25">
        <v>2.4420000000000002</v>
      </c>
      <c r="L39" s="47">
        <v>0.82479999999999998</v>
      </c>
      <c r="M39" s="44">
        <v>3.7363864140183702E-2</v>
      </c>
      <c r="N39" s="25">
        <v>2.4325000000000001</v>
      </c>
      <c r="O39" s="47">
        <v>0.82899999999999996</v>
      </c>
      <c r="P39" s="44">
        <v>0.255904874348165</v>
      </c>
      <c r="Q39" s="25">
        <v>2.4241999999999999</v>
      </c>
      <c r="R39" s="47">
        <v>0.83260000000000001</v>
      </c>
      <c r="S39" s="44">
        <v>0.29490927950947599</v>
      </c>
      <c r="T39" s="25"/>
      <c r="U39" s="47"/>
      <c r="V39" s="44"/>
      <c r="W39" s="25">
        <v>2.4098999999999999</v>
      </c>
      <c r="X39" s="47">
        <v>0.83899999999999997</v>
      </c>
      <c r="Y39" s="44">
        <v>5.7798946350695102E-2</v>
      </c>
      <c r="Z39" s="25">
        <v>2.5</v>
      </c>
      <c r="AA39" s="47">
        <v>0.8</v>
      </c>
      <c r="AB39" s="44">
        <v>4.4600000000000001E-2</v>
      </c>
    </row>
    <row r="40" spans="1:28" x14ac:dyDescent="0.25">
      <c r="A40" s="27">
        <v>0.76</v>
      </c>
      <c r="B40" s="25">
        <v>2.1014781</v>
      </c>
      <c r="C40" s="47">
        <v>0.99998730000000002</v>
      </c>
      <c r="D40" s="47">
        <v>0.2959</v>
      </c>
      <c r="E40" s="25">
        <v>2.3559000000000001</v>
      </c>
      <c r="F40" s="47">
        <v>0.86450000000000005</v>
      </c>
      <c r="G40" s="44">
        <v>0.29684568264555</v>
      </c>
      <c r="H40" s="25">
        <v>2.4540000000000002</v>
      </c>
      <c r="I40" s="47">
        <v>0.81979999999999997</v>
      </c>
      <c r="J40" s="44">
        <v>0.210272913599582</v>
      </c>
      <c r="K40" s="25">
        <v>2.4424999999999999</v>
      </c>
      <c r="L40" s="47">
        <v>0.82479999999999998</v>
      </c>
      <c r="M40" s="44">
        <v>3.7346016004889897E-2</v>
      </c>
      <c r="N40" s="25">
        <v>2.4331</v>
      </c>
      <c r="O40" s="47">
        <v>0.82899999999999996</v>
      </c>
      <c r="P40" s="44">
        <v>0.25560394963592897</v>
      </c>
      <c r="Q40" s="25">
        <v>2.4249000000000001</v>
      </c>
      <c r="R40" s="47">
        <v>0.8327</v>
      </c>
      <c r="S40" s="44">
        <v>0.29470976342699401</v>
      </c>
      <c r="T40" s="25"/>
      <c r="U40" s="47"/>
      <c r="V40" s="44"/>
      <c r="W40" s="25">
        <v>2.4106000000000001</v>
      </c>
      <c r="X40" s="47">
        <v>0.83909999999999996</v>
      </c>
      <c r="Y40" s="44">
        <v>5.7763432151183097E-2</v>
      </c>
      <c r="Z40" s="25">
        <v>2.5</v>
      </c>
      <c r="AA40" s="47">
        <v>0.8</v>
      </c>
      <c r="AB40" s="44">
        <v>4.48E-2</v>
      </c>
    </row>
    <row r="41" spans="1:28" x14ac:dyDescent="0.25">
      <c r="A41" s="27">
        <v>0.77</v>
      </c>
      <c r="B41" s="25">
        <v>2.1019956999999998</v>
      </c>
      <c r="C41" s="47">
        <v>0.99998589999999998</v>
      </c>
      <c r="D41" s="47">
        <v>0.29580000000000001</v>
      </c>
      <c r="E41" s="25">
        <v>2.3561000000000001</v>
      </c>
      <c r="F41" s="47">
        <v>0.86450000000000005</v>
      </c>
      <c r="G41" s="44">
        <v>0.296845829228436</v>
      </c>
      <c r="H41" s="25">
        <v>2.4540000000000002</v>
      </c>
      <c r="I41" s="47">
        <v>0.81979999999999997</v>
      </c>
      <c r="J41" s="44">
        <v>0.210126086316614</v>
      </c>
      <c r="K41" s="25">
        <v>2.4424999999999999</v>
      </c>
      <c r="L41" s="47">
        <v>0.82479999999999998</v>
      </c>
      <c r="M41" s="44">
        <v>3.7326534500448497E-2</v>
      </c>
      <c r="N41" s="25">
        <v>2.4331</v>
      </c>
      <c r="O41" s="47">
        <v>0.82899999999999996</v>
      </c>
      <c r="P41" s="44">
        <v>0.255422084902449</v>
      </c>
      <c r="Q41" s="25">
        <v>2.4249999999999998</v>
      </c>
      <c r="R41" s="47">
        <v>0.8327</v>
      </c>
      <c r="S41" s="44">
        <v>0.29450354561911901</v>
      </c>
      <c r="T41" s="25"/>
      <c r="U41" s="47"/>
      <c r="V41" s="44"/>
      <c r="W41" s="25">
        <v>2.4108000000000001</v>
      </c>
      <c r="X41" s="47">
        <v>0.83909999999999996</v>
      </c>
      <c r="Y41" s="44">
        <v>5.7732496020563302E-2</v>
      </c>
      <c r="Z41" s="25">
        <v>2.5</v>
      </c>
      <c r="AA41" s="47">
        <v>0.8</v>
      </c>
      <c r="AB41" s="44">
        <v>4.4900000000000002E-2</v>
      </c>
    </row>
    <row r="42" spans="1:28" x14ac:dyDescent="0.25">
      <c r="A42" s="27">
        <v>0.78</v>
      </c>
      <c r="B42" s="25">
        <v>2.1001865999999998</v>
      </c>
      <c r="C42" s="47">
        <v>0.99998379999999998</v>
      </c>
      <c r="D42" s="47">
        <v>0.29549999999999998</v>
      </c>
      <c r="E42" s="25">
        <v>2.3553999999999999</v>
      </c>
      <c r="F42" s="47">
        <v>0.86450000000000005</v>
      </c>
      <c r="G42" s="44">
        <v>0.29564550575135101</v>
      </c>
      <c r="H42" s="25">
        <v>2.4538000000000002</v>
      </c>
      <c r="I42" s="47">
        <v>0.81979999999999997</v>
      </c>
      <c r="J42" s="44">
        <v>0.209800096555597</v>
      </c>
      <c r="K42" s="25">
        <v>2.4422999999999999</v>
      </c>
      <c r="L42" s="47">
        <v>0.82479999999999998</v>
      </c>
      <c r="M42" s="44">
        <v>3.7277814437286699E-2</v>
      </c>
      <c r="N42" s="25">
        <v>2.4327999999999999</v>
      </c>
      <c r="O42" s="47">
        <v>0.82899999999999996</v>
      </c>
      <c r="P42" s="44">
        <v>0.25507665052810602</v>
      </c>
      <c r="Q42" s="25">
        <v>2.4245999999999999</v>
      </c>
      <c r="R42" s="47">
        <v>0.8327</v>
      </c>
      <c r="S42" s="44">
        <v>0.29399751642294503</v>
      </c>
      <c r="T42" s="25"/>
      <c r="U42" s="47"/>
      <c r="V42" s="44"/>
      <c r="W42" s="25">
        <v>2.4104000000000001</v>
      </c>
      <c r="X42" s="47">
        <v>0.83909999999999996</v>
      </c>
      <c r="Y42" s="44">
        <v>5.7661223946360703E-2</v>
      </c>
      <c r="Z42" s="25">
        <v>2.5</v>
      </c>
      <c r="AA42" s="47">
        <v>0.8</v>
      </c>
      <c r="AB42" s="44">
        <v>4.4600000000000001E-2</v>
      </c>
    </row>
    <row r="43" spans="1:28" ht="15.75" thickBot="1" x14ac:dyDescent="0.3">
      <c r="A43" s="27">
        <v>0.79</v>
      </c>
      <c r="B43" s="25">
        <v>2.1049039</v>
      </c>
      <c r="C43" s="47">
        <v>0.99998100000000001</v>
      </c>
      <c r="D43" s="47">
        <v>0.29530000000000001</v>
      </c>
      <c r="E43" s="25">
        <v>2.3571</v>
      </c>
      <c r="F43" s="47">
        <v>0.86460000000000004</v>
      </c>
      <c r="G43" s="44">
        <v>0.295802475219824</v>
      </c>
      <c r="H43" s="25">
        <v>2.4542999999999999</v>
      </c>
      <c r="I43" s="47">
        <v>0.81979999999999997</v>
      </c>
      <c r="J43" s="44">
        <v>0.20964388132786199</v>
      </c>
      <c r="K43" s="25">
        <v>2.4430000000000001</v>
      </c>
      <c r="L43" s="47">
        <v>0.82489999999999997</v>
      </c>
      <c r="M43" s="44">
        <v>3.7261559688474603E-2</v>
      </c>
      <c r="N43" s="25">
        <v>2.4336000000000002</v>
      </c>
      <c r="O43" s="47">
        <v>0.82909999999999995</v>
      </c>
      <c r="P43" s="44">
        <v>0.25483147967210301</v>
      </c>
      <c r="Q43" s="25">
        <v>2.4255</v>
      </c>
      <c r="R43" s="47">
        <v>0.8327</v>
      </c>
      <c r="S43" s="44">
        <v>0.293815099280263</v>
      </c>
      <c r="T43" s="25"/>
      <c r="U43" s="47"/>
      <c r="V43" s="44"/>
      <c r="W43" s="25">
        <v>2.4114</v>
      </c>
      <c r="X43" s="47">
        <v>0.83909999999999996</v>
      </c>
      <c r="Y43" s="44">
        <v>5.76294554569102E-2</v>
      </c>
      <c r="Z43" s="25">
        <v>2.5</v>
      </c>
      <c r="AA43" s="47">
        <v>0.8</v>
      </c>
      <c r="AB43" s="44">
        <v>4.48E-2</v>
      </c>
    </row>
    <row r="44" spans="1:28" ht="15.75" thickBot="1" x14ac:dyDescent="0.3">
      <c r="A44" s="33" t="s">
        <v>68</v>
      </c>
      <c r="B44" s="67">
        <f>AVERAGE(Table55[Q(H20)])</f>
        <v>2.0858491150000003</v>
      </c>
      <c r="C44" s="68">
        <f>AVERAGE(Table55[W(H20)])</f>
        <v>0.99999648500000016</v>
      </c>
      <c r="D44" s="69">
        <f>AVERAGE(Table55[A(H20)])</f>
        <v>0.29756750000000004</v>
      </c>
      <c r="E44" s="67">
        <f>AVERAGE(Table55[Qmix1])</f>
        <v>2.3502350000000005</v>
      </c>
      <c r="F44" s="68">
        <f>AVERAGE(Table55[Wmix1])</f>
        <v>0.86417750000000026</v>
      </c>
      <c r="G44" s="70">
        <f>AVERAGE(Table55[Amix1])</f>
        <v>0.29760478399592777</v>
      </c>
      <c r="H44" s="67">
        <f>AVERAGE(Table55[Qmix2])</f>
        <v>2.4521525</v>
      </c>
      <c r="I44" s="68">
        <f>AVERAGE(Table55[Wmix2])</f>
        <v>0.81966000000000017</v>
      </c>
      <c r="J44" s="70">
        <f>AVERAGE(Table55[Amix2])</f>
        <v>0.21163657930319699</v>
      </c>
      <c r="K44" s="67">
        <f>AVERAGE(Table55[Qmix3])</f>
        <v>2.4402124999999999</v>
      </c>
      <c r="L44" s="68">
        <f>AVERAGE(Table55[Wmix3])</f>
        <v>0.82468499999999989</v>
      </c>
      <c r="M44" s="70">
        <f>AVERAGE(Table55[Amix3])</f>
        <v>3.7512905934435063E-2</v>
      </c>
      <c r="N44" s="67">
        <f>AVERAGE(Table55[Qmix4])</f>
        <v>2.4304349999999997</v>
      </c>
      <c r="O44" s="68">
        <f>AVERAGE(Table55[Wmix4])</f>
        <v>0.82882999999999996</v>
      </c>
      <c r="P44" s="70">
        <f>AVERAGE(Table55[Amix4])</f>
        <v>0.25726316552119255</v>
      </c>
      <c r="Q44" s="67">
        <f>AVERAGE(Table55[Qmix5])</f>
        <v>2.4219199999999996</v>
      </c>
      <c r="R44" s="68">
        <f>AVERAGE(Table55[Wmix5])</f>
        <v>0.83247249999999995</v>
      </c>
      <c r="S44" s="70">
        <f>AVERAGE(Table55[Amix5])</f>
        <v>0.29638809999324156</v>
      </c>
      <c r="T44" s="67" t="e">
        <f>AVERAGE(Table55[Qmix6])</f>
        <v>#DIV/0!</v>
      </c>
      <c r="U44" s="68" t="e">
        <f>AVERAGE(Table55[Wmix6])</f>
        <v>#DIV/0!</v>
      </c>
      <c r="V44" s="84" t="e">
        <f>AVERAGE(Table55[Amix6])</f>
        <v>#DIV/0!</v>
      </c>
      <c r="W44" s="67">
        <f>AVERAGE(Table55[Qmix7])</f>
        <v>2.4071399999999992</v>
      </c>
      <c r="X44" s="68">
        <f>AVERAGE(Table55[Wmix7])</f>
        <v>0.83885249999999978</v>
      </c>
      <c r="Y44" s="70">
        <f>AVERAGE(Table55[Amix7])</f>
        <v>5.8009148475751081E-2</v>
      </c>
      <c r="Z44" s="67">
        <f>AVERAGE(Table55[Q(Dark)])</f>
        <v>2.5</v>
      </c>
      <c r="AA44" s="68">
        <f>AVERAGE(Table55[W(Dark)])</f>
        <v>0.80000000000000038</v>
      </c>
      <c r="AB44" s="70">
        <f>AVERAGE(Table55[A(Dark)])</f>
        <v>4.4464999999999984E-2</v>
      </c>
    </row>
    <row r="45" spans="1:28" x14ac:dyDescent="0.25">
      <c r="A45" s="37" t="s">
        <v>69</v>
      </c>
      <c r="B45" s="71"/>
      <c r="C45" s="72"/>
      <c r="D45" s="73"/>
      <c r="E45" s="71"/>
      <c r="F45" s="72"/>
      <c r="G45" s="73">
        <f>G44/D44</f>
        <v>1.0001252959275717</v>
      </c>
      <c r="H45" s="71"/>
      <c r="I45" s="72"/>
      <c r="J45" s="73">
        <f>J44/D44</f>
        <v>0.71122209012475135</v>
      </c>
      <c r="K45" s="71"/>
      <c r="L45" s="72"/>
      <c r="M45" s="73">
        <f>M44/D44</f>
        <v>0.12606519843207023</v>
      </c>
      <c r="N45" s="71"/>
      <c r="O45" s="72"/>
      <c r="P45" s="73">
        <f>P44/D44</f>
        <v>0.8645539769000059</v>
      </c>
      <c r="Q45" s="71"/>
      <c r="R45" s="72"/>
      <c r="S45" s="73">
        <f>S44/D44</f>
        <v>0.99603652950420163</v>
      </c>
      <c r="T45" s="71"/>
      <c r="U45" s="72"/>
      <c r="V45" s="73" t="e">
        <f>V44/D44</f>
        <v>#DIV/0!</v>
      </c>
      <c r="W45" s="71"/>
      <c r="X45" s="72"/>
      <c r="Y45" s="73">
        <f>Y44/D44</f>
        <v>0.19494450326648935</v>
      </c>
      <c r="Z45" s="71"/>
      <c r="AA45" s="72"/>
      <c r="AB45" s="73">
        <f>AB44/D44</f>
        <v>0.14942828097826535</v>
      </c>
    </row>
    <row r="46" spans="1:28" ht="15.75" thickBot="1" x14ac:dyDescent="0.3">
      <c r="A46" s="38" t="s">
        <v>70</v>
      </c>
      <c r="B46" s="74"/>
      <c r="C46" s="75"/>
      <c r="D46" s="76">
        <v>0</v>
      </c>
      <c r="E46" s="74"/>
      <c r="F46" s="75"/>
      <c r="G46" s="76">
        <f>(G44-D44)/D44</f>
        <v>1.2529592757182232E-4</v>
      </c>
      <c r="H46" s="74"/>
      <c r="I46" s="75"/>
      <c r="J46" s="76">
        <f>(J44-D44)/D44</f>
        <v>-0.2887779098752486</v>
      </c>
      <c r="K46" s="74"/>
      <c r="L46" s="75"/>
      <c r="M46" s="76">
        <f>(M44-D44)/D44</f>
        <v>-0.8739348015679298</v>
      </c>
      <c r="N46" s="74"/>
      <c r="O46" s="75"/>
      <c r="P46" s="76">
        <f>(P44-D44)/D44</f>
        <v>-0.13544602309999407</v>
      </c>
      <c r="Q46" s="74"/>
      <c r="R46" s="75"/>
      <c r="S46" s="76">
        <f>(S44-D44)/D44</f>
        <v>-3.9634704957983635E-3</v>
      </c>
      <c r="T46" s="74"/>
      <c r="U46" s="75"/>
      <c r="V46" s="76" t="e">
        <f>(V44-D44)/D44</f>
        <v>#DIV/0!</v>
      </c>
      <c r="W46" s="74"/>
      <c r="X46" s="75"/>
      <c r="Y46" s="76">
        <f>(Y44-D44)/D44</f>
        <v>-0.80505549673351062</v>
      </c>
      <c r="Z46" s="74"/>
      <c r="AA46" s="75"/>
      <c r="AB46" s="76">
        <f>(AB44-D44)/D44</f>
        <v>-0.85057171902173467</v>
      </c>
    </row>
    <row r="47" spans="1:28" ht="15.75" thickBot="1" x14ac:dyDescent="0.3">
      <c r="A47" s="66" t="s">
        <v>71</v>
      </c>
      <c r="B47" s="85"/>
      <c r="C47" s="86"/>
      <c r="D47" s="87">
        <f>D44*PI()</f>
        <v>0.93483587194708084</v>
      </c>
      <c r="E47" s="85"/>
      <c r="F47" s="86"/>
      <c r="G47" s="87">
        <f>G44*PI()</f>
        <v>0.93495300307478391</v>
      </c>
      <c r="H47" s="85"/>
      <c r="I47" s="86"/>
      <c r="J47" s="87">
        <f>J44*PI()</f>
        <v>0.66487592276979735</v>
      </c>
      <c r="K47" s="85"/>
      <c r="L47" s="86"/>
      <c r="M47" s="87">
        <f>M44*PI()</f>
        <v>0.11785026969842614</v>
      </c>
      <c r="N47" s="85"/>
      <c r="O47" s="86"/>
      <c r="P47" s="87">
        <f>P44*PI()</f>
        <v>0.80821607084063352</v>
      </c>
      <c r="Q47" s="85"/>
      <c r="R47" s="86"/>
      <c r="S47" s="87">
        <f>S44*PI()</f>
        <v>0.93113067755020473</v>
      </c>
      <c r="T47" s="85"/>
      <c r="U47" s="86"/>
      <c r="V47" s="87"/>
      <c r="W47" s="85"/>
      <c r="X47" s="86"/>
      <c r="Y47" s="87">
        <f>Y44*PI()</f>
        <v>0.18224111469241913</v>
      </c>
      <c r="Z47" s="85"/>
      <c r="AA47" s="86"/>
      <c r="AB47" s="87">
        <f>AB44*PI()</f>
        <v>0.13969091734187011</v>
      </c>
    </row>
    <row r="51" spans="1:5" x14ac:dyDescent="0.25">
      <c r="A51" t="s">
        <v>133</v>
      </c>
      <c r="B51" t="s">
        <v>134</v>
      </c>
      <c r="C51" t="s">
        <v>135</v>
      </c>
      <c r="D51" t="s">
        <v>1</v>
      </c>
      <c r="E51" t="s">
        <v>13</v>
      </c>
    </row>
    <row r="52" spans="1:5" x14ac:dyDescent="0.25">
      <c r="A52" t="s">
        <v>8</v>
      </c>
      <c r="B52" t="s">
        <v>136</v>
      </c>
      <c r="C52" s="93">
        <v>0.12917955397549613</v>
      </c>
      <c r="D52" s="93">
        <v>0.18274229752495255</v>
      </c>
      <c r="E52" s="93">
        <v>4.3130683245838873E-2</v>
      </c>
    </row>
    <row r="53" spans="1:5" x14ac:dyDescent="0.25">
      <c r="A53" t="s">
        <v>4</v>
      </c>
      <c r="B53" t="s">
        <v>137</v>
      </c>
      <c r="C53" s="93">
        <v>8.7949214728447273E-2</v>
      </c>
      <c r="D53" s="93">
        <v>0.11799535588543016</v>
      </c>
      <c r="E53" s="93">
        <v>2.9899757241035482E-2</v>
      </c>
    </row>
    <row r="54" spans="1:5" x14ac:dyDescent="0.25">
      <c r="A54" t="s">
        <v>138</v>
      </c>
      <c r="B54" t="s">
        <v>139</v>
      </c>
      <c r="C54" s="93">
        <v>0.33629229828395918</v>
      </c>
      <c r="D54" s="93">
        <v>0.43116309533182073</v>
      </c>
      <c r="E54" s="93">
        <v>0.10375789490426195</v>
      </c>
    </row>
    <row r="55" spans="1:5" x14ac:dyDescent="0.25">
      <c r="A55" t="s">
        <v>5</v>
      </c>
      <c r="B55" t="s">
        <v>140</v>
      </c>
      <c r="C55" s="93">
        <v>0.64792969224454311</v>
      </c>
      <c r="D55" s="93">
        <v>0.80994151521754665</v>
      </c>
      <c r="E55" s="93">
        <v>0.14990354020073143</v>
      </c>
    </row>
    <row r="56" spans="1:5" x14ac:dyDescent="0.25">
      <c r="A56" t="s">
        <v>141</v>
      </c>
      <c r="B56" t="s">
        <v>142</v>
      </c>
      <c r="C56" s="93">
        <v>0.14663441462415103</v>
      </c>
      <c r="D56" s="93">
        <v>0.16629554909641181</v>
      </c>
      <c r="E56" s="93">
        <v>4.76560939970559E-2</v>
      </c>
    </row>
    <row r="57" spans="1:5" x14ac:dyDescent="0.25">
      <c r="A57" t="s">
        <v>143</v>
      </c>
      <c r="B57" t="s">
        <v>144</v>
      </c>
      <c r="C57" s="93">
        <v>0.87588018029822468</v>
      </c>
      <c r="D57" s="93">
        <v>0.95050502021450078</v>
      </c>
      <c r="E57" s="93">
        <v>0.42689204008499204</v>
      </c>
    </row>
    <row r="58" spans="1:5" x14ac:dyDescent="0.25">
      <c r="A58" t="s">
        <v>132</v>
      </c>
      <c r="B58" t="s">
        <v>145</v>
      </c>
      <c r="C58" s="93">
        <v>0.76794690143714961</v>
      </c>
      <c r="D58" s="93">
        <v>0.85709173503696112</v>
      </c>
      <c r="E58" s="93">
        <v>0.17637898992770787</v>
      </c>
    </row>
    <row r="59" spans="1:5" x14ac:dyDescent="0.25">
      <c r="A59" t="s">
        <v>6</v>
      </c>
      <c r="B59" t="s">
        <v>146</v>
      </c>
      <c r="C59" s="93">
        <v>0.83963451768324748</v>
      </c>
      <c r="D59" s="93">
        <v>0.93358145533027259</v>
      </c>
      <c r="E59" s="93">
        <v>0.18513346704354999</v>
      </c>
    </row>
    <row r="60" spans="1:5" x14ac:dyDescent="0.25">
      <c r="A60" t="s">
        <v>3</v>
      </c>
      <c r="B60" t="s">
        <v>147</v>
      </c>
      <c r="C60" s="93">
        <v>0.17116957059188936</v>
      </c>
      <c r="D60" s="93">
        <v>0.18274229752495255</v>
      </c>
      <c r="E60" s="93">
        <v>4.3130683245838873E-2</v>
      </c>
    </row>
    <row r="61" spans="1:5" x14ac:dyDescent="0.25">
      <c r="A61" t="s">
        <v>148</v>
      </c>
      <c r="B61" t="s">
        <v>149</v>
      </c>
      <c r="C61" s="93">
        <v>0.16308843855673741</v>
      </c>
      <c r="D61" s="93">
        <v>0.17064759174687355</v>
      </c>
      <c r="E61" s="93">
        <v>4.7826253454641941E-2</v>
      </c>
    </row>
  </sheetData>
  <mergeCells count="17">
    <mergeCell ref="N2:P2"/>
    <mergeCell ref="A1:D1"/>
    <mergeCell ref="A2:D2"/>
    <mergeCell ref="E2:G2"/>
    <mergeCell ref="H2:J2"/>
    <mergeCell ref="K2:M2"/>
    <mergeCell ref="E1:G1"/>
    <mergeCell ref="H1:J1"/>
    <mergeCell ref="K1:M1"/>
    <mergeCell ref="N1:P1"/>
    <mergeCell ref="Z2:AB2"/>
    <mergeCell ref="T1:V1"/>
    <mergeCell ref="Q1:S1"/>
    <mergeCell ref="W1:Y1"/>
    <mergeCell ref="Q2:S2"/>
    <mergeCell ref="T2:V2"/>
    <mergeCell ref="W2:Y2"/>
  </mergeCells>
  <hyperlinks>
    <hyperlink ref="A1:D1" r:id="rId1" display="Link to ImageSpec spreadsheet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zoomScale="90" zoomScaleNormal="90" workbookViewId="0">
      <selection activeCell="G3" sqref="G3"/>
    </sheetView>
  </sheetViews>
  <sheetFormatPr defaultRowHeight="15" x14ac:dyDescent="0.25"/>
  <cols>
    <col min="1" max="1" width="28.28515625" bestFit="1" customWidth="1"/>
    <col min="2" max="2" width="26.28515625" bestFit="1" customWidth="1"/>
    <col min="3" max="3" width="30" bestFit="1" customWidth="1"/>
    <col min="4" max="4" width="19" bestFit="1" customWidth="1"/>
    <col min="5" max="5" width="16.140625" bestFit="1" customWidth="1"/>
    <col min="6" max="6" width="31.5703125" bestFit="1" customWidth="1"/>
    <col min="7" max="7" width="14" bestFit="1" customWidth="1"/>
    <col min="8" max="8" width="21.85546875" bestFit="1" customWidth="1"/>
    <col min="9" max="9" width="22.140625" customWidth="1"/>
    <col min="10" max="10" width="18.42578125" customWidth="1"/>
  </cols>
  <sheetData>
    <row r="3" spans="1:6" s="90" customFormat="1" x14ac:dyDescent="0.25">
      <c r="A3" s="92" t="s">
        <v>151</v>
      </c>
    </row>
    <row r="4" spans="1:6" x14ac:dyDescent="0.25">
      <c r="A4" t="s">
        <v>133</v>
      </c>
      <c r="B4" t="s">
        <v>152</v>
      </c>
      <c r="C4" t="s">
        <v>153</v>
      </c>
      <c r="D4" t="s">
        <v>150</v>
      </c>
      <c r="E4" t="s">
        <v>154</v>
      </c>
      <c r="F4" t="s">
        <v>134</v>
      </c>
    </row>
    <row r="5" spans="1:6" x14ac:dyDescent="0.25">
      <c r="A5" t="s">
        <v>6</v>
      </c>
      <c r="B5" s="93">
        <v>52.917499999999997</v>
      </c>
      <c r="C5" s="93">
        <v>59.811</v>
      </c>
      <c r="D5" s="93">
        <f>Table109[[#This Row],[(B1) MaskAvg (Dark Stuff)]]-Table109[[#This Row],[(B2) RevMaskAvg (Light Stuff)]]</f>
        <v>-6.8935000000000031</v>
      </c>
      <c r="E5" s="89">
        <f>Table109[[#This Row],[Difference]]/Table109[[#This Row],[(B2) RevMaskAvg (Light Stuff)]]</f>
        <v>-0.11525471903161631</v>
      </c>
      <c r="F5" t="s">
        <v>146</v>
      </c>
    </row>
    <row r="6" spans="1:6" x14ac:dyDescent="0.25">
      <c r="A6" t="s">
        <v>8</v>
      </c>
      <c r="B6" s="93">
        <v>31.0395</v>
      </c>
      <c r="C6" s="93">
        <v>43.879199999999997</v>
      </c>
      <c r="D6" s="93">
        <f>Table109[[#This Row],[(B1) MaskAvg (Dark Stuff)]]-Table109[[#This Row],[(B2) RevMaskAvg (Light Stuff)]]</f>
        <v>-12.839699999999997</v>
      </c>
      <c r="E6" s="89">
        <f>Table109[[#This Row],[Difference]]/Table109[[#This Row],[(B2) RevMaskAvg (Light Stuff)]]</f>
        <v>-0.29261472406060268</v>
      </c>
      <c r="F6" t="s">
        <v>136</v>
      </c>
    </row>
    <row r="7" spans="1:6" x14ac:dyDescent="0.25">
      <c r="A7" s="91" t="s">
        <v>138</v>
      </c>
      <c r="B7" s="93">
        <v>76.271000000000001</v>
      </c>
      <c r="C7" s="93">
        <v>98.512600000000006</v>
      </c>
      <c r="D7" s="93">
        <f>Table109[[#This Row],[(B1) MaskAvg (Dark Stuff)]]-Table109[[#This Row],[(B2) RevMaskAvg (Light Stuff)]]</f>
        <v>-22.241600000000005</v>
      </c>
      <c r="E7" s="89">
        <f>Table109[[#This Row],[Difference]]/Table109[[#This Row],[(B2) RevMaskAvg (Light Stuff)]]</f>
        <v>-0.22577416492915631</v>
      </c>
      <c r="F7" t="s">
        <v>139</v>
      </c>
    </row>
    <row r="8" spans="1:6" x14ac:dyDescent="0.25">
      <c r="A8" t="s">
        <v>132</v>
      </c>
      <c r="B8" s="93">
        <v>106.45820000000001</v>
      </c>
      <c r="C8" s="93">
        <v>118.9483</v>
      </c>
      <c r="D8" s="93">
        <f>Table109[[#This Row],[(B1) MaskAvg (Dark Stuff)]]-Table109[[#This Row],[(B2) RevMaskAvg (Light Stuff)]]</f>
        <v>-12.490099999999998</v>
      </c>
      <c r="E8" s="89">
        <f>Table109[[#This Row],[Difference]]/Table109[[#This Row],[(B2) RevMaskAvg (Light Stuff)]]</f>
        <v>-0.10500444310679512</v>
      </c>
      <c r="F8" t="s">
        <v>145</v>
      </c>
    </row>
    <row r="9" spans="1:6" x14ac:dyDescent="0.25">
      <c r="A9" t="s">
        <v>143</v>
      </c>
      <c r="B9" s="93">
        <v>100.9748</v>
      </c>
      <c r="C9" s="93">
        <v>109.297</v>
      </c>
      <c r="D9" s="93">
        <f>Table109[[#This Row],[(B1) MaskAvg (Dark Stuff)]]-Table109[[#This Row],[(B2) RevMaskAvg (Light Stuff)]]</f>
        <v>-8.3221999999999952</v>
      </c>
      <c r="E9" s="89">
        <f>Table109[[#This Row],[Difference]]/Table109[[#This Row],[(B2) RevMaskAvg (Light Stuff)]]</f>
        <v>-7.6142986541259089E-2</v>
      </c>
      <c r="F9" t="s">
        <v>144</v>
      </c>
    </row>
    <row r="10" spans="1:6" x14ac:dyDescent="0.25">
      <c r="A10" t="s">
        <v>148</v>
      </c>
      <c r="B10" s="93">
        <v>62.826099999999997</v>
      </c>
      <c r="C10" s="93">
        <v>66.0518</v>
      </c>
      <c r="D10" s="93">
        <f>Table109[[#This Row],[(B1) MaskAvg (Dark Stuff)]]-Table109[[#This Row],[(B2) RevMaskAvg (Light Stuff)]]</f>
        <v>-3.2257000000000033</v>
      </c>
      <c r="E10" s="89">
        <f>Table109[[#This Row],[Difference]]/Table109[[#This Row],[(B2) RevMaskAvg (Light Stuff)]]</f>
        <v>-4.8835913631422659E-2</v>
      </c>
      <c r="F10" t="s">
        <v>149</v>
      </c>
    </row>
    <row r="11" spans="1:6" x14ac:dyDescent="0.25">
      <c r="A11" t="s">
        <v>141</v>
      </c>
      <c r="B11" s="93">
        <v>60.337000000000003</v>
      </c>
      <c r="C11" s="93">
        <v>68.173900000000003</v>
      </c>
      <c r="D11" s="93">
        <f>Table109[[#This Row],[(B1) MaskAvg (Dark Stuff)]]-Table109[[#This Row],[(B2) RevMaskAvg (Light Stuff)]]</f>
        <v>-7.8369</v>
      </c>
      <c r="E11" s="89">
        <f>Table109[[#This Row],[Difference]]/Table109[[#This Row],[(B2) RevMaskAvg (Light Stuff)]]</f>
        <v>-0.11495455005507972</v>
      </c>
      <c r="F11" t="s">
        <v>142</v>
      </c>
    </row>
    <row r="12" spans="1:6" x14ac:dyDescent="0.25">
      <c r="A12" t="s">
        <v>3</v>
      </c>
      <c r="B12" s="93">
        <v>52.994</v>
      </c>
      <c r="C12" s="93">
        <v>56.791400000000003</v>
      </c>
      <c r="D12" s="93">
        <f>Table109[[#This Row],[(B1) MaskAvg (Dark Stuff)]]-Table109[[#This Row],[(B2) RevMaskAvg (Light Stuff)]]</f>
        <v>-3.7974000000000032</v>
      </c>
      <c r="E12" s="89">
        <f>Table109[[#This Row],[Difference]]/Table109[[#This Row],[(B2) RevMaskAvg (Light Stuff)]]</f>
        <v>-6.6865757843617216E-2</v>
      </c>
      <c r="F12" t="s">
        <v>147</v>
      </c>
    </row>
    <row r="13" spans="1:6" x14ac:dyDescent="0.25">
      <c r="A13" t="s">
        <v>4</v>
      </c>
      <c r="B13" s="93">
        <v>90.683700000000002</v>
      </c>
      <c r="C13" s="93">
        <v>120.97239999999999</v>
      </c>
      <c r="D13" s="93">
        <f>Table109[[#This Row],[(B1) MaskAvg (Dark Stuff)]]-Table109[[#This Row],[(B2) RevMaskAvg (Light Stuff)]]</f>
        <v>-30.288699999999992</v>
      </c>
      <c r="E13" s="89">
        <f>Table109[[#This Row],[Difference]]/Table109[[#This Row],[(B2) RevMaskAvg (Light Stuff)]]</f>
        <v>-0.25037694548508582</v>
      </c>
      <c r="F13" t="s">
        <v>137</v>
      </c>
    </row>
    <row r="14" spans="1:6" x14ac:dyDescent="0.25">
      <c r="A14" t="s">
        <v>5</v>
      </c>
      <c r="B14" s="93">
        <v>94.798000000000002</v>
      </c>
      <c r="C14" s="93">
        <v>118.6431</v>
      </c>
      <c r="D14" s="93">
        <f>Table109[[#This Row],[(B1) MaskAvg (Dark Stuff)]]-Table109[[#This Row],[(B2) RevMaskAvg (Light Stuff)]]</f>
        <v>-23.845100000000002</v>
      </c>
      <c r="E14" s="89">
        <f>Table109[[#This Row],[Difference]]/Table109[[#This Row],[(B2) RevMaskAvg (Light Stuff)]]</f>
        <v>-0.20098176800842191</v>
      </c>
      <c r="F14" t="s">
        <v>140</v>
      </c>
    </row>
    <row r="16" spans="1:6" s="90" customFormat="1" x14ac:dyDescent="0.25">
      <c r="A16" s="90" t="s">
        <v>155</v>
      </c>
    </row>
    <row r="17" spans="1:8" ht="15.75" thickBot="1" x14ac:dyDescent="0.3">
      <c r="A17" t="s">
        <v>133</v>
      </c>
      <c r="B17" t="s">
        <v>156</v>
      </c>
      <c r="C17" t="s">
        <v>157</v>
      </c>
      <c r="D17" t="s">
        <v>158</v>
      </c>
      <c r="E17" t="s">
        <v>159</v>
      </c>
      <c r="F17" t="s">
        <v>160</v>
      </c>
      <c r="G17" s="118" t="s">
        <v>154</v>
      </c>
      <c r="H17" s="118" t="s">
        <v>161</v>
      </c>
    </row>
    <row r="18" spans="1:8" x14ac:dyDescent="0.25">
      <c r="A18" t="s">
        <v>132</v>
      </c>
      <c r="B18">
        <v>21.1</v>
      </c>
      <c r="C18">
        <v>216.9</v>
      </c>
      <c r="D18">
        <v>0.62</v>
      </c>
      <c r="E18" s="98">
        <f t="shared" ref="E18:E27" si="0">D18/PI()</f>
        <v>0.19735212943395022</v>
      </c>
      <c r="F18" t="s">
        <v>162</v>
      </c>
      <c r="G18">
        <v>-0.29261472406060268</v>
      </c>
      <c r="H18" t="s">
        <v>147</v>
      </c>
    </row>
    <row r="19" spans="1:8" x14ac:dyDescent="0.25">
      <c r="A19" t="s">
        <v>3</v>
      </c>
      <c r="B19">
        <v>1.4</v>
      </c>
      <c r="C19">
        <v>169.5</v>
      </c>
      <c r="D19">
        <v>0.62</v>
      </c>
      <c r="E19" s="98">
        <f t="shared" si="0"/>
        <v>0.19735212943395022</v>
      </c>
      <c r="F19" t="s">
        <v>162</v>
      </c>
      <c r="G19">
        <v>-0.25037694548508582</v>
      </c>
      <c r="H19" t="s">
        <v>149</v>
      </c>
    </row>
    <row r="20" spans="1:8" x14ac:dyDescent="0.25">
      <c r="A20" t="s">
        <v>4</v>
      </c>
      <c r="B20">
        <v>-25.6</v>
      </c>
      <c r="C20">
        <v>183.7</v>
      </c>
      <c r="D20">
        <v>0.62</v>
      </c>
      <c r="E20" s="98">
        <f t="shared" si="0"/>
        <v>0.19735212943395022</v>
      </c>
      <c r="F20" t="s">
        <v>162</v>
      </c>
      <c r="G20">
        <v>-0.22577416492915631</v>
      </c>
      <c r="H20" t="s">
        <v>163</v>
      </c>
    </row>
    <row r="21" spans="1:8" x14ac:dyDescent="0.25">
      <c r="A21" t="s">
        <v>5</v>
      </c>
      <c r="B21">
        <v>2.6</v>
      </c>
      <c r="C21">
        <v>181.9</v>
      </c>
      <c r="D21">
        <v>0.62</v>
      </c>
      <c r="E21" s="98">
        <f t="shared" si="0"/>
        <v>0.19735212943395022</v>
      </c>
      <c r="F21" t="s">
        <v>162</v>
      </c>
      <c r="G21">
        <v>-0.20098176800842191</v>
      </c>
      <c r="H21" t="s">
        <v>164</v>
      </c>
    </row>
    <row r="22" spans="1:8" x14ac:dyDescent="0.25">
      <c r="A22" t="s">
        <v>6</v>
      </c>
      <c r="B22">
        <v>3.1</v>
      </c>
      <c r="C22">
        <v>239.7</v>
      </c>
      <c r="D22">
        <v>0.44</v>
      </c>
      <c r="E22" s="98">
        <f t="shared" si="0"/>
        <v>0.14005634992086791</v>
      </c>
      <c r="F22" t="s">
        <v>165</v>
      </c>
      <c r="G22" s="119">
        <v>-0.11495455005507972</v>
      </c>
      <c r="H22" t="s">
        <v>166</v>
      </c>
    </row>
    <row r="23" spans="1:8" x14ac:dyDescent="0.25">
      <c r="A23" t="s">
        <v>8</v>
      </c>
      <c r="B23">
        <v>0.8</v>
      </c>
      <c r="C23">
        <v>164.4</v>
      </c>
      <c r="D23">
        <v>0.62</v>
      </c>
      <c r="E23" s="98">
        <f t="shared" si="0"/>
        <v>0.19735212943395022</v>
      </c>
      <c r="F23" t="s">
        <v>162</v>
      </c>
      <c r="G23">
        <v>-7.6142986541259089E-2</v>
      </c>
      <c r="H23" t="s">
        <v>167</v>
      </c>
    </row>
    <row r="24" spans="1:8" x14ac:dyDescent="0.25">
      <c r="A24" t="s">
        <v>148</v>
      </c>
      <c r="B24">
        <v>-52.3</v>
      </c>
      <c r="C24">
        <v>213.4</v>
      </c>
      <c r="D24">
        <v>0.62</v>
      </c>
      <c r="E24" s="98">
        <f t="shared" si="0"/>
        <v>0.19735212943395022</v>
      </c>
      <c r="F24" t="s">
        <v>162</v>
      </c>
      <c r="G24">
        <v>-0.10500444310679512</v>
      </c>
      <c r="H24" t="s">
        <v>168</v>
      </c>
    </row>
    <row r="25" spans="1:8" x14ac:dyDescent="0.25">
      <c r="A25" t="s">
        <v>169</v>
      </c>
      <c r="B25">
        <v>-48.5</v>
      </c>
      <c r="C25">
        <v>90.7</v>
      </c>
      <c r="D25">
        <v>0.62</v>
      </c>
      <c r="E25" s="98">
        <f t="shared" si="0"/>
        <v>0.19735212943395022</v>
      </c>
      <c r="F25" t="s">
        <v>162</v>
      </c>
      <c r="G25">
        <v>-0.11525471903161631</v>
      </c>
      <c r="H25" t="s">
        <v>170</v>
      </c>
    </row>
    <row r="26" spans="1:8" x14ac:dyDescent="0.25">
      <c r="A26" t="s">
        <v>138</v>
      </c>
      <c r="B26">
        <v>-16.7</v>
      </c>
      <c r="C26">
        <v>334.5</v>
      </c>
      <c r="D26">
        <v>0.44</v>
      </c>
      <c r="E26" s="98">
        <f t="shared" si="0"/>
        <v>0.14005634992086791</v>
      </c>
      <c r="F26" t="s">
        <v>165</v>
      </c>
      <c r="G26">
        <v>-6.6865757843617216E-2</v>
      </c>
      <c r="H26" t="s">
        <v>171</v>
      </c>
    </row>
    <row r="27" spans="1:8" x14ac:dyDescent="0.25">
      <c r="A27" t="s">
        <v>143</v>
      </c>
      <c r="B27">
        <v>33.6</v>
      </c>
      <c r="C27">
        <v>146.6</v>
      </c>
      <c r="D27">
        <v>0.62</v>
      </c>
      <c r="E27" s="98">
        <f t="shared" si="0"/>
        <v>0.19735212943395022</v>
      </c>
      <c r="F27" t="s">
        <v>162</v>
      </c>
      <c r="G27">
        <v>-4.8835913631422659E-2</v>
      </c>
      <c r="H27" t="s">
        <v>171</v>
      </c>
    </row>
  </sheetData>
  <hyperlinks>
    <hyperlink ref="A3" r:id="rId1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90" zoomScaleNormal="90" workbookViewId="0">
      <selection activeCell="C9" sqref="C9"/>
    </sheetView>
  </sheetViews>
  <sheetFormatPr defaultRowHeight="15" x14ac:dyDescent="0.25"/>
  <cols>
    <col min="1" max="1" width="28.28515625" bestFit="1" customWidth="1"/>
    <col min="2" max="2" width="24.28515625" customWidth="1"/>
    <col min="3" max="3" width="18.85546875" bestFit="1" customWidth="1"/>
    <col min="4" max="4" width="11" bestFit="1" customWidth="1"/>
    <col min="5" max="5" width="11.140625" bestFit="1" customWidth="1"/>
    <col min="6" max="6" width="23.7109375" customWidth="1"/>
    <col min="7" max="7" width="30.85546875" customWidth="1"/>
    <col min="8" max="8" width="22.5703125" customWidth="1"/>
    <col min="9" max="9" width="24.140625" customWidth="1"/>
    <col min="10" max="10" width="22.5703125" customWidth="1"/>
    <col min="11" max="11" width="17.140625" customWidth="1"/>
  </cols>
  <sheetData>
    <row r="1" spans="1:11" x14ac:dyDescent="0.25">
      <c r="A1" s="163" t="s">
        <v>186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1" ht="45.75" thickBot="1" x14ac:dyDescent="0.3">
      <c r="A2" s="118" t="s">
        <v>133</v>
      </c>
      <c r="B2" s="121" t="s">
        <v>172</v>
      </c>
      <c r="C2" s="118" t="s">
        <v>161</v>
      </c>
      <c r="D2" s="118" t="s">
        <v>173</v>
      </c>
      <c r="E2" s="118" t="s">
        <v>174</v>
      </c>
      <c r="F2" s="118" t="s">
        <v>175</v>
      </c>
      <c r="G2" s="118" t="s">
        <v>176</v>
      </c>
      <c r="H2" s="118" t="s">
        <v>177</v>
      </c>
      <c r="I2" s="118" t="s">
        <v>178</v>
      </c>
      <c r="J2" s="118" t="s">
        <v>179</v>
      </c>
    </row>
    <row r="3" spans="1:11" x14ac:dyDescent="0.25">
      <c r="A3" t="s">
        <v>132</v>
      </c>
      <c r="B3" t="s">
        <v>162</v>
      </c>
      <c r="C3" t="s">
        <v>147</v>
      </c>
      <c r="D3">
        <v>1427000000000</v>
      </c>
      <c r="E3" s="120">
        <v>8100000000</v>
      </c>
      <c r="F3" s="120">
        <f>Table1113[[#This Row],[Ejecta Mass]]*0.04</f>
        <v>57080000000</v>
      </c>
      <c r="G3" s="120">
        <f>Table1113[[#This Row],[Ejecta Mass]]*0.0016</f>
        <v>2283200000</v>
      </c>
      <c r="H3" s="122">
        <f>Table1113[[#This Row],[Ejecta Dust Mass (Ejecta Mass * Ejecta dust concentration)]]-Table1113[[#This Row],[Background Dust Contribution (Ejecta Mass * Background Dust Concentration)]]</f>
        <v>54796800000</v>
      </c>
      <c r="I3" s="122">
        <f>Table1113[[#This Row],[Externally-Contributed Dust (Ejecta Dust - Background Dust)]]-Table1113[[#This Row],[Impactor Mass]]</f>
        <v>46696800000</v>
      </c>
      <c r="J3" s="123">
        <f>Table1113[[#This Row],[Externally-Contributed Dust (Ejecta Dust - Background Dust)]]/Table1113[[#This Row],[Impactor Mass]]</f>
        <v>6.765037037037037</v>
      </c>
    </row>
    <row r="4" spans="1:11" x14ac:dyDescent="0.25">
      <c r="A4" t="s">
        <v>148</v>
      </c>
      <c r="B4" t="s">
        <v>162</v>
      </c>
      <c r="C4" t="s">
        <v>168</v>
      </c>
      <c r="D4">
        <v>3494000000000</v>
      </c>
      <c r="E4" s="120">
        <v>3142183273.0086679</v>
      </c>
      <c r="F4" s="120">
        <f>Table1113[[#This Row],[Ejecta Mass]]*0.009</f>
        <v>31445999999.999996</v>
      </c>
      <c r="G4" s="120">
        <f>Table1113[[#This Row],[Ejecta Mass]]*0.0016</f>
        <v>5590400000</v>
      </c>
      <c r="H4" s="122">
        <f>Table1113[[#This Row],[Ejecta Dust Mass (Ejecta Mass * Ejecta dust concentration)]]-Table1113[[#This Row],[Background Dust Contribution (Ejecta Mass * Background Dust Concentration)]]</f>
        <v>25855599999.999996</v>
      </c>
      <c r="I4" s="122">
        <f>Table1113[[#This Row],[Externally-Contributed Dust (Ejecta Dust - Background Dust)]]-Table1113[[#This Row],[Impactor Mass]]</f>
        <v>22713416726.991329</v>
      </c>
      <c r="J4" s="123">
        <f>Table1113[[#This Row],[Externally-Contributed Dust (Ejecta Dust - Background Dust)]]/Table1113[[#This Row],[Impactor Mass]]</f>
        <v>8.2285461265418274</v>
      </c>
    </row>
    <row r="5" spans="1:11" x14ac:dyDescent="0.25">
      <c r="A5" t="s">
        <v>169</v>
      </c>
      <c r="B5" t="s">
        <v>162</v>
      </c>
      <c r="C5" t="s">
        <v>170</v>
      </c>
      <c r="D5">
        <v>3934000000000</v>
      </c>
      <c r="E5" s="120">
        <v>3779499325.0865083</v>
      </c>
      <c r="F5" s="120">
        <f>Table1113[[#This Row],[Ejecta Mass]]*0.01</f>
        <v>39340000000</v>
      </c>
      <c r="G5" s="120">
        <f>Table1113[[#This Row],[Ejecta Mass]]*0.0016</f>
        <v>6294400000</v>
      </c>
      <c r="H5" s="122">
        <f>Table1113[[#This Row],[Ejecta Dust Mass (Ejecta Mass * Ejecta dust concentration)]]-Table1113[[#This Row],[Background Dust Contribution (Ejecta Mass * Background Dust Concentration)]]</f>
        <v>33045600000</v>
      </c>
      <c r="I5" s="122">
        <f>Table1113[[#This Row],[Externally-Contributed Dust (Ejecta Dust - Background Dust)]]-Table1113[[#This Row],[Impactor Mass]]</f>
        <v>29266100674.91349</v>
      </c>
      <c r="J5" s="123">
        <f>Table1113[[#This Row],[Externally-Contributed Dust (Ejecta Dust - Background Dust)]]/Table1113[[#This Row],[Impactor Mass]]</f>
        <v>8.7433803151277516</v>
      </c>
    </row>
    <row r="6" spans="1:11" x14ac:dyDescent="0.25">
      <c r="A6" t="s">
        <v>3</v>
      </c>
      <c r="B6" t="s">
        <v>162</v>
      </c>
      <c r="C6" t="s">
        <v>149</v>
      </c>
      <c r="D6">
        <v>12440000000000</v>
      </c>
      <c r="E6" s="120">
        <v>16200000000</v>
      </c>
      <c r="F6" s="120">
        <f>Table1113[[#This Row],[Ejecta Mass]]*0.035</f>
        <v>435400000000.00006</v>
      </c>
      <c r="G6" s="120">
        <f>Table1113[[#This Row],[Ejecta Mass]]*0.0016</f>
        <v>19904000000</v>
      </c>
      <c r="H6" s="122">
        <f>Table1113[[#This Row],[Ejecta Dust Mass (Ejecta Mass * Ejecta dust concentration)]]-Table1113[[#This Row],[Background Dust Contribution (Ejecta Mass * Background Dust Concentration)]]</f>
        <v>415496000000.00006</v>
      </c>
      <c r="I6" s="122">
        <f>Table1113[[#This Row],[Externally-Contributed Dust (Ejecta Dust - Background Dust)]]-Table1113[[#This Row],[Impactor Mass]]</f>
        <v>399296000000.00006</v>
      </c>
      <c r="J6" s="123">
        <f>Table1113[[#This Row],[Externally-Contributed Dust (Ejecta Dust - Background Dust)]]/Table1113[[#This Row],[Impactor Mass]]</f>
        <v>25.647901234567904</v>
      </c>
    </row>
    <row r="7" spans="1:11" x14ac:dyDescent="0.25">
      <c r="A7" t="s">
        <v>4</v>
      </c>
      <c r="B7" t="s">
        <v>162</v>
      </c>
      <c r="C7" t="s">
        <v>163</v>
      </c>
      <c r="D7">
        <v>31960000000000</v>
      </c>
      <c r="E7" s="120">
        <v>54000000000</v>
      </c>
      <c r="F7" s="120">
        <f>Table1113[[#This Row],[Ejecta Mass]]*0.03</f>
        <v>958800000000</v>
      </c>
      <c r="G7" s="120">
        <f>Table1113[[#This Row],[Ejecta Mass]]*0.0016</f>
        <v>51136000000</v>
      </c>
      <c r="H7" s="122">
        <f>Table1113[[#This Row],[Ejecta Dust Mass (Ejecta Mass * Ejecta dust concentration)]]-Table1113[[#This Row],[Background Dust Contribution (Ejecta Mass * Background Dust Concentration)]]</f>
        <v>907664000000</v>
      </c>
      <c r="I7" s="122">
        <f>Table1113[[#This Row],[Externally-Contributed Dust (Ejecta Dust - Background Dust)]]-Table1113[[#This Row],[Impactor Mass]]</f>
        <v>853664000000</v>
      </c>
      <c r="J7" s="123">
        <f>Table1113[[#This Row],[Externally-Contributed Dust (Ejecta Dust - Background Dust)]]/Table1113[[#This Row],[Impactor Mass]]</f>
        <v>16.808592592592593</v>
      </c>
    </row>
    <row r="8" spans="1:11" x14ac:dyDescent="0.25">
      <c r="A8" t="s">
        <v>5</v>
      </c>
      <c r="B8" t="s">
        <v>162</v>
      </c>
      <c r="C8" t="s">
        <v>164</v>
      </c>
      <c r="D8">
        <v>63880000000000</v>
      </c>
      <c r="E8" s="120">
        <v>129000000000</v>
      </c>
      <c r="F8" s="120">
        <f>Table1113[[#This Row],[Ejecta Mass]]*0.015</f>
        <v>958200000000</v>
      </c>
      <c r="G8" s="120">
        <f>Table1113[[#This Row],[Ejecta Mass]]*0.0016</f>
        <v>102208000000</v>
      </c>
      <c r="H8" s="122">
        <f>Table1113[[#This Row],[Ejecta Dust Mass (Ejecta Mass * Ejecta dust concentration)]]-Table1113[[#This Row],[Background Dust Contribution (Ejecta Mass * Background Dust Concentration)]]</f>
        <v>855992000000</v>
      </c>
      <c r="I8" s="122">
        <f>Table1113[[#This Row],[Externally-Contributed Dust (Ejecta Dust - Background Dust)]]-Table1113[[#This Row],[Impactor Mass]]</f>
        <v>726992000000</v>
      </c>
      <c r="J8" s="123">
        <f>Table1113[[#This Row],[Externally-Contributed Dust (Ejecta Dust - Background Dust)]]/Table1113[[#This Row],[Impactor Mass]]</f>
        <v>6.6355968992248062</v>
      </c>
    </row>
    <row r="9" spans="1:11" x14ac:dyDescent="0.25">
      <c r="A9" t="s">
        <v>6</v>
      </c>
      <c r="B9" t="s">
        <v>165</v>
      </c>
      <c r="C9" t="s">
        <v>166</v>
      </c>
      <c r="D9">
        <v>101600000000000</v>
      </c>
      <c r="E9" s="120">
        <v>237000000000</v>
      </c>
      <c r="F9" s="120">
        <f>Table1113[[#This Row],[Ejecta Mass]]*0.004</f>
        <v>406400000000</v>
      </c>
      <c r="G9" s="120">
        <f>Table1113[[#This Row],[Ejecta Mass]]*0.053</f>
        <v>5384800000000</v>
      </c>
      <c r="H9" s="124">
        <f>Table1113[[#This Row],[Ejecta Dust Mass (Ejecta Mass * Ejecta dust concentration)]]-Table1113[[#This Row],[Background Dust Contribution (Ejecta Mass * Background Dust Concentration)]]</f>
        <v>-4978400000000</v>
      </c>
      <c r="I9" s="124">
        <f>Table1113[[#This Row],[Externally-Contributed Dust (Ejecta Dust - Background Dust)]]-Table1113[[#This Row],[Impactor Mass]]</f>
        <v>-5215400000000</v>
      </c>
      <c r="J9" s="125">
        <f>Table1113[[#This Row],[Externally-Contributed Dust (Ejecta Dust - Background Dust)]]/Table1113[[#This Row],[Impactor Mass]]</f>
        <v>-21.00590717299578</v>
      </c>
    </row>
    <row r="10" spans="1:11" x14ac:dyDescent="0.25">
      <c r="A10" t="s">
        <v>8</v>
      </c>
      <c r="B10" t="s">
        <v>162</v>
      </c>
      <c r="C10" t="s">
        <v>167</v>
      </c>
      <c r="D10">
        <v>219100000000000</v>
      </c>
      <c r="E10" s="120">
        <v>633000000000</v>
      </c>
      <c r="F10" s="120">
        <f>Table1113[[#This Row],[Ejecta Mass]]*0.003</f>
        <v>657300000000</v>
      </c>
      <c r="G10" s="120">
        <f>Table1113[[#This Row],[Ejecta Mass]]*0.0016</f>
        <v>350560000000</v>
      </c>
      <c r="H10" s="122">
        <f>Table1113[[#This Row],[Ejecta Dust Mass (Ejecta Mass * Ejecta dust concentration)]]-Table1113[[#This Row],[Background Dust Contribution (Ejecta Mass * Background Dust Concentration)]]</f>
        <v>306740000000</v>
      </c>
      <c r="I10" s="124">
        <f>Table1113[[#This Row],[Externally-Contributed Dust (Ejecta Dust - Background Dust)]]-Table1113[[#This Row],[Impactor Mass]]</f>
        <v>-326260000000</v>
      </c>
      <c r="J10" s="123">
        <f>Table1113[[#This Row],[Externally-Contributed Dust (Ejecta Dust - Background Dust)]]/Table1113[[#This Row],[Impactor Mass]]</f>
        <v>0.48458135860979462</v>
      </c>
    </row>
    <row r="11" spans="1:11" x14ac:dyDescent="0.25">
      <c r="A11" t="s">
        <v>138</v>
      </c>
      <c r="B11" t="s">
        <v>165</v>
      </c>
      <c r="C11" t="s">
        <v>171</v>
      </c>
      <c r="D11">
        <v>245010000000000</v>
      </c>
      <c r="E11" s="120">
        <v>731181146430.41821</v>
      </c>
      <c r="F11" s="120">
        <f>Table1113[[#This Row],[Ejecta Mass]]*0.002</f>
        <v>490020000000</v>
      </c>
      <c r="G11" s="120">
        <f>Table1113[[#This Row],[Ejecta Mass]]*0.053</f>
        <v>12985530000000</v>
      </c>
      <c r="H11" s="124">
        <f>Table1113[[#This Row],[Ejecta Dust Mass (Ejecta Mass * Ejecta dust concentration)]]-Table1113[[#This Row],[Background Dust Contribution (Ejecta Mass * Background Dust Concentration)]]</f>
        <v>-12495510000000</v>
      </c>
      <c r="I11" s="124">
        <f>Table1113[[#This Row],[Externally-Contributed Dust (Ejecta Dust - Background Dust)]]-Table1113[[#This Row],[Impactor Mass]]</f>
        <v>-13226691146430.418</v>
      </c>
      <c r="J11" s="125">
        <f>Table1113[[#This Row],[Externally-Contributed Dust (Ejecta Dust - Background Dust)]]/Table1113[[#This Row],[Impactor Mass]]</f>
        <v>-17.089486047339047</v>
      </c>
    </row>
    <row r="12" spans="1:11" x14ac:dyDescent="0.25">
      <c r="A12" t="s">
        <v>143</v>
      </c>
      <c r="B12" t="s">
        <v>162</v>
      </c>
      <c r="C12" t="s">
        <v>171</v>
      </c>
      <c r="D12">
        <v>756750000000000</v>
      </c>
      <c r="E12" s="120">
        <v>3067961575771.2822</v>
      </c>
      <c r="F12" s="120">
        <f>Table1113[[#This Row],[Ejecta Mass]]*0.002</f>
        <v>1513500000000</v>
      </c>
      <c r="G12" s="120">
        <f>Table1113[[#This Row],[Ejecta Mass]]*0.0016</f>
        <v>1210800000000</v>
      </c>
      <c r="H12" s="122">
        <f>Table1113[[#This Row],[Ejecta Dust Mass (Ejecta Mass * Ejecta dust concentration)]]-Table1113[[#This Row],[Background Dust Contribution (Ejecta Mass * Background Dust Concentration)]]</f>
        <v>302700000000</v>
      </c>
      <c r="I12" s="124">
        <f>Table1113[[#This Row],[Externally-Contributed Dust (Ejecta Dust - Background Dust)]]-Table1113[[#This Row],[Impactor Mass]]</f>
        <v>-2765261575771.2822</v>
      </c>
      <c r="J12" s="123">
        <f>Table1113[[#This Row],[Externally-Contributed Dust (Ejecta Dust - Background Dust)]]/Table1113[[#This Row],[Impactor Mass]]</f>
        <v>9.866486020898145E-2</v>
      </c>
    </row>
    <row r="15" spans="1:11" x14ac:dyDescent="0.25">
      <c r="A15" s="162" t="s">
        <v>187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</row>
    <row r="16" spans="1:11" s="126" customFormat="1" ht="45.75" thickBot="1" x14ac:dyDescent="0.3">
      <c r="A16" s="126" t="s">
        <v>133</v>
      </c>
      <c r="B16" s="126" t="s">
        <v>152</v>
      </c>
      <c r="C16" s="126" t="s">
        <v>153</v>
      </c>
      <c r="D16" s="126" t="s">
        <v>150</v>
      </c>
      <c r="E16" s="126" t="s">
        <v>154</v>
      </c>
      <c r="F16" s="126" t="s">
        <v>134</v>
      </c>
      <c r="G16" s="118" t="s">
        <v>173</v>
      </c>
      <c r="H16" s="118" t="s">
        <v>174</v>
      </c>
      <c r="I16" s="126" t="s">
        <v>175</v>
      </c>
      <c r="J16" s="126" t="s">
        <v>184</v>
      </c>
      <c r="K16" s="126" t="s">
        <v>185</v>
      </c>
    </row>
    <row r="17" spans="1:11" x14ac:dyDescent="0.25">
      <c r="A17" t="s">
        <v>132</v>
      </c>
      <c r="B17" s="93">
        <v>106.45820000000001</v>
      </c>
      <c r="C17" s="93">
        <v>118.9483</v>
      </c>
      <c r="D17" s="93">
        <f>Table10914[[#This Row],[(B1) MaskAvg (Dark Stuff)]]-Table10914[[#This Row],[(B2) RevMaskAvg (Light Stuff)]]</f>
        <v>-12.490099999999998</v>
      </c>
      <c r="E17" s="89">
        <f>Table10914[[#This Row],[Difference]]/Table10914[[#This Row],[(B2) RevMaskAvg (Light Stuff)]]</f>
        <v>-0.10500444310679512</v>
      </c>
      <c r="F17" t="s">
        <v>145</v>
      </c>
      <c r="G17">
        <v>1427000000000</v>
      </c>
      <c r="H17" s="120">
        <v>8100000000</v>
      </c>
      <c r="I17" s="122">
        <f>Table10914[[#This Row],[Ejecta Mass]]*0.065</f>
        <v>92755000000</v>
      </c>
      <c r="J17" s="122">
        <f>Table10914[[#This Row],[Ejecta Dust Mass (Ejecta Mass * Ejecta dust concentration)]]-Table10914[[#This Row],[Impactor Mass]]</f>
        <v>84655000000</v>
      </c>
      <c r="K17" s="123">
        <f>Table10914[[#This Row],[Ejecta Dust Mass (Ejecta Mass * Ejecta dust concentration)]]/Table10914[[#This Row],[Impactor Mass]]</f>
        <v>11.451234567901235</v>
      </c>
    </row>
    <row r="18" spans="1:11" x14ac:dyDescent="0.25">
      <c r="A18" t="s">
        <v>148</v>
      </c>
      <c r="B18" s="93">
        <v>62.826099999999997</v>
      </c>
      <c r="C18" s="93">
        <v>66.0518</v>
      </c>
      <c r="D18" s="93">
        <f>Table10914[[#This Row],[(B1) MaskAvg (Dark Stuff)]]-Table10914[[#This Row],[(B2) RevMaskAvg (Light Stuff)]]</f>
        <v>-3.2257000000000033</v>
      </c>
      <c r="E18" s="89">
        <f>Table10914[[#This Row],[Difference]]/Table10914[[#This Row],[(B2) RevMaskAvg (Light Stuff)]]</f>
        <v>-4.8835913631422659E-2</v>
      </c>
      <c r="F18" t="s">
        <v>149</v>
      </c>
      <c r="G18">
        <v>3494000000000</v>
      </c>
      <c r="H18" s="120">
        <v>3142183273.0086679</v>
      </c>
      <c r="I18" s="122">
        <f>Table10914[[#This Row],[Ejecta Mass]]*0.035</f>
        <v>122290000000.00002</v>
      </c>
      <c r="J18" s="122">
        <f>Table10914[[#This Row],[Ejecta Dust Mass (Ejecta Mass * Ejecta dust concentration)]]-Table10914[[#This Row],[Impactor Mass]]</f>
        <v>119147816726.99135</v>
      </c>
      <c r="K18" s="123">
        <f>Table10914[[#This Row],[Ejecta Dust Mass (Ejecta Mass * Ejecta dust concentration)]]/Table10914[[#This Row],[Impactor Mass]]</f>
        <v>38.918799247157303</v>
      </c>
    </row>
    <row r="19" spans="1:11" x14ac:dyDescent="0.25">
      <c r="A19" t="s">
        <v>141</v>
      </c>
      <c r="B19" s="93">
        <v>60.337000000000003</v>
      </c>
      <c r="C19" s="93">
        <v>68.173900000000003</v>
      </c>
      <c r="D19" s="93">
        <f>Table10914[[#This Row],[(B1) MaskAvg (Dark Stuff)]]-Table10914[[#This Row],[(B2) RevMaskAvg (Light Stuff)]]</f>
        <v>-7.8369</v>
      </c>
      <c r="E19" s="89">
        <f>Table10914[[#This Row],[Difference]]/Table10914[[#This Row],[(B2) RevMaskAvg (Light Stuff)]]</f>
        <v>-0.11495455005507972</v>
      </c>
      <c r="F19" t="s">
        <v>142</v>
      </c>
      <c r="G19">
        <v>3934000000000</v>
      </c>
      <c r="H19" s="120">
        <v>3779499325.0865083</v>
      </c>
      <c r="I19" s="122">
        <f>Table10914[[#This Row],[Ejecta Mass]]*0.09</f>
        <v>354060000000</v>
      </c>
      <c r="J19" s="122">
        <f>Table10914[[#This Row],[Ejecta Dust Mass (Ejecta Mass * Ejecta dust concentration)]]-Table10914[[#This Row],[Impactor Mass]]</f>
        <v>350280500674.91351</v>
      </c>
      <c r="K19" s="123">
        <f>Table10914[[#This Row],[Ejecta Dust Mass (Ejecta Mass * Ejecta dust concentration)]]/Table10914[[#This Row],[Impactor Mass]]</f>
        <v>93.6790748049402</v>
      </c>
    </row>
    <row r="20" spans="1:11" x14ac:dyDescent="0.25">
      <c r="A20" t="s">
        <v>3</v>
      </c>
      <c r="B20" s="93">
        <v>52.994</v>
      </c>
      <c r="C20" s="93">
        <v>56.791400000000003</v>
      </c>
      <c r="D20" s="93">
        <f>Table10914[[#This Row],[(B1) MaskAvg (Dark Stuff)]]-Table10914[[#This Row],[(B2) RevMaskAvg (Light Stuff)]]</f>
        <v>-3.7974000000000032</v>
      </c>
      <c r="E20" s="89">
        <f>Table10914[[#This Row],[Difference]]/Table10914[[#This Row],[(B2) RevMaskAvg (Light Stuff)]]</f>
        <v>-6.6865757843617216E-2</v>
      </c>
      <c r="F20" t="s">
        <v>147</v>
      </c>
      <c r="G20">
        <v>12440000000000</v>
      </c>
      <c r="H20" s="120">
        <v>16200000000</v>
      </c>
      <c r="I20" s="122">
        <f>Table10914[[#This Row],[Ejecta Mass]]*0.04</f>
        <v>497600000000</v>
      </c>
      <c r="J20" s="122">
        <f>Table10914[[#This Row],[Ejecta Dust Mass (Ejecta Mass * Ejecta dust concentration)]]-Table10914[[#This Row],[Impactor Mass]]</f>
        <v>481400000000</v>
      </c>
      <c r="K20" s="123">
        <f>Table10914[[#This Row],[Ejecta Dust Mass (Ejecta Mass * Ejecta dust concentration)]]/Table10914[[#This Row],[Impactor Mass]]</f>
        <v>30.716049382716051</v>
      </c>
    </row>
    <row r="21" spans="1:11" x14ac:dyDescent="0.25">
      <c r="A21" t="s">
        <v>4</v>
      </c>
      <c r="B21" s="93">
        <v>90.683700000000002</v>
      </c>
      <c r="C21" s="93">
        <v>120.97239999999999</v>
      </c>
      <c r="D21" s="93">
        <f>Table10914[[#This Row],[(B1) MaskAvg (Dark Stuff)]]-Table10914[[#This Row],[(B2) RevMaskAvg (Light Stuff)]]</f>
        <v>-30.288699999999992</v>
      </c>
      <c r="E21" s="89">
        <f>Table10914[[#This Row],[Difference]]/Table10914[[#This Row],[(B2) RevMaskAvg (Light Stuff)]]</f>
        <v>-0.25037694548508582</v>
      </c>
      <c r="F21" t="s">
        <v>137</v>
      </c>
      <c r="G21">
        <v>31960000000000</v>
      </c>
      <c r="H21" s="120">
        <v>54000000000</v>
      </c>
      <c r="I21" s="122">
        <f>Table10914[[#This Row],[Ejecta Mass]]*0.165</f>
        <v>5273400000000</v>
      </c>
      <c r="J21" s="122">
        <f>Table10914[[#This Row],[Ejecta Dust Mass (Ejecta Mass * Ejecta dust concentration)]]-Table10914[[#This Row],[Impactor Mass]]</f>
        <v>5219400000000</v>
      </c>
      <c r="K21" s="123">
        <f>Table10914[[#This Row],[Ejecta Dust Mass (Ejecta Mass * Ejecta dust concentration)]]/Table10914[[#This Row],[Impactor Mass]]</f>
        <v>97.655555555555551</v>
      </c>
    </row>
    <row r="22" spans="1:11" x14ac:dyDescent="0.25">
      <c r="A22" t="s">
        <v>5</v>
      </c>
      <c r="B22" s="93">
        <v>94.798000000000002</v>
      </c>
      <c r="C22" s="93">
        <v>118.6431</v>
      </c>
      <c r="D22" s="93">
        <f>Table10914[[#This Row],[(B1) MaskAvg (Dark Stuff)]]-Table10914[[#This Row],[(B2) RevMaskAvg (Light Stuff)]]</f>
        <v>-23.845100000000002</v>
      </c>
      <c r="E22" s="89">
        <f>Table10914[[#This Row],[Difference]]/Table10914[[#This Row],[(B2) RevMaskAvg (Light Stuff)]]</f>
        <v>-0.20098176800842191</v>
      </c>
      <c r="F22" t="s">
        <v>140</v>
      </c>
      <c r="G22">
        <v>63880000000000</v>
      </c>
      <c r="H22" s="120">
        <v>129000000000</v>
      </c>
      <c r="I22" s="122">
        <f>Table10914[[#This Row],[Ejecta Mass]]*0.1</f>
        <v>6388000000000</v>
      </c>
      <c r="J22" s="122">
        <f>Table10914[[#This Row],[Ejecta Dust Mass (Ejecta Mass * Ejecta dust concentration)]]-Table10914[[#This Row],[Impactor Mass]]</f>
        <v>6259000000000</v>
      </c>
      <c r="K22" s="123">
        <f>Table10914[[#This Row],[Ejecta Dust Mass (Ejecta Mass * Ejecta dust concentration)]]/Table10914[[#This Row],[Impactor Mass]]</f>
        <v>49.519379844961243</v>
      </c>
    </row>
    <row r="23" spans="1:11" x14ac:dyDescent="0.25">
      <c r="A23" t="s">
        <v>6</v>
      </c>
      <c r="B23" s="93">
        <v>52.917499999999997</v>
      </c>
      <c r="C23" s="93">
        <v>59.811</v>
      </c>
      <c r="D23" s="93">
        <f>Table10914[[#This Row],[(B1) MaskAvg (Dark Stuff)]]-Table10914[[#This Row],[(B2) RevMaskAvg (Light Stuff)]]</f>
        <v>-6.8935000000000031</v>
      </c>
      <c r="E23" s="89">
        <f>Table10914[[#This Row],[Difference]]/Table10914[[#This Row],[(B2) RevMaskAvg (Light Stuff)]]</f>
        <v>-0.11525471903161631</v>
      </c>
      <c r="F23" t="s">
        <v>146</v>
      </c>
      <c r="G23">
        <v>101600000000000</v>
      </c>
      <c r="H23" s="120">
        <v>237000000000</v>
      </c>
      <c r="I23" s="122">
        <f>Table10914[[#This Row],[Ejecta Mass]]*0.05</f>
        <v>5080000000000</v>
      </c>
      <c r="J23" s="122">
        <f>Table10914[[#This Row],[Ejecta Dust Mass (Ejecta Mass * Ejecta dust concentration)]]-Table10914[[#This Row],[Impactor Mass]]</f>
        <v>4843000000000</v>
      </c>
      <c r="K23" s="123">
        <f>Table10914[[#This Row],[Ejecta Dust Mass (Ejecta Mass * Ejecta dust concentration)]]/Table10914[[#This Row],[Impactor Mass]]</f>
        <v>21.434599156118143</v>
      </c>
    </row>
    <row r="24" spans="1:11" x14ac:dyDescent="0.25">
      <c r="A24" t="s">
        <v>8</v>
      </c>
      <c r="B24" s="93">
        <v>31.0395</v>
      </c>
      <c r="C24" s="93">
        <v>43.879199999999997</v>
      </c>
      <c r="D24" s="93">
        <f>Table10914[[#This Row],[(B1) MaskAvg (Dark Stuff)]]-Table10914[[#This Row],[(B2) RevMaskAvg (Light Stuff)]]</f>
        <v>-12.839699999999997</v>
      </c>
      <c r="E24" s="89">
        <f>Table10914[[#This Row],[Difference]]/Table10914[[#This Row],[(B2) RevMaskAvg (Light Stuff)]]</f>
        <v>-0.29261472406060268</v>
      </c>
      <c r="F24" t="s">
        <v>136</v>
      </c>
      <c r="G24">
        <v>219100000000000</v>
      </c>
      <c r="H24" s="120">
        <v>633000000000</v>
      </c>
      <c r="I24" s="122">
        <f>Table10914[[#This Row],[Ejecta Mass]]*0.18</f>
        <v>39438000000000</v>
      </c>
      <c r="J24" s="122">
        <f>Table10914[[#This Row],[Ejecta Dust Mass (Ejecta Mass * Ejecta dust concentration)]]-Table10914[[#This Row],[Impactor Mass]]</f>
        <v>38805000000000</v>
      </c>
      <c r="K24" s="123">
        <f>Table10914[[#This Row],[Ejecta Dust Mass (Ejecta Mass * Ejecta dust concentration)]]/Table10914[[#This Row],[Impactor Mass]]</f>
        <v>62.303317535545027</v>
      </c>
    </row>
    <row r="25" spans="1:11" x14ac:dyDescent="0.25">
      <c r="A25" s="91" t="s">
        <v>138</v>
      </c>
      <c r="B25" s="93">
        <v>76.271000000000001</v>
      </c>
      <c r="C25" s="93">
        <v>98.512600000000006</v>
      </c>
      <c r="D25" s="93">
        <f>Table10914[[#This Row],[(B1) MaskAvg (Dark Stuff)]]-Table10914[[#This Row],[(B2) RevMaskAvg (Light Stuff)]]</f>
        <v>-22.241600000000005</v>
      </c>
      <c r="E25" s="89">
        <f>Table10914[[#This Row],[Difference]]/Table10914[[#This Row],[(B2) RevMaskAvg (Light Stuff)]]</f>
        <v>-0.22577416492915631</v>
      </c>
      <c r="F25" t="s">
        <v>139</v>
      </c>
      <c r="G25">
        <v>245010000000000</v>
      </c>
      <c r="H25" s="120">
        <v>731181146430.41821</v>
      </c>
      <c r="I25" s="122">
        <f>Table10914[[#This Row],[Ejecta Mass]]*0.14</f>
        <v>34301400000000.004</v>
      </c>
      <c r="J25" s="122">
        <f>Table10914[[#This Row],[Ejecta Dust Mass (Ejecta Mass * Ejecta dust concentration)]]-Table10914[[#This Row],[Impactor Mass]]</f>
        <v>33570218853569.586</v>
      </c>
      <c r="K25" s="123">
        <f>Table10914[[#This Row],[Ejecta Dust Mass (Ejecta Mass * Ejecta dust concentration)]]/Table10914[[#This Row],[Impactor Mass]]</f>
        <v>46.91231463975425</v>
      </c>
    </row>
    <row r="26" spans="1:11" x14ac:dyDescent="0.25">
      <c r="A26" t="s">
        <v>143</v>
      </c>
      <c r="B26" s="93">
        <v>100.9748</v>
      </c>
      <c r="C26" s="93">
        <v>109.297</v>
      </c>
      <c r="D26" s="93">
        <f>Table10914[[#This Row],[(B1) MaskAvg (Dark Stuff)]]-Table10914[[#This Row],[(B2) RevMaskAvg (Light Stuff)]]</f>
        <v>-8.3221999999999952</v>
      </c>
      <c r="E26" s="89">
        <f>Table10914[[#This Row],[Difference]]/Table10914[[#This Row],[(B2) RevMaskAvg (Light Stuff)]]</f>
        <v>-7.6142986541259089E-2</v>
      </c>
      <c r="F26" t="s">
        <v>144</v>
      </c>
      <c r="G26">
        <v>756750000000000</v>
      </c>
      <c r="H26" s="120">
        <v>3067961575771.2822</v>
      </c>
      <c r="I26" s="122">
        <f>Table10914[[#This Row],[Ejecta Mass]]*0.07</f>
        <v>52972500000000.008</v>
      </c>
      <c r="J26" s="122">
        <f>Table10914[[#This Row],[Ejecta Dust Mass (Ejecta Mass * Ejecta dust concentration)]]-Table10914[[#This Row],[Impactor Mass]]</f>
        <v>49904538424228.727</v>
      </c>
      <c r="K26" s="123">
        <f>Table10914[[#This Row],[Ejecta Dust Mass (Ejecta Mass * Ejecta dust concentration)]]/Table10914[[#This Row],[Impactor Mass]]</f>
        <v>17.266350536571757</v>
      </c>
    </row>
    <row r="29" spans="1:11" x14ac:dyDescent="0.25">
      <c r="A29" s="164" t="s">
        <v>190</v>
      </c>
      <c r="B29" s="164"/>
      <c r="C29" s="164"/>
      <c r="D29" s="164"/>
      <c r="E29" s="164"/>
      <c r="F29" s="164"/>
      <c r="G29" s="164"/>
      <c r="H29" s="164"/>
      <c r="I29" s="164"/>
      <c r="J29" s="164"/>
    </row>
    <row r="30" spans="1:11" ht="45.75" thickBot="1" x14ac:dyDescent="0.3">
      <c r="A30" s="118" t="s">
        <v>133</v>
      </c>
      <c r="B30" s="121" t="s">
        <v>172</v>
      </c>
      <c r="C30" s="118" t="s">
        <v>161</v>
      </c>
      <c r="D30" s="118" t="s">
        <v>173</v>
      </c>
      <c r="E30" s="118" t="s">
        <v>174</v>
      </c>
      <c r="F30" s="118" t="s">
        <v>175</v>
      </c>
      <c r="G30" s="118" t="s">
        <v>176</v>
      </c>
      <c r="H30" s="118" t="s">
        <v>177</v>
      </c>
      <c r="I30" s="118" t="s">
        <v>178</v>
      </c>
      <c r="J30" s="118" t="s">
        <v>179</v>
      </c>
    </row>
    <row r="31" spans="1:11" x14ac:dyDescent="0.25">
      <c r="A31" t="s">
        <v>6</v>
      </c>
      <c r="B31" t="s">
        <v>191</v>
      </c>
      <c r="C31" t="s">
        <v>166</v>
      </c>
      <c r="D31">
        <v>101600000000000</v>
      </c>
      <c r="E31" s="120">
        <v>237000000000</v>
      </c>
      <c r="F31" s="120">
        <f>Table111315[[#This Row],[Ejecta Mass]]*0.004</f>
        <v>406400000000</v>
      </c>
      <c r="G31" s="120">
        <f>Table111315[[#This Row],[Ejecta Mass]]*0.0175</f>
        <v>1778000000000.0002</v>
      </c>
      <c r="H31" s="124">
        <f>Table111315[[#This Row],[Ejecta Dust Mass (Ejecta Mass * Ejecta dust concentration)]]-Table111315[[#This Row],[Background Dust Contribution (Ejecta Mass * Background Dust Concentration)]]</f>
        <v>-1371600000000.0002</v>
      </c>
      <c r="I31" s="124">
        <f>Table111315[[#This Row],[Externally-Contributed Dust (Ejecta Dust - Background Dust)]]-Table111315[[#This Row],[Impactor Mass]]</f>
        <v>-1608600000000.0002</v>
      </c>
      <c r="J31" s="125">
        <f>Table111315[[#This Row],[Externally-Contributed Dust (Ejecta Dust - Background Dust)]]/Table111315[[#This Row],[Impactor Mass]]</f>
        <v>-5.7873417721518994</v>
      </c>
    </row>
    <row r="32" spans="1:11" x14ac:dyDescent="0.25">
      <c r="A32" t="s">
        <v>138</v>
      </c>
      <c r="B32" t="s">
        <v>191</v>
      </c>
      <c r="C32" t="s">
        <v>171</v>
      </c>
      <c r="D32">
        <v>245010000000000</v>
      </c>
      <c r="E32" s="120">
        <v>731181146430.41821</v>
      </c>
      <c r="F32" s="120">
        <f>Table111315[[#This Row],[Ejecta Mass]]*0.002</f>
        <v>490020000000</v>
      </c>
      <c r="G32" s="120">
        <f>Table111315[[#This Row],[Ejecta Mass]]*0.0175</f>
        <v>4287675000000.0005</v>
      </c>
      <c r="H32" s="124">
        <f>Table111315[[#This Row],[Ejecta Dust Mass (Ejecta Mass * Ejecta dust concentration)]]-Table111315[[#This Row],[Background Dust Contribution (Ejecta Mass * Background Dust Concentration)]]</f>
        <v>-3797655000000.0005</v>
      </c>
      <c r="I32" s="124">
        <f>Table111315[[#This Row],[Externally-Contributed Dust (Ejecta Dust - Background Dust)]]-Table111315[[#This Row],[Impactor Mass]]</f>
        <v>-4528836146430.4189</v>
      </c>
      <c r="J32" s="125">
        <f>Table111315[[#This Row],[Externally-Contributed Dust (Ejecta Dust - Background Dust)]]/Table111315[[#This Row],[Impactor Mass]]</f>
        <v>-5.1938634065442209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5"/>
  <sheetViews>
    <sheetView zoomScale="90" zoomScaleNormal="90" workbookViewId="0">
      <pane xSplit="1" topLeftCell="B1" activePane="topRight" state="frozen"/>
      <selection pane="topRight" activeCell="B107" sqref="B107"/>
    </sheetView>
  </sheetViews>
  <sheetFormatPr defaultRowHeight="15" x14ac:dyDescent="0.25"/>
  <cols>
    <col min="1" max="1" width="14.140625" customWidth="1"/>
    <col min="2" max="2" width="14.85546875" customWidth="1"/>
    <col min="3" max="3" width="14.42578125" customWidth="1"/>
    <col min="4" max="4" width="15.85546875" customWidth="1"/>
    <col min="5" max="5" width="9" bestFit="1" customWidth="1"/>
    <col min="6" max="6" width="10" bestFit="1" customWidth="1"/>
    <col min="7" max="7" width="10" style="9" bestFit="1" customWidth="1"/>
    <col min="9" max="9" width="9.5703125" bestFit="1" customWidth="1"/>
    <col min="10" max="10" width="9" bestFit="1" customWidth="1"/>
    <col min="11" max="11" width="10" bestFit="1" customWidth="1"/>
    <col min="12" max="12" width="9.5703125" bestFit="1" customWidth="1"/>
    <col min="13" max="13" width="9" bestFit="1" customWidth="1"/>
  </cols>
  <sheetData>
    <row r="1" spans="1:25" x14ac:dyDescent="0.25">
      <c r="A1" t="s">
        <v>0</v>
      </c>
      <c r="E1" s="130" t="s">
        <v>2</v>
      </c>
      <c r="F1" s="127"/>
      <c r="G1" s="128"/>
      <c r="H1" s="130" t="s">
        <v>3</v>
      </c>
      <c r="I1" s="127"/>
      <c r="J1" s="128"/>
      <c r="K1" s="130" t="s">
        <v>4</v>
      </c>
      <c r="L1" s="127"/>
      <c r="M1" s="128"/>
      <c r="N1" s="130" t="s">
        <v>5</v>
      </c>
      <c r="O1" s="127"/>
      <c r="P1" s="128"/>
      <c r="Q1" s="130" t="s">
        <v>6</v>
      </c>
      <c r="R1" s="127"/>
      <c r="S1" s="128"/>
      <c r="T1" s="130" t="s">
        <v>7</v>
      </c>
      <c r="U1" s="127"/>
      <c r="V1" s="128"/>
      <c r="W1" s="130" t="s">
        <v>8</v>
      </c>
      <c r="X1" s="127"/>
      <c r="Y1" s="128"/>
    </row>
    <row r="2" spans="1:25" x14ac:dyDescent="0.25">
      <c r="A2" s="5" t="s">
        <v>14</v>
      </c>
      <c r="B2" s="3" t="s">
        <v>15</v>
      </c>
      <c r="C2" s="3" t="s">
        <v>16</v>
      </c>
      <c r="D2" s="3" t="s">
        <v>17</v>
      </c>
      <c r="E2" s="10" t="s">
        <v>18</v>
      </c>
      <c r="F2" s="4" t="s">
        <v>19</v>
      </c>
      <c r="G2" s="11" t="s">
        <v>20</v>
      </c>
      <c r="H2" s="15" t="s">
        <v>21</v>
      </c>
      <c r="I2" s="3" t="s">
        <v>22</v>
      </c>
      <c r="J2" s="16" t="s">
        <v>23</v>
      </c>
      <c r="K2" s="10" t="s">
        <v>24</v>
      </c>
      <c r="L2" s="4" t="s">
        <v>25</v>
      </c>
      <c r="M2" s="11" t="s">
        <v>26</v>
      </c>
      <c r="N2" s="10" t="s">
        <v>27</v>
      </c>
      <c r="O2" s="4" t="s">
        <v>28</v>
      </c>
      <c r="P2" s="11" t="s">
        <v>29</v>
      </c>
      <c r="Q2" s="10" t="s">
        <v>30</v>
      </c>
      <c r="R2" s="4" t="s">
        <v>31</v>
      </c>
      <c r="S2" s="11" t="s">
        <v>32</v>
      </c>
      <c r="T2" s="10" t="s">
        <v>33</v>
      </c>
      <c r="U2" s="4" t="s">
        <v>34</v>
      </c>
      <c r="V2" s="11" t="s">
        <v>35</v>
      </c>
      <c r="W2" s="10" t="s">
        <v>36</v>
      </c>
      <c r="X2" s="4" t="s">
        <v>37</v>
      </c>
      <c r="Y2" s="11" t="s">
        <v>38</v>
      </c>
    </row>
    <row r="3" spans="1:25" hidden="1" x14ac:dyDescent="0.25">
      <c r="A3" s="6">
        <v>4.4299999999999999E-2</v>
      </c>
      <c r="B3" s="2">
        <v>1.4090233999999999</v>
      </c>
      <c r="C3" s="2">
        <v>0.52185610000000004</v>
      </c>
      <c r="D3" s="2">
        <v>0.95676700000000003</v>
      </c>
      <c r="E3" s="12">
        <v>1.4198</v>
      </c>
      <c r="F3" s="2">
        <v>0.52669999999999995</v>
      </c>
      <c r="G3" s="13">
        <v>0.95389999999999997</v>
      </c>
      <c r="H3" s="12"/>
      <c r="I3" s="2"/>
      <c r="J3" s="17"/>
      <c r="K3" s="12"/>
      <c r="L3" s="2"/>
      <c r="M3" s="17"/>
      <c r="N3" s="12"/>
      <c r="O3" s="2"/>
      <c r="P3" s="17"/>
      <c r="Q3" s="12"/>
      <c r="R3" s="2"/>
      <c r="S3" s="17"/>
      <c r="T3" s="12"/>
      <c r="U3" s="2"/>
      <c r="V3" s="17"/>
      <c r="W3" s="12"/>
      <c r="X3" s="2"/>
      <c r="Y3" s="17"/>
    </row>
    <row r="4" spans="1:25" hidden="1" x14ac:dyDescent="0.25">
      <c r="A4" s="6">
        <v>4.5100000000000001E-2</v>
      </c>
      <c r="B4" s="2">
        <v>1.4223181</v>
      </c>
      <c r="C4" s="2">
        <v>0.52245830000000004</v>
      </c>
      <c r="D4" s="2">
        <v>0.95599659999999997</v>
      </c>
      <c r="E4" s="12">
        <v>1.4330000000000001</v>
      </c>
      <c r="F4" s="2">
        <v>0.52729999999999999</v>
      </c>
      <c r="G4" s="13">
        <v>0.95320000000000005</v>
      </c>
      <c r="H4" s="12"/>
      <c r="I4" s="2"/>
      <c r="J4" s="17"/>
      <c r="K4" s="12"/>
      <c r="L4" s="2"/>
      <c r="M4" s="17"/>
      <c r="N4" s="12"/>
      <c r="O4" s="2"/>
      <c r="P4" s="17"/>
      <c r="Q4" s="12"/>
      <c r="R4" s="2"/>
      <c r="S4" s="17"/>
      <c r="T4" s="12"/>
      <c r="U4" s="2"/>
      <c r="V4" s="17"/>
      <c r="W4" s="12"/>
      <c r="X4" s="2"/>
      <c r="Y4" s="17"/>
    </row>
    <row r="5" spans="1:25" hidden="1" x14ac:dyDescent="0.25">
      <c r="A5" s="6">
        <v>4.5900000000000003E-2</v>
      </c>
      <c r="B5" s="2">
        <v>1.431119</v>
      </c>
      <c r="C5" s="2">
        <v>0.52326479999999997</v>
      </c>
      <c r="D5" s="2">
        <v>0.95440709999999995</v>
      </c>
      <c r="E5" s="12">
        <v>1.4417</v>
      </c>
      <c r="F5" s="2">
        <v>0.52800000000000002</v>
      </c>
      <c r="G5" s="13">
        <v>0.95169999999999999</v>
      </c>
      <c r="H5" s="12"/>
      <c r="I5" s="2"/>
      <c r="J5" s="17"/>
      <c r="K5" s="12"/>
      <c r="L5" s="2"/>
      <c r="M5" s="17"/>
      <c r="N5" s="12"/>
      <c r="O5" s="2"/>
      <c r="P5" s="17"/>
      <c r="Q5" s="12"/>
      <c r="R5" s="2"/>
      <c r="S5" s="17"/>
      <c r="T5" s="12"/>
      <c r="U5" s="2"/>
      <c r="V5" s="17"/>
      <c r="W5" s="12"/>
      <c r="X5" s="2"/>
      <c r="Y5" s="17"/>
    </row>
    <row r="6" spans="1:25" hidden="1" x14ac:dyDescent="0.25">
      <c r="A6" s="6">
        <v>4.6800000000000001E-2</v>
      </c>
      <c r="B6" s="2">
        <v>1.4413847</v>
      </c>
      <c r="C6" s="2">
        <v>0.52442</v>
      </c>
      <c r="D6" s="2">
        <v>0.95244819999999997</v>
      </c>
      <c r="E6" s="12">
        <v>1.4519</v>
      </c>
      <c r="F6" s="2">
        <v>0.52910000000000001</v>
      </c>
      <c r="G6" s="13">
        <v>0.9476</v>
      </c>
      <c r="H6" s="12"/>
      <c r="I6" s="2"/>
      <c r="J6" s="17"/>
      <c r="K6" s="12"/>
      <c r="L6" s="2"/>
      <c r="M6" s="17"/>
      <c r="N6" s="12"/>
      <c r="O6" s="2"/>
      <c r="P6" s="17"/>
      <c r="Q6" s="12"/>
      <c r="R6" s="2"/>
      <c r="S6" s="17"/>
      <c r="T6" s="12"/>
      <c r="U6" s="2"/>
      <c r="V6" s="17"/>
      <c r="W6" s="12"/>
      <c r="X6" s="2"/>
      <c r="Y6" s="17"/>
    </row>
    <row r="7" spans="1:25" hidden="1" x14ac:dyDescent="0.25">
      <c r="A7" s="6">
        <v>4.7699999999999999E-2</v>
      </c>
      <c r="B7" s="2">
        <v>1.4533525</v>
      </c>
      <c r="C7" s="2">
        <v>0.52570329999999998</v>
      </c>
      <c r="D7" s="2">
        <v>0.95021089999999997</v>
      </c>
      <c r="E7" s="12">
        <v>1.4639</v>
      </c>
      <c r="F7" s="2">
        <v>0.53029999999999999</v>
      </c>
      <c r="G7" s="13">
        <v>0.94769999999999999</v>
      </c>
      <c r="H7" s="12"/>
      <c r="I7" s="2"/>
      <c r="J7" s="17"/>
      <c r="K7" s="12"/>
      <c r="L7" s="2"/>
      <c r="M7" s="17"/>
      <c r="N7" s="12"/>
      <c r="O7" s="2"/>
      <c r="P7" s="17"/>
      <c r="Q7" s="12"/>
      <c r="R7" s="2"/>
      <c r="S7" s="17"/>
      <c r="T7" s="12"/>
      <c r="U7" s="2"/>
      <c r="V7" s="17"/>
      <c r="W7" s="12"/>
      <c r="X7" s="2"/>
      <c r="Y7" s="17"/>
    </row>
    <row r="8" spans="1:25" hidden="1" x14ac:dyDescent="0.25">
      <c r="A8" s="6">
        <v>4.8599999999999997E-2</v>
      </c>
      <c r="B8" s="2">
        <v>1.4722287999999999</v>
      </c>
      <c r="C8" s="2">
        <v>0.52720900000000004</v>
      </c>
      <c r="D8" s="2">
        <v>0.94798179999999999</v>
      </c>
      <c r="E8" s="12">
        <v>1.4823999999999999</v>
      </c>
      <c r="F8" s="2">
        <v>0.53180000000000005</v>
      </c>
      <c r="G8" s="13">
        <v>0.94550000000000001</v>
      </c>
      <c r="H8" s="12"/>
      <c r="I8" s="2"/>
      <c r="J8" s="17"/>
      <c r="K8" s="12"/>
      <c r="L8" s="2"/>
      <c r="M8" s="17"/>
      <c r="N8" s="12"/>
      <c r="O8" s="2"/>
      <c r="P8" s="17"/>
      <c r="Q8" s="12"/>
      <c r="R8" s="2"/>
      <c r="S8" s="17"/>
      <c r="T8" s="12"/>
      <c r="U8" s="2"/>
      <c r="V8" s="17"/>
      <c r="W8" s="12"/>
      <c r="X8" s="2"/>
      <c r="Y8" s="17"/>
    </row>
    <row r="9" spans="1:25" hidden="1" x14ac:dyDescent="0.25">
      <c r="A9" s="6">
        <v>4.9599999999999998E-2</v>
      </c>
      <c r="B9" s="2">
        <v>1.5106668000000001</v>
      </c>
      <c r="C9" s="2">
        <v>0.52901730000000002</v>
      </c>
      <c r="D9" s="2">
        <v>0.94610879999999997</v>
      </c>
      <c r="E9" s="12">
        <v>1.5205</v>
      </c>
      <c r="F9" s="2">
        <v>0.53339999999999999</v>
      </c>
      <c r="G9" s="13">
        <v>0.94379999999999997</v>
      </c>
      <c r="H9" s="12"/>
      <c r="I9" s="2"/>
      <c r="J9" s="17"/>
      <c r="K9" s="12"/>
      <c r="L9" s="2"/>
      <c r="M9" s="17"/>
      <c r="N9" s="12"/>
      <c r="O9" s="2"/>
      <c r="P9" s="17"/>
      <c r="Q9" s="12"/>
      <c r="R9" s="2"/>
      <c r="S9" s="17"/>
      <c r="T9" s="12"/>
      <c r="U9" s="2"/>
      <c r="V9" s="17"/>
      <c r="W9" s="12"/>
      <c r="X9" s="2"/>
      <c r="Y9" s="17"/>
    </row>
    <row r="10" spans="1:25" hidden="1" x14ac:dyDescent="0.25">
      <c r="A10" s="6">
        <v>5.0599999999999999E-2</v>
      </c>
      <c r="B10" s="2">
        <v>1.5470146</v>
      </c>
      <c r="C10" s="2">
        <v>0.53000809999999998</v>
      </c>
      <c r="D10" s="2">
        <v>0.94598669999999996</v>
      </c>
      <c r="E10" s="12">
        <v>1.5565</v>
      </c>
      <c r="F10" s="2">
        <v>0.5343</v>
      </c>
      <c r="G10" s="13">
        <v>0.94369999999999998</v>
      </c>
      <c r="H10" s="12"/>
      <c r="I10" s="2"/>
      <c r="J10" s="17"/>
      <c r="K10" s="12"/>
      <c r="L10" s="2"/>
      <c r="M10" s="17"/>
      <c r="N10" s="12"/>
      <c r="O10" s="2"/>
      <c r="P10" s="17"/>
      <c r="Q10" s="12"/>
      <c r="R10" s="2"/>
      <c r="S10" s="17"/>
      <c r="T10" s="12"/>
      <c r="U10" s="2"/>
      <c r="V10" s="17"/>
      <c r="W10" s="12"/>
      <c r="X10" s="2"/>
      <c r="Y10" s="17"/>
    </row>
    <row r="11" spans="1:25" hidden="1" x14ac:dyDescent="0.25">
      <c r="A11" s="6">
        <v>5.1700000000000003E-2</v>
      </c>
      <c r="B11" s="2">
        <v>1.5749366</v>
      </c>
      <c r="C11" s="2">
        <v>0.53114099999999997</v>
      </c>
      <c r="D11" s="2">
        <v>0.94543860000000002</v>
      </c>
      <c r="E11" s="12">
        <v>1.5841000000000001</v>
      </c>
      <c r="F11" s="2">
        <v>0.5353</v>
      </c>
      <c r="G11" s="13">
        <v>0.94320000000000004</v>
      </c>
      <c r="H11" s="12"/>
      <c r="I11" s="2"/>
      <c r="J11" s="17"/>
      <c r="K11" s="12"/>
      <c r="L11" s="2"/>
      <c r="M11" s="17"/>
      <c r="N11" s="12"/>
      <c r="O11" s="2"/>
      <c r="P11" s="17"/>
      <c r="Q11" s="12"/>
      <c r="R11" s="2"/>
      <c r="S11" s="17"/>
      <c r="T11" s="12"/>
      <c r="U11" s="2"/>
      <c r="V11" s="17"/>
      <c r="W11" s="12"/>
      <c r="X11" s="2"/>
      <c r="Y11" s="17"/>
    </row>
    <row r="12" spans="1:25" hidden="1" x14ac:dyDescent="0.25">
      <c r="A12" s="6">
        <v>5.28E-2</v>
      </c>
      <c r="B12" s="2">
        <v>1.5918650999999999</v>
      </c>
      <c r="C12" s="2">
        <v>0.53241539999999998</v>
      </c>
      <c r="D12" s="2">
        <v>0.94401679999999999</v>
      </c>
      <c r="E12" s="12"/>
      <c r="F12" s="2"/>
      <c r="G12" s="13"/>
      <c r="H12" s="12"/>
      <c r="I12" s="2"/>
      <c r="J12" s="17"/>
      <c r="K12" s="12"/>
      <c r="L12" s="2"/>
      <c r="M12" s="17"/>
      <c r="N12" s="12"/>
      <c r="O12" s="2"/>
      <c r="P12" s="17"/>
      <c r="Q12" s="12"/>
      <c r="R12" s="2"/>
      <c r="S12" s="17"/>
      <c r="T12" s="12"/>
      <c r="U12" s="2"/>
      <c r="V12" s="17"/>
      <c r="W12" s="12"/>
      <c r="X12" s="2"/>
      <c r="Y12" s="17"/>
    </row>
    <row r="13" spans="1:25" hidden="1" x14ac:dyDescent="0.25">
      <c r="A13" s="6">
        <v>5.3900000000000003E-2</v>
      </c>
      <c r="B13" s="2">
        <v>1.6011236</v>
      </c>
      <c r="C13" s="2">
        <v>0.53407099999999996</v>
      </c>
      <c r="D13" s="2">
        <v>0.94152210000000003</v>
      </c>
      <c r="E13" s="12"/>
      <c r="F13" s="2"/>
      <c r="G13" s="13"/>
      <c r="H13" s="12"/>
      <c r="I13" s="2"/>
      <c r="J13" s="17"/>
      <c r="K13" s="12"/>
      <c r="L13" s="2"/>
      <c r="M13" s="17"/>
      <c r="N13" s="12"/>
      <c r="O13" s="2"/>
      <c r="P13" s="17"/>
      <c r="Q13" s="12"/>
      <c r="R13" s="2"/>
      <c r="S13" s="17"/>
      <c r="T13" s="12"/>
      <c r="U13" s="2"/>
      <c r="V13" s="17"/>
      <c r="W13" s="12"/>
      <c r="X13" s="2"/>
      <c r="Y13" s="17"/>
    </row>
    <row r="14" spans="1:25" hidden="1" x14ac:dyDescent="0.25">
      <c r="A14" s="6">
        <v>5.5100000000000003E-2</v>
      </c>
      <c r="B14" s="2">
        <v>1.6187982999999999</v>
      </c>
      <c r="C14" s="2">
        <v>0.53677640000000004</v>
      </c>
      <c r="D14" s="2">
        <v>0.93740540000000006</v>
      </c>
      <c r="E14" s="12"/>
      <c r="F14" s="2"/>
      <c r="G14" s="13"/>
      <c r="H14" s="12"/>
      <c r="I14" s="2"/>
      <c r="J14" s="17"/>
      <c r="K14" s="12"/>
      <c r="L14" s="2"/>
      <c r="M14" s="17"/>
      <c r="N14" s="12"/>
      <c r="O14" s="2"/>
      <c r="P14" s="17"/>
      <c r="Q14" s="12"/>
      <c r="R14" s="2"/>
      <c r="S14" s="17"/>
      <c r="T14" s="12"/>
      <c r="U14" s="2"/>
      <c r="V14" s="17"/>
      <c r="W14" s="12"/>
      <c r="X14" s="2"/>
      <c r="Y14" s="17"/>
    </row>
    <row r="15" spans="1:25" hidden="1" x14ac:dyDescent="0.25">
      <c r="A15" s="6">
        <v>5.6399999999999999E-2</v>
      </c>
      <c r="B15" s="2">
        <v>1.6563751</v>
      </c>
      <c r="C15" s="2">
        <v>0.5404717</v>
      </c>
      <c r="D15" s="2">
        <v>0.93331039999999998</v>
      </c>
      <c r="E15" s="12"/>
      <c r="F15" s="2"/>
      <c r="G15" s="13"/>
      <c r="H15" s="12"/>
      <c r="I15" s="2"/>
      <c r="J15" s="17"/>
      <c r="K15" s="12"/>
      <c r="L15" s="2"/>
      <c r="M15" s="17"/>
      <c r="N15" s="12"/>
      <c r="O15" s="2"/>
      <c r="P15" s="17"/>
      <c r="Q15" s="12"/>
      <c r="R15" s="2"/>
      <c r="S15" s="17"/>
      <c r="T15" s="12"/>
      <c r="U15" s="2"/>
      <c r="V15" s="17"/>
      <c r="W15" s="12"/>
      <c r="X15" s="2"/>
      <c r="Y15" s="17"/>
    </row>
    <row r="16" spans="1:25" hidden="1" x14ac:dyDescent="0.25">
      <c r="A16" s="6">
        <v>5.7700000000000001E-2</v>
      </c>
      <c r="B16" s="2">
        <v>1.7005148000000001</v>
      </c>
      <c r="C16" s="2">
        <v>0.54453839999999998</v>
      </c>
      <c r="D16" s="2">
        <v>0.93017139999999998</v>
      </c>
      <c r="E16" s="12"/>
      <c r="F16" s="2"/>
      <c r="G16" s="13"/>
      <c r="H16" s="12"/>
      <c r="I16" s="2"/>
      <c r="J16" s="17"/>
      <c r="K16" s="12"/>
      <c r="L16" s="2"/>
      <c r="M16" s="17"/>
      <c r="N16" s="12"/>
      <c r="O16" s="2"/>
      <c r="P16" s="17"/>
      <c r="Q16" s="12"/>
      <c r="R16" s="2"/>
      <c r="S16" s="17"/>
      <c r="T16" s="12"/>
      <c r="U16" s="2"/>
      <c r="V16" s="17"/>
      <c r="W16" s="12"/>
      <c r="X16" s="2"/>
      <c r="Y16" s="17"/>
    </row>
    <row r="17" spans="1:25" hidden="1" x14ac:dyDescent="0.25">
      <c r="A17" s="6">
        <v>5.8999999999999997E-2</v>
      </c>
      <c r="B17" s="2">
        <v>1.7634904</v>
      </c>
      <c r="C17" s="2">
        <v>0.55005999999999999</v>
      </c>
      <c r="D17" s="2">
        <v>0.92671099999999995</v>
      </c>
      <c r="E17" s="12"/>
      <c r="F17" s="2"/>
      <c r="G17" s="13"/>
      <c r="H17" s="12"/>
      <c r="I17" s="2"/>
      <c r="J17" s="17"/>
      <c r="K17" s="12"/>
      <c r="L17" s="2"/>
      <c r="M17" s="17"/>
      <c r="N17" s="12"/>
      <c r="O17" s="2"/>
      <c r="P17" s="17"/>
      <c r="Q17" s="12"/>
      <c r="R17" s="2"/>
      <c r="S17" s="17"/>
      <c r="T17" s="12"/>
      <c r="U17" s="2"/>
      <c r="V17" s="17"/>
      <c r="W17" s="12"/>
      <c r="X17" s="2"/>
      <c r="Y17" s="17"/>
    </row>
    <row r="18" spans="1:25" hidden="1" x14ac:dyDescent="0.25">
      <c r="A18" s="6">
        <v>6.0499999999999998E-2</v>
      </c>
      <c r="B18" s="2">
        <v>1.8578264</v>
      </c>
      <c r="C18" s="2">
        <v>0.55773490000000003</v>
      </c>
      <c r="D18" s="2">
        <v>0.92562100000000003</v>
      </c>
      <c r="E18" s="12"/>
      <c r="F18" s="2"/>
      <c r="G18" s="13"/>
      <c r="H18" s="12"/>
      <c r="I18" s="2"/>
      <c r="J18" s="17"/>
      <c r="K18" s="12"/>
      <c r="L18" s="2"/>
      <c r="M18" s="17"/>
      <c r="N18" s="12"/>
      <c r="O18" s="2"/>
      <c r="P18" s="17"/>
      <c r="Q18" s="12"/>
      <c r="R18" s="2"/>
      <c r="S18" s="17"/>
      <c r="T18" s="12"/>
      <c r="U18" s="2"/>
      <c r="V18" s="17"/>
      <c r="W18" s="12"/>
      <c r="X18" s="2"/>
      <c r="Y18" s="17"/>
    </row>
    <row r="19" spans="1:25" hidden="1" x14ac:dyDescent="0.25">
      <c r="A19" s="6">
        <v>6.2E-2</v>
      </c>
      <c r="B19" s="2">
        <v>1.9549730000000001</v>
      </c>
      <c r="C19" s="2">
        <v>0.56750049999999996</v>
      </c>
      <c r="D19" s="2">
        <v>0.92550710000000003</v>
      </c>
      <c r="E19" s="12"/>
      <c r="F19" s="2"/>
      <c r="G19" s="13"/>
      <c r="H19" s="12"/>
      <c r="I19" s="2"/>
      <c r="J19" s="17"/>
      <c r="K19" s="12"/>
      <c r="L19" s="2"/>
      <c r="M19" s="17"/>
      <c r="N19" s="12"/>
      <c r="O19" s="2"/>
      <c r="P19" s="17"/>
      <c r="Q19" s="12"/>
      <c r="R19" s="2"/>
      <c r="S19" s="17"/>
      <c r="T19" s="12"/>
      <c r="U19" s="2"/>
      <c r="V19" s="17"/>
      <c r="W19" s="12"/>
      <c r="X19" s="2"/>
      <c r="Y19" s="17"/>
    </row>
    <row r="20" spans="1:25" hidden="1" x14ac:dyDescent="0.25">
      <c r="A20" s="6">
        <v>6.3600000000000004E-2</v>
      </c>
      <c r="B20" s="2">
        <v>2.017236</v>
      </c>
      <c r="C20" s="2">
        <v>0.57623270000000004</v>
      </c>
      <c r="D20" s="2">
        <v>0.92891690000000005</v>
      </c>
      <c r="E20" s="12"/>
      <c r="F20" s="2"/>
      <c r="G20" s="13"/>
      <c r="H20" s="12"/>
      <c r="I20" s="2"/>
      <c r="J20" s="17"/>
      <c r="K20" s="12"/>
      <c r="L20" s="2"/>
      <c r="M20" s="17"/>
      <c r="N20" s="12"/>
      <c r="O20" s="2"/>
      <c r="P20" s="17"/>
      <c r="Q20" s="12"/>
      <c r="R20" s="2"/>
      <c r="S20" s="17"/>
      <c r="T20" s="12"/>
      <c r="U20" s="2"/>
      <c r="V20" s="17"/>
      <c r="W20" s="12"/>
      <c r="X20" s="2"/>
      <c r="Y20" s="17"/>
    </row>
    <row r="21" spans="1:25" hidden="1" x14ac:dyDescent="0.25">
      <c r="A21" s="6">
        <v>6.5299999999999997E-2</v>
      </c>
      <c r="B21" s="2">
        <v>2.0177455000000002</v>
      </c>
      <c r="C21" s="2">
        <v>0.57639499999999999</v>
      </c>
      <c r="D21" s="2">
        <v>0.92711350000000003</v>
      </c>
      <c r="E21" s="12"/>
      <c r="F21" s="2"/>
      <c r="G21" s="13"/>
      <c r="H21" s="12"/>
      <c r="I21" s="2"/>
      <c r="J21" s="17"/>
      <c r="K21" s="12"/>
      <c r="L21" s="2"/>
      <c r="M21" s="17"/>
      <c r="N21" s="12"/>
      <c r="O21" s="2"/>
      <c r="P21" s="17"/>
      <c r="Q21" s="12"/>
      <c r="R21" s="2"/>
      <c r="S21" s="17"/>
      <c r="T21" s="12"/>
      <c r="U21" s="2"/>
      <c r="V21" s="17"/>
      <c r="W21" s="12"/>
      <c r="X21" s="2"/>
      <c r="Y21" s="17"/>
    </row>
    <row r="22" spans="1:25" hidden="1" x14ac:dyDescent="0.25">
      <c r="A22" s="6">
        <v>6.7000000000000004E-2</v>
      </c>
      <c r="B22" s="2">
        <v>2.0182419</v>
      </c>
      <c r="C22" s="2">
        <v>0.57692149999999998</v>
      </c>
      <c r="D22" s="2">
        <v>0.92466119999999996</v>
      </c>
      <c r="E22" s="12"/>
      <c r="F22" s="2"/>
      <c r="G22" s="13"/>
      <c r="H22" s="12"/>
      <c r="I22" s="2"/>
      <c r="J22" s="17"/>
      <c r="K22" s="12"/>
      <c r="L22" s="2"/>
      <c r="M22" s="17"/>
      <c r="N22" s="12"/>
      <c r="O22" s="2"/>
      <c r="P22" s="17"/>
      <c r="Q22" s="12"/>
      <c r="R22" s="2"/>
      <c r="S22" s="17"/>
      <c r="T22" s="12"/>
      <c r="U22" s="2"/>
      <c r="V22" s="17"/>
      <c r="W22" s="12"/>
      <c r="X22" s="2"/>
      <c r="Y22" s="17"/>
    </row>
    <row r="23" spans="1:25" hidden="1" x14ac:dyDescent="0.25">
      <c r="A23" s="6">
        <v>6.8900000000000003E-2</v>
      </c>
      <c r="B23" s="2">
        <v>2.0187883000000002</v>
      </c>
      <c r="C23" s="2">
        <v>0.57630729999999997</v>
      </c>
      <c r="D23" s="2">
        <v>0.9234523</v>
      </c>
      <c r="E23" s="12"/>
      <c r="F23" s="2"/>
      <c r="G23" s="13"/>
      <c r="H23" s="12"/>
      <c r="I23" s="2"/>
      <c r="J23" s="17"/>
      <c r="K23" s="12"/>
      <c r="L23" s="2"/>
      <c r="M23" s="17"/>
      <c r="N23" s="12"/>
      <c r="O23" s="2"/>
      <c r="P23" s="17"/>
      <c r="Q23" s="12"/>
      <c r="R23" s="2"/>
      <c r="S23" s="17"/>
      <c r="T23" s="12"/>
      <c r="U23" s="2"/>
      <c r="V23" s="17"/>
      <c r="W23" s="12"/>
      <c r="X23" s="2"/>
      <c r="Y23" s="17"/>
    </row>
    <row r="24" spans="1:25" hidden="1" x14ac:dyDescent="0.25">
      <c r="A24" s="6">
        <v>7.0800000000000002E-2</v>
      </c>
      <c r="B24" s="2">
        <v>2.0192828</v>
      </c>
      <c r="C24" s="2">
        <v>0.57441509999999996</v>
      </c>
      <c r="D24" s="2">
        <v>0.92430420000000002</v>
      </c>
      <c r="E24" s="12"/>
      <c r="F24" s="2"/>
      <c r="G24" s="13"/>
      <c r="H24" s="12"/>
      <c r="I24" s="2"/>
      <c r="J24" s="17"/>
      <c r="K24" s="12"/>
      <c r="L24" s="2"/>
      <c r="M24" s="17"/>
      <c r="N24" s="12"/>
      <c r="O24" s="2"/>
      <c r="P24" s="17"/>
      <c r="Q24" s="12"/>
      <c r="R24" s="2"/>
      <c r="S24" s="17"/>
      <c r="T24" s="12"/>
      <c r="U24" s="2"/>
      <c r="V24" s="17"/>
      <c r="W24" s="12"/>
      <c r="X24" s="2"/>
      <c r="Y24" s="17"/>
    </row>
    <row r="25" spans="1:25" hidden="1" x14ac:dyDescent="0.25">
      <c r="A25" s="6">
        <v>7.2900000000000006E-2</v>
      </c>
      <c r="B25" s="2">
        <v>2.0197978000000001</v>
      </c>
      <c r="C25" s="2">
        <v>0.57247320000000002</v>
      </c>
      <c r="D25" s="2">
        <v>0.92542990000000003</v>
      </c>
      <c r="E25" s="12"/>
      <c r="F25" s="2"/>
      <c r="G25" s="13"/>
      <c r="H25" s="12"/>
      <c r="I25" s="2"/>
      <c r="J25" s="17"/>
      <c r="K25" s="12"/>
      <c r="L25" s="2"/>
      <c r="M25" s="17"/>
      <c r="N25" s="12"/>
      <c r="O25" s="2"/>
      <c r="P25" s="17"/>
      <c r="Q25" s="12"/>
      <c r="R25" s="2"/>
      <c r="S25" s="17"/>
      <c r="T25" s="12"/>
      <c r="U25" s="2"/>
      <c r="V25" s="17"/>
      <c r="W25" s="12"/>
      <c r="X25" s="2"/>
      <c r="Y25" s="17"/>
    </row>
    <row r="26" spans="1:25" hidden="1" x14ac:dyDescent="0.25">
      <c r="A26" s="6">
        <v>7.3800000000000004E-2</v>
      </c>
      <c r="B26" s="2">
        <v>2.0200181000000001</v>
      </c>
      <c r="C26" s="2">
        <v>0.57169879999999995</v>
      </c>
      <c r="D26" s="2">
        <v>0.92586999999999997</v>
      </c>
      <c r="E26" s="12"/>
      <c r="F26" s="2"/>
      <c r="G26" s="13"/>
      <c r="H26" s="12"/>
      <c r="I26" s="2"/>
      <c r="J26" s="17"/>
      <c r="K26" s="12"/>
      <c r="L26" s="2"/>
      <c r="M26" s="17"/>
      <c r="N26" s="12"/>
      <c r="O26" s="2"/>
      <c r="P26" s="17"/>
      <c r="Q26" s="12"/>
      <c r="R26" s="2"/>
      <c r="S26" s="17"/>
      <c r="T26" s="12"/>
      <c r="U26" s="2"/>
      <c r="V26" s="17"/>
      <c r="W26" s="12"/>
      <c r="X26" s="2"/>
      <c r="Y26" s="17"/>
    </row>
    <row r="27" spans="1:25" hidden="1" x14ac:dyDescent="0.25">
      <c r="A27" s="6">
        <v>7.51E-2</v>
      </c>
      <c r="B27" s="2">
        <v>2.0203161000000001</v>
      </c>
      <c r="C27" s="2">
        <v>0.57032090000000002</v>
      </c>
      <c r="D27" s="2">
        <v>0.92700269999999996</v>
      </c>
      <c r="E27" s="12"/>
      <c r="F27" s="2"/>
      <c r="G27" s="13"/>
      <c r="H27" s="12"/>
      <c r="I27" s="2"/>
      <c r="J27" s="17"/>
      <c r="K27" s="12"/>
      <c r="L27" s="2"/>
      <c r="M27" s="17"/>
      <c r="N27" s="12"/>
      <c r="O27" s="2"/>
      <c r="P27" s="17"/>
      <c r="Q27" s="12"/>
      <c r="R27" s="2"/>
      <c r="S27" s="17"/>
      <c r="T27" s="12"/>
      <c r="U27" s="2"/>
      <c r="V27" s="17"/>
      <c r="W27" s="12"/>
      <c r="X27" s="2"/>
      <c r="Y27" s="17"/>
    </row>
    <row r="28" spans="1:25" hidden="1" x14ac:dyDescent="0.25">
      <c r="A28" s="6">
        <v>7.7499999999999999E-2</v>
      </c>
      <c r="B28" s="2">
        <v>2.0208526</v>
      </c>
      <c r="C28" s="2">
        <v>0.56832970000000005</v>
      </c>
      <c r="D28" s="2">
        <v>0.92857199999999995</v>
      </c>
      <c r="E28" s="12"/>
      <c r="F28" s="2"/>
      <c r="G28" s="13"/>
      <c r="H28" s="12"/>
      <c r="I28" s="2"/>
      <c r="J28" s="17"/>
      <c r="K28" s="12"/>
      <c r="L28" s="2"/>
      <c r="M28" s="17"/>
      <c r="N28" s="12"/>
      <c r="O28" s="2"/>
      <c r="P28" s="17"/>
      <c r="Q28" s="12"/>
      <c r="R28" s="2"/>
      <c r="S28" s="17"/>
      <c r="T28" s="12"/>
      <c r="U28" s="2"/>
      <c r="V28" s="17"/>
      <c r="W28" s="12"/>
      <c r="X28" s="2"/>
      <c r="Y28" s="17"/>
    </row>
    <row r="29" spans="1:25" hidden="1" x14ac:dyDescent="0.25">
      <c r="A29" s="6">
        <v>0.08</v>
      </c>
      <c r="B29" s="2">
        <v>2.0213757000000001</v>
      </c>
      <c r="C29" s="2">
        <v>0.56618349999999995</v>
      </c>
      <c r="D29" s="2">
        <v>0.93060980000000004</v>
      </c>
      <c r="E29" s="12"/>
      <c r="F29" s="2"/>
      <c r="G29" s="13"/>
      <c r="H29" s="12"/>
      <c r="I29" s="2"/>
      <c r="J29" s="17"/>
      <c r="K29" s="12"/>
      <c r="L29" s="2"/>
      <c r="M29" s="17"/>
      <c r="N29" s="12"/>
      <c r="O29" s="2"/>
      <c r="P29" s="17"/>
      <c r="Q29" s="12"/>
      <c r="R29" s="2"/>
      <c r="S29" s="17"/>
      <c r="T29" s="12"/>
      <c r="U29" s="2"/>
      <c r="V29" s="17"/>
      <c r="W29" s="12"/>
      <c r="X29" s="2"/>
      <c r="Y29" s="17"/>
    </row>
    <row r="30" spans="1:25" hidden="1" x14ac:dyDescent="0.25">
      <c r="A30" s="6">
        <v>8.2699999999999996E-2</v>
      </c>
      <c r="B30" s="2">
        <v>2.0219417000000002</v>
      </c>
      <c r="C30" s="2">
        <v>0.56497200000000003</v>
      </c>
      <c r="D30" s="2">
        <v>0.93144070000000001</v>
      </c>
      <c r="E30" s="12"/>
      <c r="F30" s="2"/>
      <c r="G30" s="13"/>
      <c r="H30" s="12"/>
      <c r="I30" s="2"/>
      <c r="J30" s="17"/>
      <c r="K30" s="12"/>
      <c r="L30" s="2"/>
      <c r="M30" s="17"/>
      <c r="N30" s="12"/>
      <c r="O30" s="2"/>
      <c r="P30" s="17"/>
      <c r="Q30" s="12"/>
      <c r="R30" s="2"/>
      <c r="S30" s="17"/>
      <c r="T30" s="12"/>
      <c r="U30" s="2"/>
      <c r="V30" s="17"/>
      <c r="W30" s="12"/>
      <c r="X30" s="2"/>
      <c r="Y30" s="17"/>
    </row>
    <row r="31" spans="1:25" hidden="1" x14ac:dyDescent="0.25">
      <c r="A31" s="6">
        <v>8.5500000000000007E-2</v>
      </c>
      <c r="B31" s="2">
        <v>2.0225996999999998</v>
      </c>
      <c r="C31" s="2">
        <v>0.56519280000000005</v>
      </c>
      <c r="D31" s="2">
        <v>0.92992189999999997</v>
      </c>
      <c r="E31" s="12"/>
      <c r="F31" s="2"/>
      <c r="G31" s="13"/>
      <c r="H31" s="12"/>
      <c r="I31" s="2"/>
      <c r="J31" s="17"/>
      <c r="K31" s="12"/>
      <c r="L31" s="2"/>
      <c r="M31" s="17"/>
      <c r="N31" s="12"/>
      <c r="O31" s="2"/>
      <c r="P31" s="17"/>
      <c r="Q31" s="12"/>
      <c r="R31" s="2"/>
      <c r="S31" s="17"/>
      <c r="T31" s="12"/>
      <c r="U31" s="2"/>
      <c r="V31" s="17"/>
      <c r="W31" s="12"/>
      <c r="X31" s="2"/>
      <c r="Y31" s="17"/>
    </row>
    <row r="32" spans="1:25" hidden="1" x14ac:dyDescent="0.25">
      <c r="A32" s="6">
        <v>8.8599999999999998E-2</v>
      </c>
      <c r="B32" s="2">
        <v>2.0233108999999998</v>
      </c>
      <c r="C32" s="2">
        <v>0.56351200000000001</v>
      </c>
      <c r="D32" s="2">
        <v>0.93083640000000001</v>
      </c>
      <c r="E32" s="12"/>
      <c r="F32" s="2"/>
      <c r="G32" s="13"/>
      <c r="H32" s="12"/>
      <c r="I32" s="2"/>
      <c r="J32" s="17"/>
      <c r="K32" s="12"/>
      <c r="L32" s="2"/>
      <c r="M32" s="17"/>
      <c r="N32" s="12"/>
      <c r="O32" s="2"/>
      <c r="P32" s="17"/>
      <c r="Q32" s="12"/>
      <c r="R32" s="2"/>
      <c r="S32" s="17"/>
      <c r="T32" s="12"/>
      <c r="U32" s="2"/>
      <c r="V32" s="17"/>
      <c r="W32" s="12"/>
      <c r="X32" s="2"/>
      <c r="Y32" s="17"/>
    </row>
    <row r="33" spans="1:25" hidden="1" x14ac:dyDescent="0.25">
      <c r="A33" s="6">
        <v>9.1800000000000007E-2</v>
      </c>
      <c r="B33" s="2">
        <v>2.0238328000000001</v>
      </c>
      <c r="C33" s="2">
        <v>0.55699589999999999</v>
      </c>
      <c r="D33" s="2">
        <v>0.93970679999999995</v>
      </c>
      <c r="E33" s="12"/>
      <c r="F33" s="2"/>
      <c r="G33" s="13"/>
      <c r="H33" s="12"/>
      <c r="I33" s="2"/>
      <c r="J33" s="17"/>
      <c r="K33" s="12"/>
      <c r="L33" s="2"/>
      <c r="M33" s="17"/>
      <c r="N33" s="12"/>
      <c r="O33" s="2"/>
      <c r="P33" s="17"/>
      <c r="Q33" s="12"/>
      <c r="R33" s="2"/>
      <c r="S33" s="17"/>
      <c r="T33" s="12"/>
      <c r="U33" s="2"/>
      <c r="V33" s="17"/>
      <c r="W33" s="12"/>
      <c r="X33" s="2"/>
      <c r="Y33" s="17"/>
    </row>
    <row r="34" spans="1:25" hidden="1" x14ac:dyDescent="0.25">
      <c r="A34" s="6">
        <v>9.2999999999999999E-2</v>
      </c>
      <c r="B34" s="2">
        <v>2.0239935</v>
      </c>
      <c r="C34" s="2">
        <v>0.55518310000000004</v>
      </c>
      <c r="D34" s="2">
        <v>0.94241799999999998</v>
      </c>
      <c r="E34" s="12"/>
      <c r="F34" s="2"/>
      <c r="G34" s="13"/>
      <c r="H34" s="12"/>
      <c r="I34" s="2"/>
      <c r="J34" s="17"/>
      <c r="K34" s="12"/>
      <c r="L34" s="2"/>
      <c r="M34" s="17"/>
      <c r="N34" s="12"/>
      <c r="O34" s="2"/>
      <c r="P34" s="17"/>
      <c r="Q34" s="12"/>
      <c r="R34" s="2"/>
      <c r="S34" s="17"/>
      <c r="T34" s="12"/>
      <c r="U34" s="2"/>
      <c r="V34" s="17"/>
      <c r="W34" s="12"/>
      <c r="X34" s="2"/>
      <c r="Y34" s="17"/>
    </row>
    <row r="35" spans="1:25" hidden="1" x14ac:dyDescent="0.25">
      <c r="A35" s="6">
        <v>9.5399999999999999E-2</v>
      </c>
      <c r="B35" s="2">
        <v>2.0243484999999999</v>
      </c>
      <c r="C35" s="2">
        <v>0.55323509999999998</v>
      </c>
      <c r="D35" s="2">
        <v>0.94532329999999998</v>
      </c>
      <c r="E35" s="12"/>
      <c r="F35" s="2"/>
      <c r="G35" s="13"/>
      <c r="H35" s="12"/>
      <c r="I35" s="2"/>
      <c r="J35" s="17"/>
      <c r="K35" s="12"/>
      <c r="L35" s="2"/>
      <c r="M35" s="17"/>
      <c r="N35" s="12"/>
      <c r="O35" s="2"/>
      <c r="P35" s="17"/>
      <c r="Q35" s="12"/>
      <c r="R35" s="2"/>
      <c r="S35" s="17"/>
      <c r="T35" s="12"/>
      <c r="U35" s="2"/>
      <c r="V35" s="17"/>
      <c r="W35" s="12"/>
      <c r="X35" s="2"/>
      <c r="Y35" s="17"/>
    </row>
    <row r="36" spans="1:25" hidden="1" x14ac:dyDescent="0.25">
      <c r="A36" s="6">
        <v>9.9199999999999997E-2</v>
      </c>
      <c r="B36" s="2">
        <v>2.0249758</v>
      </c>
      <c r="C36" s="2">
        <v>0.55175079999999999</v>
      </c>
      <c r="D36" s="2">
        <v>0.94735950000000002</v>
      </c>
      <c r="E36" s="12"/>
      <c r="F36" s="2"/>
      <c r="G36" s="13"/>
      <c r="H36" s="12"/>
      <c r="I36" s="2"/>
      <c r="J36" s="17"/>
      <c r="K36" s="12"/>
      <c r="L36" s="2"/>
      <c r="M36" s="17"/>
      <c r="N36" s="12"/>
      <c r="O36" s="2"/>
      <c r="P36" s="17"/>
      <c r="Q36" s="12"/>
      <c r="R36" s="2"/>
      <c r="S36" s="17"/>
      <c r="T36" s="12"/>
      <c r="U36" s="2"/>
      <c r="V36" s="17"/>
      <c r="W36" s="12"/>
      <c r="X36" s="2"/>
      <c r="Y36" s="17"/>
    </row>
    <row r="37" spans="1:25" hidden="1" x14ac:dyDescent="0.25">
      <c r="A37" s="6">
        <v>0.1033</v>
      </c>
      <c r="B37" s="2">
        <v>2.0256834000000001</v>
      </c>
      <c r="C37" s="2">
        <v>0.55027099999999995</v>
      </c>
      <c r="D37" s="2">
        <v>0.94924319999999995</v>
      </c>
      <c r="E37" s="12"/>
      <c r="F37" s="2"/>
      <c r="G37" s="13"/>
      <c r="H37" s="12"/>
      <c r="I37" s="2"/>
      <c r="J37" s="17"/>
      <c r="K37" s="12"/>
      <c r="L37" s="2"/>
      <c r="M37" s="17"/>
      <c r="N37" s="12"/>
      <c r="O37" s="2"/>
      <c r="P37" s="17"/>
      <c r="Q37" s="12"/>
      <c r="R37" s="2"/>
      <c r="S37" s="17"/>
      <c r="T37" s="12"/>
      <c r="U37" s="2"/>
      <c r="V37" s="17"/>
      <c r="W37" s="12"/>
      <c r="X37" s="2"/>
      <c r="Y37" s="17"/>
    </row>
    <row r="38" spans="1:25" hidden="1" x14ac:dyDescent="0.25">
      <c r="A38" s="6">
        <v>0.10780000000000001</v>
      </c>
      <c r="B38" s="2">
        <v>2.0264044000000001</v>
      </c>
      <c r="C38" s="2">
        <v>0.54732950000000002</v>
      </c>
      <c r="D38" s="2">
        <v>0.95337329999999998</v>
      </c>
      <c r="E38" s="12"/>
      <c r="F38" s="2"/>
      <c r="G38" s="13"/>
      <c r="H38" s="12"/>
      <c r="I38" s="2"/>
      <c r="J38" s="17"/>
      <c r="K38" s="12"/>
      <c r="L38" s="2"/>
      <c r="M38" s="17"/>
      <c r="N38" s="12"/>
      <c r="O38" s="2"/>
      <c r="P38" s="17"/>
      <c r="Q38" s="12"/>
      <c r="R38" s="2"/>
      <c r="S38" s="17"/>
      <c r="T38" s="12"/>
      <c r="U38" s="2"/>
      <c r="V38" s="17"/>
      <c r="W38" s="12"/>
      <c r="X38" s="2"/>
      <c r="Y38" s="17"/>
    </row>
    <row r="39" spans="1:25" hidden="1" x14ac:dyDescent="0.25">
      <c r="A39" s="6">
        <v>0.11</v>
      </c>
      <c r="B39" s="2">
        <v>2.0267154999999999</v>
      </c>
      <c r="C39" s="2">
        <v>0.54634799999999994</v>
      </c>
      <c r="D39" s="2">
        <v>0.95485580000000003</v>
      </c>
      <c r="E39" s="12"/>
      <c r="F39" s="2"/>
      <c r="G39" s="13"/>
      <c r="H39" s="12"/>
      <c r="I39" s="2"/>
      <c r="J39" s="17"/>
      <c r="K39" s="12"/>
      <c r="L39" s="2"/>
      <c r="M39" s="17"/>
      <c r="N39" s="12"/>
      <c r="O39" s="2"/>
      <c r="P39" s="17"/>
      <c r="Q39" s="12"/>
      <c r="R39" s="2"/>
      <c r="S39" s="17"/>
      <c r="T39" s="12"/>
      <c r="U39" s="2"/>
      <c r="V39" s="17"/>
      <c r="W39" s="12"/>
      <c r="X39" s="2"/>
      <c r="Y39" s="17"/>
    </row>
    <row r="40" spans="1:25" hidden="1" x14ac:dyDescent="0.25">
      <c r="A40" s="6">
        <v>0.11269999999999999</v>
      </c>
      <c r="B40" s="2">
        <v>2.0271056000000001</v>
      </c>
      <c r="C40" s="2">
        <v>0.54556689999999997</v>
      </c>
      <c r="D40" s="2">
        <v>0.95602719999999997</v>
      </c>
      <c r="E40" s="12"/>
      <c r="F40" s="2"/>
      <c r="G40" s="13"/>
      <c r="H40" s="12"/>
      <c r="I40" s="2"/>
      <c r="J40" s="17"/>
      <c r="K40" s="12"/>
      <c r="L40" s="2"/>
      <c r="M40" s="17"/>
      <c r="N40" s="12"/>
      <c r="O40" s="2"/>
      <c r="P40" s="17"/>
      <c r="Q40" s="12"/>
      <c r="R40" s="2"/>
      <c r="S40" s="17"/>
      <c r="T40" s="12"/>
      <c r="U40" s="2"/>
      <c r="V40" s="17"/>
      <c r="W40" s="12"/>
      <c r="X40" s="2"/>
      <c r="Y40" s="17"/>
    </row>
    <row r="41" spans="1:25" hidden="1" x14ac:dyDescent="0.25">
      <c r="A41" s="6">
        <v>0.114</v>
      </c>
      <c r="B41" s="2">
        <v>2.0272899</v>
      </c>
      <c r="C41" s="2">
        <v>0.54536370000000001</v>
      </c>
      <c r="D41" s="2">
        <v>0.95634949999999996</v>
      </c>
      <c r="E41" s="12"/>
      <c r="F41" s="2"/>
      <c r="G41" s="13"/>
      <c r="H41" s="12"/>
      <c r="I41" s="2"/>
      <c r="J41" s="17"/>
      <c r="K41" s="12"/>
      <c r="L41" s="2"/>
      <c r="M41" s="17"/>
      <c r="N41" s="12"/>
      <c r="O41" s="2"/>
      <c r="P41" s="17"/>
      <c r="Q41" s="12"/>
      <c r="R41" s="2"/>
      <c r="S41" s="17"/>
      <c r="T41" s="12"/>
      <c r="U41" s="2"/>
      <c r="V41" s="17"/>
      <c r="W41" s="12"/>
      <c r="X41" s="2"/>
      <c r="Y41" s="17"/>
    </row>
    <row r="42" spans="1:25" hidden="1" x14ac:dyDescent="0.25">
      <c r="A42" s="6">
        <v>0.1181</v>
      </c>
      <c r="B42" s="2">
        <v>2.0279226000000001</v>
      </c>
      <c r="C42" s="2">
        <v>0.54571150000000002</v>
      </c>
      <c r="D42" s="2">
        <v>0.95583289999999999</v>
      </c>
      <c r="E42" s="12"/>
      <c r="F42" s="2"/>
      <c r="G42" s="13"/>
      <c r="H42" s="12"/>
      <c r="I42" s="2"/>
      <c r="J42" s="17"/>
      <c r="K42" s="12"/>
      <c r="L42" s="2"/>
      <c r="M42" s="17"/>
      <c r="N42" s="12"/>
      <c r="O42" s="2"/>
      <c r="P42" s="17"/>
      <c r="Q42" s="12"/>
      <c r="R42" s="2"/>
      <c r="S42" s="17"/>
      <c r="T42" s="12"/>
      <c r="U42" s="2"/>
      <c r="V42" s="17"/>
      <c r="W42" s="12"/>
      <c r="X42" s="2"/>
      <c r="Y42" s="17"/>
    </row>
    <row r="43" spans="1:25" hidden="1" x14ac:dyDescent="0.25">
      <c r="A43" s="6">
        <v>0.121</v>
      </c>
      <c r="B43" s="2">
        <v>2.0284455000000001</v>
      </c>
      <c r="C43" s="2">
        <v>0.54670850000000004</v>
      </c>
      <c r="D43" s="2">
        <v>0.95420729999999998</v>
      </c>
      <c r="E43" s="12"/>
      <c r="F43" s="2"/>
      <c r="G43" s="13"/>
      <c r="H43" s="12"/>
      <c r="I43" s="2"/>
      <c r="J43" s="17"/>
      <c r="K43" s="12"/>
      <c r="L43" s="2"/>
      <c r="M43" s="17"/>
      <c r="N43" s="12"/>
      <c r="O43" s="2"/>
      <c r="P43" s="17"/>
      <c r="Q43" s="12"/>
      <c r="R43" s="2"/>
      <c r="S43" s="17"/>
      <c r="T43" s="12"/>
      <c r="U43" s="2"/>
      <c r="V43" s="17"/>
      <c r="W43" s="12"/>
      <c r="X43" s="2"/>
      <c r="Y43" s="17"/>
    </row>
    <row r="44" spans="1:25" hidden="1" x14ac:dyDescent="0.25">
      <c r="A44" s="6">
        <v>0.124</v>
      </c>
      <c r="B44" s="2">
        <v>2.0290140999999999</v>
      </c>
      <c r="C44" s="2">
        <v>0.54612709999999998</v>
      </c>
      <c r="D44" s="2">
        <v>0.95472979999999996</v>
      </c>
      <c r="E44" s="12"/>
      <c r="F44" s="2"/>
      <c r="G44" s="13"/>
      <c r="H44" s="12"/>
      <c r="I44" s="2"/>
      <c r="J44" s="17"/>
      <c r="K44" s="12"/>
      <c r="L44" s="2"/>
      <c r="M44" s="17"/>
      <c r="N44" s="12"/>
      <c r="O44" s="2"/>
      <c r="P44" s="17"/>
      <c r="Q44" s="12"/>
      <c r="R44" s="2"/>
      <c r="S44" s="17"/>
      <c r="T44" s="12"/>
      <c r="U44" s="2"/>
      <c r="V44" s="17"/>
      <c r="W44" s="12"/>
      <c r="X44" s="2"/>
      <c r="Y44" s="17"/>
    </row>
    <row r="45" spans="1:25" hidden="1" x14ac:dyDescent="0.25">
      <c r="A45" s="6">
        <v>0.12720000000000001</v>
      </c>
      <c r="B45" s="2">
        <v>2.0295382000000002</v>
      </c>
      <c r="C45" s="2">
        <v>0.54418849999999996</v>
      </c>
      <c r="D45" s="2">
        <v>0.95739629999999998</v>
      </c>
      <c r="E45" s="12"/>
      <c r="F45" s="2"/>
      <c r="G45" s="13"/>
      <c r="H45" s="12"/>
      <c r="I45" s="2"/>
      <c r="J45" s="17"/>
      <c r="K45" s="12"/>
      <c r="L45" s="2"/>
      <c r="M45" s="17"/>
      <c r="N45" s="12"/>
      <c r="O45" s="2"/>
      <c r="P45" s="17"/>
      <c r="Q45" s="12"/>
      <c r="R45" s="2"/>
      <c r="S45" s="17"/>
      <c r="T45" s="12"/>
      <c r="U45" s="2"/>
      <c r="V45" s="17"/>
      <c r="W45" s="12"/>
      <c r="X45" s="2"/>
      <c r="Y45" s="17"/>
    </row>
    <row r="46" spans="1:25" hidden="1" x14ac:dyDescent="0.25">
      <c r="A46" s="6">
        <v>0.1295</v>
      </c>
      <c r="B46" s="2">
        <v>2.0298359000000001</v>
      </c>
      <c r="C46" s="2">
        <v>0.54168769999999999</v>
      </c>
      <c r="D46" s="2">
        <v>0.96102259999999995</v>
      </c>
      <c r="E46" s="12"/>
      <c r="F46" s="2"/>
      <c r="G46" s="13"/>
      <c r="H46" s="12"/>
      <c r="I46" s="2"/>
      <c r="J46" s="17"/>
      <c r="K46" s="12"/>
      <c r="L46" s="2"/>
      <c r="M46" s="17"/>
      <c r="N46" s="12"/>
      <c r="O46" s="2"/>
      <c r="P46" s="17"/>
      <c r="Q46" s="12"/>
      <c r="R46" s="2"/>
      <c r="S46" s="17"/>
      <c r="T46" s="12"/>
      <c r="U46" s="2"/>
      <c r="V46" s="17"/>
      <c r="W46" s="12"/>
      <c r="X46" s="2"/>
      <c r="Y46" s="17"/>
    </row>
    <row r="47" spans="1:25" hidden="1" x14ac:dyDescent="0.25">
      <c r="A47" s="6">
        <v>0.1305</v>
      </c>
      <c r="B47" s="2">
        <v>2.0298934000000002</v>
      </c>
      <c r="C47" s="2">
        <v>0.54045330000000003</v>
      </c>
      <c r="D47" s="2">
        <v>0.96288200000000002</v>
      </c>
      <c r="E47" s="12"/>
      <c r="F47" s="2"/>
      <c r="G47" s="13"/>
      <c r="H47" s="12"/>
      <c r="I47" s="2"/>
      <c r="J47" s="17"/>
      <c r="K47" s="12"/>
      <c r="L47" s="2"/>
      <c r="M47" s="17"/>
      <c r="N47" s="12"/>
      <c r="O47" s="2"/>
      <c r="P47" s="17"/>
      <c r="Q47" s="12"/>
      <c r="R47" s="2"/>
      <c r="S47" s="17"/>
      <c r="T47" s="12"/>
      <c r="U47" s="2"/>
      <c r="V47" s="17"/>
      <c r="W47" s="12"/>
      <c r="X47" s="2"/>
      <c r="Y47" s="17"/>
    </row>
    <row r="48" spans="1:25" hidden="1" x14ac:dyDescent="0.25">
      <c r="A48" s="6">
        <v>0.13189999999999999</v>
      </c>
      <c r="B48" s="2">
        <v>2.0299195999999999</v>
      </c>
      <c r="C48" s="2">
        <v>0.53943629999999998</v>
      </c>
      <c r="D48" s="2">
        <v>0.9645241</v>
      </c>
      <c r="E48" s="12"/>
      <c r="F48" s="2"/>
      <c r="G48" s="13"/>
      <c r="H48" s="12"/>
      <c r="I48" s="2"/>
      <c r="J48" s="17"/>
      <c r="K48" s="12"/>
      <c r="L48" s="2"/>
      <c r="M48" s="17"/>
      <c r="N48" s="12"/>
      <c r="O48" s="2"/>
      <c r="P48" s="17"/>
      <c r="Q48" s="12"/>
      <c r="R48" s="2"/>
      <c r="S48" s="17"/>
      <c r="T48" s="12"/>
      <c r="U48" s="2"/>
      <c r="V48" s="17"/>
      <c r="W48" s="12"/>
      <c r="X48" s="2"/>
      <c r="Y48" s="17"/>
    </row>
    <row r="49" spans="1:25" hidden="1" x14ac:dyDescent="0.25">
      <c r="A49" s="6">
        <v>0.1333</v>
      </c>
      <c r="B49" s="2">
        <v>2.0299252999999999</v>
      </c>
      <c r="C49" s="2">
        <v>0.53911560000000003</v>
      </c>
      <c r="D49" s="2">
        <v>0.96522439999999998</v>
      </c>
      <c r="E49" s="12"/>
      <c r="F49" s="2"/>
      <c r="G49" s="13"/>
      <c r="H49" s="12"/>
      <c r="I49" s="2"/>
      <c r="J49" s="17"/>
      <c r="K49" s="12"/>
      <c r="L49" s="2"/>
      <c r="M49" s="17"/>
      <c r="N49" s="12"/>
      <c r="O49" s="2"/>
      <c r="P49" s="17"/>
      <c r="Q49" s="12"/>
      <c r="R49" s="2"/>
      <c r="S49" s="17"/>
      <c r="T49" s="12"/>
      <c r="U49" s="2"/>
      <c r="V49" s="17"/>
      <c r="W49" s="12"/>
      <c r="X49" s="2"/>
      <c r="Y49" s="17"/>
    </row>
    <row r="50" spans="1:25" hidden="1" x14ac:dyDescent="0.25">
      <c r="A50" s="6">
        <v>0.1348</v>
      </c>
      <c r="B50" s="2">
        <v>2.0299113000000002</v>
      </c>
      <c r="C50" s="2">
        <v>0.53928419999999999</v>
      </c>
      <c r="D50" s="2">
        <v>0.96532949999999995</v>
      </c>
      <c r="E50" s="12"/>
      <c r="F50" s="2"/>
      <c r="G50" s="13"/>
      <c r="H50" s="12"/>
      <c r="I50" s="2"/>
      <c r="J50" s="17"/>
      <c r="K50" s="12"/>
      <c r="L50" s="2"/>
      <c r="M50" s="17"/>
      <c r="N50" s="12"/>
      <c r="O50" s="2"/>
      <c r="P50" s="17"/>
      <c r="Q50" s="12"/>
      <c r="R50" s="2"/>
      <c r="S50" s="17"/>
      <c r="T50" s="12"/>
      <c r="U50" s="2"/>
      <c r="V50" s="17"/>
      <c r="W50" s="12"/>
      <c r="X50" s="2"/>
      <c r="Y50" s="17"/>
    </row>
    <row r="51" spans="1:25" hidden="1" x14ac:dyDescent="0.25">
      <c r="A51" s="6">
        <v>0.13619999999999999</v>
      </c>
      <c r="B51" s="2">
        <v>2.0298774000000002</v>
      </c>
      <c r="C51" s="2">
        <v>0.5406512</v>
      </c>
      <c r="D51" s="2">
        <v>0.9639278</v>
      </c>
      <c r="E51" s="12"/>
      <c r="F51" s="2"/>
      <c r="G51" s="13"/>
      <c r="H51" s="12"/>
      <c r="I51" s="2"/>
      <c r="J51" s="17"/>
      <c r="K51" s="12"/>
      <c r="L51" s="2"/>
      <c r="M51" s="17"/>
      <c r="N51" s="12"/>
      <c r="O51" s="2"/>
      <c r="P51" s="17"/>
      <c r="Q51" s="12"/>
      <c r="R51" s="2"/>
      <c r="S51" s="17"/>
      <c r="T51" s="12"/>
      <c r="U51" s="2"/>
      <c r="V51" s="17"/>
      <c r="W51" s="12"/>
      <c r="X51" s="2"/>
      <c r="Y51" s="17"/>
    </row>
    <row r="52" spans="1:25" hidden="1" x14ac:dyDescent="0.25">
      <c r="A52" s="6">
        <v>0.13700000000000001</v>
      </c>
      <c r="B52" s="2">
        <v>2.0299377000000001</v>
      </c>
      <c r="C52" s="2">
        <v>0.54281559999999995</v>
      </c>
      <c r="D52" s="2">
        <v>0.96124330000000002</v>
      </c>
      <c r="E52" s="12"/>
      <c r="F52" s="2"/>
      <c r="G52" s="13"/>
      <c r="H52" s="12"/>
      <c r="I52" s="2"/>
      <c r="J52" s="17"/>
      <c r="K52" s="12"/>
      <c r="L52" s="2"/>
      <c r="M52" s="17"/>
      <c r="N52" s="12"/>
      <c r="O52" s="2"/>
      <c r="P52" s="17"/>
      <c r="Q52" s="12"/>
      <c r="R52" s="2"/>
      <c r="S52" s="17"/>
      <c r="T52" s="12"/>
      <c r="U52" s="2"/>
      <c r="V52" s="17"/>
      <c r="W52" s="12"/>
      <c r="X52" s="2"/>
      <c r="Y52" s="17"/>
    </row>
    <row r="53" spans="1:25" hidden="1" x14ac:dyDescent="0.25">
      <c r="A53" s="6">
        <v>0.13780000000000001</v>
      </c>
      <c r="B53" s="2">
        <v>2.0300505000000002</v>
      </c>
      <c r="C53" s="2">
        <v>0.54434859999999996</v>
      </c>
      <c r="D53" s="2">
        <v>0.95927070000000003</v>
      </c>
      <c r="E53" s="12"/>
      <c r="F53" s="2"/>
      <c r="G53" s="13"/>
      <c r="H53" s="12"/>
      <c r="I53" s="2"/>
      <c r="J53" s="17"/>
      <c r="K53" s="12"/>
      <c r="L53" s="2"/>
      <c r="M53" s="17"/>
      <c r="N53" s="12"/>
      <c r="O53" s="2"/>
      <c r="P53" s="17"/>
      <c r="Q53" s="12"/>
      <c r="R53" s="2"/>
      <c r="S53" s="17"/>
      <c r="T53" s="12"/>
      <c r="U53" s="2"/>
      <c r="V53" s="17"/>
      <c r="W53" s="12"/>
      <c r="X53" s="2"/>
      <c r="Y53" s="17"/>
    </row>
    <row r="54" spans="1:25" hidden="1" x14ac:dyDescent="0.25">
      <c r="A54" s="6">
        <v>0.13869999999999999</v>
      </c>
      <c r="B54" s="2">
        <v>2.0303298999999999</v>
      </c>
      <c r="C54" s="2">
        <v>0.54874480000000003</v>
      </c>
      <c r="D54" s="2">
        <v>0.953233</v>
      </c>
      <c r="E54" s="12"/>
      <c r="F54" s="2"/>
      <c r="G54" s="13"/>
      <c r="H54" s="12"/>
      <c r="I54" s="2"/>
      <c r="J54" s="17"/>
      <c r="K54" s="12"/>
      <c r="L54" s="2"/>
      <c r="M54" s="17"/>
      <c r="N54" s="12"/>
      <c r="O54" s="2"/>
      <c r="P54" s="17"/>
      <c r="Q54" s="12"/>
      <c r="R54" s="2"/>
      <c r="S54" s="17"/>
      <c r="T54" s="12"/>
      <c r="U54" s="2"/>
      <c r="V54" s="17"/>
      <c r="W54" s="12"/>
      <c r="X54" s="2"/>
      <c r="Y54" s="17"/>
    </row>
    <row r="55" spans="1:25" hidden="1" x14ac:dyDescent="0.25">
      <c r="A55" s="6">
        <v>0.13930000000000001</v>
      </c>
      <c r="B55" s="2">
        <v>2.0305819999999999</v>
      </c>
      <c r="C55" s="2">
        <v>0.55024110000000004</v>
      </c>
      <c r="D55" s="2">
        <v>0.95081950000000004</v>
      </c>
      <c r="E55" s="12"/>
      <c r="F55" s="2"/>
      <c r="G55" s="13"/>
      <c r="H55" s="12"/>
      <c r="I55" s="2"/>
      <c r="J55" s="17"/>
      <c r="K55" s="12"/>
      <c r="L55" s="2"/>
      <c r="M55" s="17"/>
      <c r="N55" s="12"/>
      <c r="O55" s="2"/>
      <c r="P55" s="17"/>
      <c r="Q55" s="12"/>
      <c r="R55" s="2"/>
      <c r="S55" s="17"/>
      <c r="T55" s="12"/>
      <c r="U55" s="2"/>
      <c r="V55" s="17"/>
      <c r="W55" s="12"/>
      <c r="X55" s="2"/>
      <c r="Y55" s="17"/>
    </row>
    <row r="56" spans="1:25" hidden="1" x14ac:dyDescent="0.25">
      <c r="A56" s="6">
        <v>0.1409</v>
      </c>
      <c r="B56" s="2">
        <v>2.0311889999999999</v>
      </c>
      <c r="C56" s="2">
        <v>0.55498840000000005</v>
      </c>
      <c r="D56" s="2">
        <v>0.9433492</v>
      </c>
      <c r="E56" s="12"/>
      <c r="F56" s="2"/>
      <c r="G56" s="13"/>
      <c r="H56" s="12"/>
      <c r="I56" s="2"/>
      <c r="J56" s="17"/>
      <c r="K56" s="12"/>
      <c r="L56" s="2"/>
      <c r="M56" s="17"/>
      <c r="N56" s="12"/>
      <c r="O56" s="2"/>
      <c r="P56" s="17"/>
      <c r="Q56" s="12"/>
      <c r="R56" s="2"/>
      <c r="S56" s="17"/>
      <c r="T56" s="12"/>
      <c r="U56" s="2"/>
      <c r="V56" s="17"/>
      <c r="W56" s="12"/>
      <c r="X56" s="2"/>
      <c r="Y56" s="17"/>
    </row>
    <row r="57" spans="1:25" hidden="1" x14ac:dyDescent="0.25">
      <c r="A57" s="6">
        <v>0.14249999999999999</v>
      </c>
      <c r="B57" s="2">
        <v>2.0317992999999999</v>
      </c>
      <c r="C57" s="2">
        <v>0.55856570000000005</v>
      </c>
      <c r="D57" s="2">
        <v>0.93711500000000003</v>
      </c>
      <c r="E57" s="12"/>
      <c r="F57" s="2"/>
      <c r="G57" s="13"/>
      <c r="H57" s="12"/>
      <c r="I57" s="2"/>
      <c r="J57" s="17"/>
      <c r="K57" s="12"/>
      <c r="L57" s="2"/>
      <c r="M57" s="17"/>
      <c r="N57" s="12"/>
      <c r="O57" s="2"/>
      <c r="P57" s="17"/>
      <c r="Q57" s="12"/>
      <c r="R57" s="2"/>
      <c r="S57" s="17"/>
      <c r="T57" s="12"/>
      <c r="U57" s="2"/>
      <c r="V57" s="17"/>
      <c r="W57" s="12"/>
      <c r="X57" s="2"/>
      <c r="Y57" s="17"/>
    </row>
    <row r="58" spans="1:25" hidden="1" x14ac:dyDescent="0.25">
      <c r="A58" s="6">
        <v>0.14349999999999999</v>
      </c>
      <c r="B58" s="2">
        <v>2.0321669999999998</v>
      </c>
      <c r="C58" s="2">
        <v>0.56054749999999998</v>
      </c>
      <c r="D58" s="2">
        <v>0.9334673</v>
      </c>
      <c r="E58" s="12"/>
      <c r="F58" s="2"/>
      <c r="G58" s="13"/>
      <c r="H58" s="12"/>
      <c r="I58" s="2"/>
      <c r="J58" s="17"/>
      <c r="K58" s="12"/>
      <c r="L58" s="2"/>
      <c r="M58" s="17"/>
      <c r="N58" s="12"/>
      <c r="O58" s="2"/>
      <c r="P58" s="17"/>
      <c r="Q58" s="12"/>
      <c r="R58" s="2"/>
      <c r="S58" s="17"/>
      <c r="T58" s="12"/>
      <c r="U58" s="2"/>
      <c r="V58" s="17"/>
      <c r="W58" s="12"/>
      <c r="X58" s="2"/>
      <c r="Y58" s="17"/>
    </row>
    <row r="59" spans="1:25" hidden="1" x14ac:dyDescent="0.25">
      <c r="A59" s="6">
        <v>0.14419999999999999</v>
      </c>
      <c r="B59" s="2">
        <v>2.0324225</v>
      </c>
      <c r="C59" s="2">
        <v>0.56178070000000002</v>
      </c>
      <c r="D59" s="2">
        <v>0.93105519999999997</v>
      </c>
      <c r="E59" s="12"/>
      <c r="F59" s="2"/>
      <c r="G59" s="13"/>
      <c r="H59" s="12"/>
      <c r="I59" s="2"/>
      <c r="J59" s="17"/>
      <c r="K59" s="12"/>
      <c r="L59" s="2"/>
      <c r="M59" s="17"/>
      <c r="N59" s="12"/>
      <c r="O59" s="2"/>
      <c r="P59" s="17"/>
      <c r="Q59" s="12"/>
      <c r="R59" s="2"/>
      <c r="S59" s="17"/>
      <c r="T59" s="12"/>
      <c r="U59" s="2"/>
      <c r="V59" s="17"/>
      <c r="W59" s="12"/>
      <c r="X59" s="2"/>
      <c r="Y59" s="17"/>
    </row>
    <row r="60" spans="1:25" hidden="1" x14ac:dyDescent="0.25">
      <c r="A60" s="6">
        <v>0.14499999999999999</v>
      </c>
      <c r="B60" s="2">
        <v>2.0326569000000001</v>
      </c>
      <c r="C60" s="2">
        <v>0.56207110000000005</v>
      </c>
      <c r="D60" s="2">
        <v>0.93004609999999999</v>
      </c>
      <c r="E60" s="12"/>
      <c r="F60" s="2"/>
      <c r="G60" s="13"/>
      <c r="H60" s="12"/>
      <c r="I60" s="2"/>
      <c r="J60" s="17"/>
      <c r="K60" s="12"/>
      <c r="L60" s="2"/>
      <c r="M60" s="17"/>
      <c r="N60" s="12"/>
      <c r="O60" s="2"/>
      <c r="P60" s="17"/>
      <c r="Q60" s="12"/>
      <c r="R60" s="2"/>
      <c r="S60" s="17"/>
      <c r="T60" s="12"/>
      <c r="U60" s="2"/>
      <c r="V60" s="17"/>
      <c r="W60" s="12"/>
      <c r="X60" s="2"/>
      <c r="Y60" s="17"/>
    </row>
    <row r="61" spans="1:25" hidden="1" x14ac:dyDescent="0.25">
      <c r="A61" s="6">
        <v>0.1459</v>
      </c>
      <c r="B61" s="2">
        <v>2.0329084000000002</v>
      </c>
      <c r="C61" s="2">
        <v>0.56287209999999999</v>
      </c>
      <c r="D61" s="2">
        <v>0.92827780000000004</v>
      </c>
      <c r="E61" s="12"/>
      <c r="F61" s="2"/>
      <c r="G61" s="13"/>
      <c r="H61" s="12"/>
      <c r="I61" s="2"/>
      <c r="J61" s="17"/>
      <c r="K61" s="12"/>
      <c r="L61" s="2"/>
      <c r="M61" s="17"/>
      <c r="N61" s="12"/>
      <c r="O61" s="2"/>
      <c r="P61" s="17"/>
      <c r="Q61" s="12"/>
      <c r="R61" s="2"/>
      <c r="S61" s="17"/>
      <c r="T61" s="12"/>
      <c r="U61" s="2"/>
      <c r="V61" s="17"/>
      <c r="W61" s="12"/>
      <c r="X61" s="2"/>
      <c r="Y61" s="17"/>
    </row>
    <row r="62" spans="1:25" hidden="1" x14ac:dyDescent="0.25">
      <c r="A62" s="6">
        <v>0.14680000000000001</v>
      </c>
      <c r="B62" s="2">
        <v>2.033102</v>
      </c>
      <c r="C62" s="2">
        <v>0.56222950000000005</v>
      </c>
      <c r="D62" s="2">
        <v>0.92879210000000001</v>
      </c>
      <c r="E62" s="12"/>
      <c r="F62" s="2"/>
      <c r="G62" s="13"/>
      <c r="H62" s="12"/>
      <c r="I62" s="2"/>
      <c r="J62" s="17"/>
      <c r="K62" s="12"/>
      <c r="L62" s="2"/>
      <c r="M62" s="17"/>
      <c r="N62" s="12"/>
      <c r="O62" s="2"/>
      <c r="P62" s="17"/>
      <c r="Q62" s="12"/>
      <c r="R62" s="2"/>
      <c r="S62" s="17"/>
      <c r="T62" s="12"/>
      <c r="U62" s="2"/>
      <c r="V62" s="17"/>
      <c r="W62" s="12"/>
      <c r="X62" s="2"/>
      <c r="Y62" s="17"/>
    </row>
    <row r="63" spans="1:25" hidden="1" x14ac:dyDescent="0.25">
      <c r="A63" s="6">
        <v>0.14760000000000001</v>
      </c>
      <c r="B63" s="2">
        <v>2.0332748999999999</v>
      </c>
      <c r="C63" s="2">
        <v>0.56252469999999999</v>
      </c>
      <c r="D63" s="2">
        <v>0.92803659999999999</v>
      </c>
      <c r="E63" s="12"/>
      <c r="F63" s="2"/>
      <c r="G63" s="13"/>
      <c r="H63" s="12"/>
      <c r="I63" s="2"/>
      <c r="J63" s="17"/>
      <c r="K63" s="12"/>
      <c r="L63" s="2"/>
      <c r="M63" s="17"/>
      <c r="N63" s="12"/>
      <c r="O63" s="2"/>
      <c r="P63" s="17"/>
      <c r="Q63" s="12"/>
      <c r="R63" s="2"/>
      <c r="S63" s="17"/>
      <c r="T63" s="12"/>
      <c r="U63" s="2"/>
      <c r="V63" s="17"/>
      <c r="W63" s="12"/>
      <c r="X63" s="2"/>
      <c r="Y63" s="17"/>
    </row>
    <row r="64" spans="1:25" hidden="1" x14ac:dyDescent="0.25">
      <c r="A64" s="6">
        <v>0.14799999999999999</v>
      </c>
      <c r="B64" s="2">
        <v>2.0333578999999999</v>
      </c>
      <c r="C64" s="2">
        <v>0.56223699999999999</v>
      </c>
      <c r="D64" s="2">
        <v>0.92828239999999995</v>
      </c>
      <c r="E64" s="12"/>
      <c r="F64" s="2"/>
      <c r="G64" s="13"/>
      <c r="H64" s="12"/>
      <c r="I64" s="2"/>
      <c r="J64" s="17"/>
      <c r="K64" s="12"/>
      <c r="L64" s="2"/>
      <c r="M64" s="17"/>
      <c r="N64" s="12"/>
      <c r="O64" s="2"/>
      <c r="P64" s="17"/>
      <c r="Q64" s="12"/>
      <c r="R64" s="2"/>
      <c r="S64" s="17"/>
      <c r="T64" s="12"/>
      <c r="U64" s="2"/>
      <c r="V64" s="17"/>
      <c r="W64" s="12"/>
      <c r="X64" s="2"/>
      <c r="Y64" s="17"/>
    </row>
    <row r="65" spans="1:25" hidden="1" x14ac:dyDescent="0.25">
      <c r="A65" s="6">
        <v>0.14849999999999999</v>
      </c>
      <c r="B65" s="2">
        <v>2.0334414999999999</v>
      </c>
      <c r="C65" s="2">
        <v>0.56172449999999996</v>
      </c>
      <c r="D65" s="2">
        <v>0.92894319999999997</v>
      </c>
      <c r="E65" s="12"/>
      <c r="F65" s="2"/>
      <c r="G65" s="13"/>
      <c r="H65" s="12"/>
      <c r="I65" s="2"/>
      <c r="J65" s="17"/>
      <c r="K65" s="12"/>
      <c r="L65" s="2"/>
      <c r="M65" s="17"/>
      <c r="N65" s="12"/>
      <c r="O65" s="2"/>
      <c r="P65" s="17"/>
      <c r="Q65" s="12"/>
      <c r="R65" s="2"/>
      <c r="S65" s="17"/>
      <c r="T65" s="12"/>
      <c r="U65" s="2"/>
      <c r="V65" s="17"/>
      <c r="W65" s="12"/>
      <c r="X65" s="2"/>
      <c r="Y65" s="17"/>
    </row>
    <row r="66" spans="1:25" hidden="1" x14ac:dyDescent="0.25">
      <c r="A66" s="6">
        <v>0.14940000000000001</v>
      </c>
      <c r="B66" s="2">
        <v>2.0335917000000001</v>
      </c>
      <c r="C66" s="2">
        <v>0.56108959999999997</v>
      </c>
      <c r="D66" s="2">
        <v>0.92974429999999997</v>
      </c>
      <c r="E66" s="12"/>
      <c r="F66" s="2"/>
      <c r="G66" s="13"/>
      <c r="H66" s="12"/>
      <c r="I66" s="2"/>
      <c r="J66" s="17"/>
      <c r="K66" s="12"/>
      <c r="L66" s="2"/>
      <c r="M66" s="17"/>
      <c r="N66" s="12"/>
      <c r="O66" s="2"/>
      <c r="P66" s="17"/>
      <c r="Q66" s="12"/>
      <c r="R66" s="2"/>
      <c r="S66" s="17"/>
      <c r="T66" s="12"/>
      <c r="U66" s="2"/>
      <c r="V66" s="17"/>
      <c r="W66" s="12"/>
      <c r="X66" s="2"/>
      <c r="Y66" s="17"/>
    </row>
    <row r="67" spans="1:25" hidden="1" x14ac:dyDescent="0.25">
      <c r="A67" s="6">
        <v>0.1512</v>
      </c>
      <c r="B67" s="2">
        <v>2.0338780999999999</v>
      </c>
      <c r="C67" s="2">
        <v>0.55961570000000005</v>
      </c>
      <c r="D67" s="2">
        <v>0.93179769999999995</v>
      </c>
      <c r="E67" s="12"/>
      <c r="F67" s="2"/>
      <c r="G67" s="13"/>
      <c r="H67" s="12"/>
      <c r="I67" s="2"/>
      <c r="J67" s="17"/>
      <c r="K67" s="12"/>
      <c r="L67" s="2"/>
      <c r="M67" s="17"/>
      <c r="N67" s="12"/>
      <c r="O67" s="2"/>
      <c r="P67" s="17"/>
      <c r="Q67" s="12"/>
      <c r="R67" s="2"/>
      <c r="S67" s="17"/>
      <c r="T67" s="12"/>
      <c r="U67" s="2"/>
      <c r="V67" s="17"/>
      <c r="W67" s="12"/>
      <c r="X67" s="2"/>
      <c r="Y67" s="17"/>
    </row>
    <row r="68" spans="1:25" hidden="1" x14ac:dyDescent="0.25">
      <c r="A68" s="6">
        <v>0.15310000000000001</v>
      </c>
      <c r="B68" s="2">
        <v>2.0341909</v>
      </c>
      <c r="C68" s="2">
        <v>0.55915380000000003</v>
      </c>
      <c r="D68" s="2">
        <v>0.93231889999999995</v>
      </c>
      <c r="E68" s="12"/>
      <c r="F68" s="2"/>
      <c r="G68" s="13"/>
      <c r="H68" s="12"/>
      <c r="I68" s="2"/>
      <c r="J68" s="17"/>
      <c r="K68" s="12"/>
      <c r="L68" s="2"/>
      <c r="M68" s="17"/>
      <c r="N68" s="12"/>
      <c r="O68" s="2"/>
      <c r="P68" s="17"/>
      <c r="Q68" s="12"/>
      <c r="R68" s="2"/>
      <c r="S68" s="17"/>
      <c r="T68" s="12"/>
      <c r="U68" s="2"/>
      <c r="V68" s="17"/>
      <c r="W68" s="12"/>
      <c r="X68" s="2"/>
      <c r="Y68" s="17"/>
    </row>
    <row r="69" spans="1:25" hidden="1" x14ac:dyDescent="0.25">
      <c r="A69" s="6">
        <v>0.154</v>
      </c>
      <c r="B69" s="2">
        <v>2.0343458999999999</v>
      </c>
      <c r="C69" s="2">
        <v>0.55859429999999999</v>
      </c>
      <c r="D69" s="2">
        <v>0.93308250000000004</v>
      </c>
      <c r="E69" s="12"/>
      <c r="F69" s="2"/>
      <c r="G69" s="13"/>
      <c r="H69" s="12"/>
      <c r="I69" s="2"/>
      <c r="J69" s="17"/>
      <c r="K69" s="12"/>
      <c r="L69" s="2"/>
      <c r="M69" s="17"/>
      <c r="N69" s="12"/>
      <c r="O69" s="2"/>
      <c r="P69" s="17"/>
      <c r="Q69" s="12"/>
      <c r="R69" s="2"/>
      <c r="S69" s="17"/>
      <c r="T69" s="12"/>
      <c r="U69" s="2"/>
      <c r="V69" s="17"/>
      <c r="W69" s="12"/>
      <c r="X69" s="2"/>
      <c r="Y69" s="17"/>
    </row>
    <row r="70" spans="1:25" hidden="1" x14ac:dyDescent="0.25">
      <c r="A70" s="6">
        <v>0.155</v>
      </c>
      <c r="B70" s="2">
        <v>2.0345081999999999</v>
      </c>
      <c r="C70" s="2">
        <v>0.55828250000000001</v>
      </c>
      <c r="D70" s="2">
        <v>0.93350469999999997</v>
      </c>
      <c r="E70" s="12"/>
      <c r="F70" s="2"/>
      <c r="G70" s="13"/>
      <c r="H70" s="12"/>
      <c r="I70" s="2"/>
      <c r="J70" s="17"/>
      <c r="K70" s="12"/>
      <c r="L70" s="2"/>
      <c r="M70" s="17"/>
      <c r="N70" s="12"/>
      <c r="O70" s="2"/>
      <c r="P70" s="17"/>
      <c r="Q70" s="12"/>
      <c r="R70" s="2"/>
      <c r="S70" s="17"/>
      <c r="T70" s="12"/>
      <c r="U70" s="2"/>
      <c r="V70" s="17"/>
      <c r="W70" s="12"/>
      <c r="X70" s="2"/>
      <c r="Y70" s="17"/>
    </row>
    <row r="71" spans="1:25" hidden="1" x14ac:dyDescent="0.25">
      <c r="A71" s="6">
        <v>0.15690000000000001</v>
      </c>
      <c r="B71" s="2">
        <v>2.0348315000000001</v>
      </c>
      <c r="C71" s="2">
        <v>0.55720570000000003</v>
      </c>
      <c r="D71" s="2">
        <v>0.93508599999999997</v>
      </c>
      <c r="E71" s="12"/>
      <c r="F71" s="2"/>
      <c r="G71" s="13"/>
      <c r="H71" s="12"/>
      <c r="I71" s="2"/>
      <c r="J71" s="17"/>
      <c r="K71" s="12"/>
      <c r="L71" s="2"/>
      <c r="M71" s="17"/>
      <c r="N71" s="12"/>
      <c r="O71" s="2"/>
      <c r="P71" s="17"/>
      <c r="Q71" s="12"/>
      <c r="R71" s="2"/>
      <c r="S71" s="17"/>
      <c r="T71" s="12"/>
      <c r="U71" s="2"/>
      <c r="V71" s="17"/>
      <c r="W71" s="12"/>
      <c r="X71" s="2"/>
      <c r="Y71" s="17"/>
    </row>
    <row r="72" spans="1:25" hidden="1" x14ac:dyDescent="0.25">
      <c r="A72" s="6">
        <v>0.158</v>
      </c>
      <c r="B72" s="2">
        <v>2.0350226999999999</v>
      </c>
      <c r="C72" s="2">
        <v>0.55646569999999995</v>
      </c>
      <c r="D72" s="2">
        <v>0.9362277</v>
      </c>
      <c r="E72" s="12"/>
      <c r="F72" s="2"/>
      <c r="G72" s="13"/>
      <c r="H72" s="12"/>
      <c r="I72" s="2"/>
      <c r="J72" s="17"/>
      <c r="K72" s="12"/>
      <c r="L72" s="2"/>
      <c r="M72" s="17"/>
      <c r="N72" s="12"/>
      <c r="O72" s="2"/>
      <c r="P72" s="17"/>
      <c r="Q72" s="12"/>
      <c r="R72" s="2"/>
      <c r="S72" s="17"/>
      <c r="T72" s="12"/>
      <c r="U72" s="2"/>
      <c r="V72" s="17"/>
      <c r="W72" s="12"/>
      <c r="X72" s="2"/>
      <c r="Y72" s="17"/>
    </row>
    <row r="73" spans="1:25" hidden="1" x14ac:dyDescent="0.25">
      <c r="A73" s="6">
        <v>0.15890000000000001</v>
      </c>
      <c r="B73" s="2">
        <v>2.0351861000000002</v>
      </c>
      <c r="C73" s="2">
        <v>0.55550200000000005</v>
      </c>
      <c r="D73" s="2">
        <v>0.93776990000000005</v>
      </c>
      <c r="E73" s="12"/>
      <c r="F73" s="2"/>
      <c r="G73" s="13"/>
      <c r="H73" s="12"/>
      <c r="I73" s="2"/>
      <c r="J73" s="17"/>
      <c r="K73" s="12"/>
      <c r="L73" s="2"/>
      <c r="M73" s="17"/>
      <c r="N73" s="12"/>
      <c r="O73" s="2"/>
      <c r="P73" s="17"/>
      <c r="Q73" s="12"/>
      <c r="R73" s="2"/>
      <c r="S73" s="17"/>
      <c r="T73" s="12"/>
      <c r="U73" s="2"/>
      <c r="V73" s="17"/>
      <c r="W73" s="12"/>
      <c r="X73" s="2"/>
      <c r="Y73" s="17"/>
    </row>
    <row r="74" spans="1:25" hidden="1" x14ac:dyDescent="0.25">
      <c r="A74" s="6">
        <v>0.161</v>
      </c>
      <c r="B74" s="2">
        <v>2.0355558</v>
      </c>
      <c r="C74" s="2">
        <v>0.55242500000000005</v>
      </c>
      <c r="D74" s="2">
        <v>0.94278649999999997</v>
      </c>
      <c r="E74" s="12"/>
      <c r="F74" s="2"/>
      <c r="G74" s="13"/>
      <c r="H74" s="12"/>
      <c r="I74" s="2"/>
      <c r="J74" s="17"/>
      <c r="K74" s="12"/>
      <c r="L74" s="2"/>
      <c r="M74" s="17"/>
      <c r="N74" s="12"/>
      <c r="O74" s="2"/>
      <c r="P74" s="17"/>
      <c r="Q74" s="12"/>
      <c r="R74" s="2"/>
      <c r="S74" s="17"/>
      <c r="T74" s="12"/>
      <c r="U74" s="2"/>
      <c r="V74" s="17"/>
      <c r="W74" s="12"/>
      <c r="X74" s="2"/>
      <c r="Y74" s="17"/>
    </row>
    <row r="75" spans="1:25" hidden="1" x14ac:dyDescent="0.25">
      <c r="A75" s="6">
        <v>0.16300000000000001</v>
      </c>
      <c r="B75" s="2">
        <v>2.0358882</v>
      </c>
      <c r="C75" s="2">
        <v>0.54999240000000005</v>
      </c>
      <c r="D75" s="2">
        <v>0.94676899999999997</v>
      </c>
      <c r="E75" s="12"/>
      <c r="F75" s="2"/>
      <c r="G75" s="13"/>
      <c r="H75" s="12"/>
      <c r="I75" s="2"/>
      <c r="J75" s="17"/>
      <c r="K75" s="12"/>
      <c r="L75" s="2"/>
      <c r="M75" s="17"/>
      <c r="N75" s="12"/>
      <c r="O75" s="2"/>
      <c r="P75" s="17"/>
      <c r="Q75" s="12"/>
      <c r="R75" s="2"/>
      <c r="S75" s="17"/>
      <c r="T75" s="12"/>
      <c r="U75" s="2"/>
      <c r="V75" s="17"/>
      <c r="W75" s="12"/>
      <c r="X75" s="2"/>
      <c r="Y75" s="17"/>
    </row>
    <row r="76" spans="1:25" hidden="1" x14ac:dyDescent="0.25">
      <c r="A76" s="6">
        <v>0.16500000000000001</v>
      </c>
      <c r="B76" s="2">
        <v>2.0362008</v>
      </c>
      <c r="C76" s="2">
        <v>0.55380180000000001</v>
      </c>
      <c r="D76" s="2">
        <v>0.9473819</v>
      </c>
      <c r="E76" s="12"/>
      <c r="F76" s="2"/>
      <c r="G76" s="13"/>
      <c r="H76" s="12"/>
      <c r="I76" s="2"/>
      <c r="J76" s="17"/>
      <c r="K76" s="12"/>
      <c r="L76" s="2"/>
      <c r="M76" s="17"/>
      <c r="N76" s="12"/>
      <c r="O76" s="2"/>
      <c r="P76" s="17"/>
      <c r="Q76" s="12"/>
      <c r="R76" s="2"/>
      <c r="S76" s="17"/>
      <c r="T76" s="12"/>
      <c r="U76" s="2"/>
      <c r="V76" s="17"/>
      <c r="W76" s="12"/>
      <c r="X76" s="2"/>
      <c r="Y76" s="17"/>
    </row>
    <row r="77" spans="1:25" hidden="1" x14ac:dyDescent="0.25">
      <c r="A77" s="6">
        <v>0.16700000000000001</v>
      </c>
      <c r="B77" s="2">
        <v>2.0315553999999998</v>
      </c>
      <c r="C77" s="2">
        <v>0.61756960000000005</v>
      </c>
      <c r="D77" s="2">
        <v>0.92675390000000002</v>
      </c>
      <c r="E77" s="12"/>
      <c r="F77" s="2"/>
      <c r="G77" s="13"/>
      <c r="H77" s="12"/>
      <c r="I77" s="2"/>
      <c r="J77" s="17"/>
      <c r="K77" s="12"/>
      <c r="L77" s="2"/>
      <c r="M77" s="17"/>
      <c r="N77" s="12"/>
      <c r="O77" s="2"/>
      <c r="P77" s="17"/>
      <c r="Q77" s="12"/>
      <c r="R77" s="2"/>
      <c r="S77" s="17"/>
      <c r="T77" s="12"/>
      <c r="U77" s="2"/>
      <c r="V77" s="17"/>
      <c r="W77" s="12"/>
      <c r="X77" s="2"/>
      <c r="Y77" s="17"/>
    </row>
    <row r="78" spans="1:25" hidden="1" x14ac:dyDescent="0.25">
      <c r="A78" s="6">
        <v>0.16900000000000001</v>
      </c>
      <c r="B78" s="2">
        <v>2.0369160000000002</v>
      </c>
      <c r="C78" s="2">
        <v>0.76260790000000001</v>
      </c>
      <c r="D78" s="2">
        <v>0.88809939999999998</v>
      </c>
      <c r="E78" s="12"/>
      <c r="F78" s="2"/>
      <c r="G78" s="13"/>
      <c r="H78" s="12"/>
      <c r="I78" s="2"/>
      <c r="J78" s="17"/>
      <c r="K78" s="12"/>
      <c r="L78" s="2"/>
      <c r="M78" s="17"/>
      <c r="N78" s="12"/>
      <c r="O78" s="2"/>
      <c r="P78" s="17"/>
      <c r="Q78" s="12"/>
      <c r="R78" s="2"/>
      <c r="S78" s="17"/>
      <c r="T78" s="12"/>
      <c r="U78" s="2"/>
      <c r="V78" s="17"/>
      <c r="W78" s="12"/>
      <c r="X78" s="2"/>
      <c r="Y78" s="17"/>
    </row>
    <row r="79" spans="1:25" hidden="1" x14ac:dyDescent="0.25">
      <c r="A79" s="6">
        <v>0.17100000000000001</v>
      </c>
      <c r="B79" s="2">
        <v>2.0372564999999998</v>
      </c>
      <c r="C79" s="2">
        <v>0.88560209999999995</v>
      </c>
      <c r="D79" s="2">
        <v>0.85979079999999997</v>
      </c>
      <c r="E79" s="12"/>
      <c r="F79" s="2"/>
      <c r="G79" s="13"/>
      <c r="H79" s="12"/>
      <c r="I79" s="2"/>
      <c r="J79" s="17"/>
      <c r="K79" s="12"/>
      <c r="L79" s="2"/>
      <c r="M79" s="17"/>
      <c r="N79" s="12"/>
      <c r="O79" s="2"/>
      <c r="P79" s="17"/>
      <c r="Q79" s="12"/>
      <c r="R79" s="2"/>
      <c r="S79" s="17"/>
      <c r="T79" s="12"/>
      <c r="U79" s="2"/>
      <c r="V79" s="17"/>
      <c r="W79" s="12"/>
      <c r="X79" s="2"/>
      <c r="Y79" s="17"/>
    </row>
    <row r="80" spans="1:25" hidden="1" x14ac:dyDescent="0.25">
      <c r="A80" s="6">
        <v>0.17299999999999999</v>
      </c>
      <c r="B80" s="2">
        <v>2.0429491999999998</v>
      </c>
      <c r="C80" s="2">
        <v>0.95192920000000003</v>
      </c>
      <c r="D80" s="2">
        <v>0.84663670000000002</v>
      </c>
      <c r="E80" s="12"/>
      <c r="F80" s="2"/>
      <c r="G80" s="13"/>
      <c r="H80" s="12"/>
      <c r="I80" s="2"/>
      <c r="J80" s="17"/>
      <c r="K80" s="12"/>
      <c r="L80" s="2"/>
      <c r="M80" s="17"/>
      <c r="N80" s="12"/>
      <c r="O80" s="2"/>
      <c r="P80" s="17"/>
      <c r="Q80" s="12"/>
      <c r="R80" s="2"/>
      <c r="S80" s="17"/>
      <c r="T80" s="12"/>
      <c r="U80" s="2"/>
      <c r="V80" s="17"/>
      <c r="W80" s="12"/>
      <c r="X80" s="2"/>
      <c r="Y80" s="17"/>
    </row>
    <row r="81" spans="1:25" hidden="1" x14ac:dyDescent="0.25">
      <c r="A81" s="6">
        <v>0.17499999999999999</v>
      </c>
      <c r="B81" s="2">
        <v>2.0724547000000002</v>
      </c>
      <c r="C81" s="2">
        <v>0.98088319999999996</v>
      </c>
      <c r="D81" s="2">
        <v>0.84346840000000001</v>
      </c>
      <c r="E81" s="12"/>
      <c r="F81" s="2"/>
      <c r="G81" s="13"/>
      <c r="H81" s="12"/>
      <c r="I81" s="2"/>
      <c r="J81" s="17"/>
      <c r="K81" s="12"/>
      <c r="L81" s="2"/>
      <c r="M81" s="17"/>
      <c r="N81" s="12"/>
      <c r="O81" s="2"/>
      <c r="P81" s="17"/>
      <c r="Q81" s="12"/>
      <c r="R81" s="2"/>
      <c r="S81" s="17"/>
      <c r="T81" s="12"/>
      <c r="U81" s="2"/>
      <c r="V81" s="17"/>
      <c r="W81" s="12"/>
      <c r="X81" s="2"/>
      <c r="Y81" s="17"/>
    </row>
    <row r="82" spans="1:25" hidden="1" x14ac:dyDescent="0.25">
      <c r="A82" s="6">
        <v>0.17699999999999999</v>
      </c>
      <c r="B82" s="2">
        <v>2.0436838000000002</v>
      </c>
      <c r="C82" s="2">
        <v>0.99240910000000004</v>
      </c>
      <c r="D82" s="2">
        <v>0.84239280000000005</v>
      </c>
      <c r="E82" s="12"/>
      <c r="F82" s="2"/>
      <c r="G82" s="13"/>
      <c r="H82" s="12"/>
      <c r="I82" s="2"/>
      <c r="J82" s="17"/>
      <c r="K82" s="12"/>
      <c r="L82" s="2"/>
      <c r="M82" s="17"/>
      <c r="N82" s="12"/>
      <c r="O82" s="2"/>
      <c r="P82" s="17"/>
      <c r="Q82" s="12"/>
      <c r="R82" s="2"/>
      <c r="S82" s="17"/>
      <c r="T82" s="12"/>
      <c r="U82" s="2"/>
      <c r="V82" s="17"/>
      <c r="W82" s="12"/>
      <c r="X82" s="2"/>
      <c r="Y82" s="17"/>
    </row>
    <row r="83" spans="1:25" hidden="1" x14ac:dyDescent="0.25">
      <c r="A83" s="6">
        <v>0.17899999999999999</v>
      </c>
      <c r="B83" s="2">
        <v>2.0384872000000001</v>
      </c>
      <c r="C83" s="2">
        <v>0.99704970000000004</v>
      </c>
      <c r="D83" s="2">
        <v>0.84304480000000004</v>
      </c>
      <c r="E83" s="12"/>
      <c r="F83" s="2"/>
      <c r="G83" s="13"/>
      <c r="H83" s="12"/>
      <c r="I83" s="2"/>
      <c r="J83" s="17"/>
      <c r="K83" s="12"/>
      <c r="L83" s="2"/>
      <c r="M83" s="17"/>
      <c r="N83" s="12"/>
      <c r="O83" s="2"/>
      <c r="P83" s="17"/>
      <c r="Q83" s="12"/>
      <c r="R83" s="2"/>
      <c r="S83" s="17"/>
      <c r="T83" s="12"/>
      <c r="U83" s="2"/>
      <c r="V83" s="17"/>
      <c r="W83" s="12"/>
      <c r="X83" s="2"/>
      <c r="Y83" s="17"/>
    </row>
    <row r="84" spans="1:25" hidden="1" x14ac:dyDescent="0.25">
      <c r="A84" s="6">
        <v>0.18099999999999999</v>
      </c>
      <c r="B84" s="2">
        <v>2.0382671000000001</v>
      </c>
      <c r="C84" s="2">
        <v>0.99891560000000001</v>
      </c>
      <c r="D84" s="2">
        <v>0.84499440000000003</v>
      </c>
      <c r="E84" s="12"/>
      <c r="F84" s="2"/>
      <c r="G84" s="13"/>
      <c r="H84" s="12"/>
      <c r="I84" s="2"/>
      <c r="J84" s="17"/>
      <c r="K84" s="12"/>
      <c r="L84" s="2"/>
      <c r="M84" s="17"/>
      <c r="N84" s="12"/>
      <c r="O84" s="2"/>
      <c r="P84" s="17"/>
      <c r="Q84" s="12"/>
      <c r="R84" s="2"/>
      <c r="S84" s="17"/>
      <c r="T84" s="12"/>
      <c r="U84" s="2"/>
      <c r="V84" s="17"/>
      <c r="W84" s="12"/>
      <c r="X84" s="2"/>
      <c r="Y84" s="17"/>
    </row>
    <row r="85" spans="1:25" hidden="1" x14ac:dyDescent="0.25">
      <c r="A85" s="6">
        <v>0.183</v>
      </c>
      <c r="B85" s="2">
        <v>2.0311642000000001</v>
      </c>
      <c r="C85" s="2">
        <v>0.99963500000000005</v>
      </c>
      <c r="D85" s="2">
        <v>0.84704800000000002</v>
      </c>
      <c r="E85" s="12"/>
      <c r="F85" s="2"/>
      <c r="G85" s="13"/>
      <c r="H85" s="12"/>
      <c r="I85" s="2"/>
      <c r="J85" s="17"/>
      <c r="K85" s="12"/>
      <c r="L85" s="2"/>
      <c r="M85" s="17"/>
      <c r="N85" s="12"/>
      <c r="O85" s="2"/>
      <c r="P85" s="17"/>
      <c r="Q85" s="12"/>
      <c r="R85" s="2"/>
      <c r="S85" s="17"/>
      <c r="T85" s="12"/>
      <c r="U85" s="2"/>
      <c r="V85" s="17"/>
      <c r="W85" s="12"/>
      <c r="X85" s="2"/>
      <c r="Y85" s="17"/>
    </row>
    <row r="86" spans="1:25" hidden="1" x14ac:dyDescent="0.25">
      <c r="A86" s="6">
        <v>0.185</v>
      </c>
      <c r="B86" s="2">
        <v>2.0371795000000001</v>
      </c>
      <c r="C86" s="2">
        <v>0.99987619999999999</v>
      </c>
      <c r="D86" s="2">
        <v>0.84854510000000005</v>
      </c>
      <c r="E86" s="12"/>
      <c r="F86" s="2"/>
      <c r="G86" s="13"/>
      <c r="H86" s="12"/>
      <c r="I86" s="2"/>
      <c r="J86" s="17"/>
      <c r="K86" s="12"/>
      <c r="L86" s="2"/>
      <c r="M86" s="17"/>
      <c r="N86" s="12"/>
      <c r="O86" s="2"/>
      <c r="P86" s="17"/>
      <c r="Q86" s="12"/>
      <c r="R86" s="2"/>
      <c r="S86" s="17"/>
      <c r="T86" s="12"/>
      <c r="U86" s="2"/>
      <c r="V86" s="17"/>
      <c r="W86" s="12"/>
      <c r="X86" s="2"/>
      <c r="Y86" s="17"/>
    </row>
    <row r="87" spans="1:25" hidden="1" x14ac:dyDescent="0.25">
      <c r="A87" s="6">
        <v>0.187</v>
      </c>
      <c r="B87" s="2">
        <v>2.0402955999999999</v>
      </c>
      <c r="C87" s="2">
        <v>0.99995699999999998</v>
      </c>
      <c r="D87" s="2">
        <v>0.8496686</v>
      </c>
      <c r="E87" s="12"/>
      <c r="F87" s="2"/>
      <c r="G87" s="13"/>
      <c r="H87" s="12"/>
      <c r="I87" s="2"/>
      <c r="J87" s="17"/>
      <c r="K87" s="12"/>
      <c r="L87" s="2"/>
      <c r="M87" s="17"/>
      <c r="N87" s="12"/>
      <c r="O87" s="2"/>
      <c r="P87" s="17"/>
      <c r="Q87" s="12"/>
      <c r="R87" s="2"/>
      <c r="S87" s="17"/>
      <c r="T87" s="12"/>
      <c r="U87" s="2"/>
      <c r="V87" s="17"/>
      <c r="W87" s="12"/>
      <c r="X87" s="2"/>
      <c r="Y87" s="17"/>
    </row>
    <row r="88" spans="1:25" hidden="1" x14ac:dyDescent="0.25">
      <c r="A88" s="6">
        <v>0.189</v>
      </c>
      <c r="B88" s="2">
        <v>2.040813</v>
      </c>
      <c r="C88" s="2">
        <v>0.99998600000000004</v>
      </c>
      <c r="D88" s="2">
        <v>0.85041359999999999</v>
      </c>
      <c r="E88" s="12"/>
      <c r="F88" s="2"/>
      <c r="G88" s="13"/>
      <c r="H88" s="12"/>
      <c r="I88" s="2"/>
      <c r="J88" s="17"/>
      <c r="K88" s="12"/>
      <c r="L88" s="2"/>
      <c r="M88" s="17"/>
      <c r="N88" s="12"/>
      <c r="O88" s="2"/>
      <c r="P88" s="17"/>
      <c r="Q88" s="12"/>
      <c r="R88" s="2"/>
      <c r="S88" s="17"/>
      <c r="T88" s="12"/>
      <c r="U88" s="2"/>
      <c r="V88" s="17"/>
      <c r="W88" s="12"/>
      <c r="X88" s="2"/>
      <c r="Y88" s="17"/>
    </row>
    <row r="89" spans="1:25" hidden="1" x14ac:dyDescent="0.25">
      <c r="A89" s="6">
        <v>0.191</v>
      </c>
      <c r="B89" s="2">
        <v>2.0399837000000001</v>
      </c>
      <c r="C89" s="2">
        <v>0.99999539999999998</v>
      </c>
      <c r="D89" s="2">
        <v>0.85201510000000003</v>
      </c>
      <c r="E89" s="12"/>
      <c r="F89" s="2"/>
      <c r="G89" s="13"/>
      <c r="H89" s="12"/>
      <c r="I89" s="2"/>
      <c r="J89" s="17"/>
      <c r="K89" s="12"/>
      <c r="L89" s="2"/>
      <c r="M89" s="17"/>
      <c r="N89" s="12"/>
      <c r="O89" s="2"/>
      <c r="P89" s="17"/>
      <c r="Q89" s="12"/>
      <c r="R89" s="2"/>
      <c r="S89" s="17"/>
      <c r="T89" s="12"/>
      <c r="U89" s="2"/>
      <c r="V89" s="17"/>
      <c r="W89" s="12"/>
      <c r="X89" s="2"/>
      <c r="Y89" s="17"/>
    </row>
    <row r="90" spans="1:25" hidden="1" x14ac:dyDescent="0.25">
      <c r="A90" s="6">
        <v>0.193</v>
      </c>
      <c r="B90" s="2">
        <v>2.0422207999999999</v>
      </c>
      <c r="C90" s="2">
        <v>0.99999839999999995</v>
      </c>
      <c r="D90" s="2">
        <v>0.85311119999999996</v>
      </c>
      <c r="E90" s="12"/>
      <c r="F90" s="2"/>
      <c r="G90" s="13"/>
      <c r="H90" s="12"/>
      <c r="I90" s="2"/>
      <c r="J90" s="17"/>
      <c r="K90" s="12"/>
      <c r="L90" s="2"/>
      <c r="M90" s="17"/>
      <c r="N90" s="12"/>
      <c r="O90" s="2"/>
      <c r="P90" s="17"/>
      <c r="Q90" s="12"/>
      <c r="R90" s="2"/>
      <c r="S90" s="17"/>
      <c r="T90" s="12"/>
      <c r="U90" s="2"/>
      <c r="V90" s="17"/>
      <c r="W90" s="12"/>
      <c r="X90" s="2"/>
      <c r="Y90" s="17"/>
    </row>
    <row r="91" spans="1:25" hidden="1" x14ac:dyDescent="0.25">
      <c r="A91" s="6">
        <v>0.19500000000000001</v>
      </c>
      <c r="B91" s="2">
        <v>2.0382514</v>
      </c>
      <c r="C91" s="2">
        <v>0.99999939999999998</v>
      </c>
      <c r="D91" s="2">
        <v>0.85365120000000005</v>
      </c>
      <c r="E91" s="12"/>
      <c r="F91" s="2"/>
      <c r="G91" s="13"/>
      <c r="H91" s="12"/>
      <c r="I91" s="2"/>
      <c r="J91" s="17"/>
      <c r="K91" s="12"/>
      <c r="L91" s="2"/>
      <c r="M91" s="17"/>
      <c r="N91" s="12"/>
      <c r="O91" s="2"/>
      <c r="P91" s="17"/>
      <c r="Q91" s="12"/>
      <c r="R91" s="2"/>
      <c r="S91" s="17"/>
      <c r="T91" s="12"/>
      <c r="U91" s="2"/>
      <c r="V91" s="17"/>
      <c r="W91" s="12"/>
      <c r="X91" s="2"/>
      <c r="Y91" s="17"/>
    </row>
    <row r="92" spans="1:25" hidden="1" x14ac:dyDescent="0.25">
      <c r="A92" s="6">
        <v>0.19700000000000001</v>
      </c>
      <c r="B92" s="2">
        <v>2.025353</v>
      </c>
      <c r="C92" s="2">
        <v>0.99999990000000005</v>
      </c>
      <c r="D92" s="2">
        <v>0.85383719999999996</v>
      </c>
      <c r="E92" s="12"/>
      <c r="F92" s="2"/>
      <c r="G92" s="13"/>
      <c r="H92" s="12"/>
      <c r="I92" s="2"/>
      <c r="J92" s="17"/>
      <c r="K92" s="12"/>
      <c r="L92" s="2"/>
      <c r="M92" s="17"/>
      <c r="N92" s="12"/>
      <c r="O92" s="2"/>
      <c r="P92" s="17"/>
      <c r="Q92" s="12"/>
      <c r="R92" s="2"/>
      <c r="S92" s="17"/>
      <c r="T92" s="12"/>
      <c r="U92" s="2"/>
      <c r="V92" s="17"/>
      <c r="W92" s="12"/>
      <c r="X92" s="2"/>
      <c r="Y92" s="17"/>
    </row>
    <row r="93" spans="1:25" hidden="1" x14ac:dyDescent="0.25">
      <c r="A93" s="6">
        <v>0.19900000000000001</v>
      </c>
      <c r="B93" s="2">
        <v>2.0508397</v>
      </c>
      <c r="C93" s="2">
        <v>0.99999990000000005</v>
      </c>
      <c r="D93" s="2">
        <v>0.85707690000000003</v>
      </c>
      <c r="E93" s="12"/>
      <c r="F93" s="2"/>
      <c r="G93" s="13"/>
      <c r="H93" s="12"/>
      <c r="I93" s="2"/>
      <c r="J93" s="17"/>
      <c r="K93" s="12"/>
      <c r="L93" s="2"/>
      <c r="M93" s="17"/>
      <c r="N93" s="12"/>
      <c r="O93" s="2"/>
      <c r="P93" s="17"/>
      <c r="Q93" s="12"/>
      <c r="R93" s="2"/>
      <c r="S93" s="17"/>
      <c r="T93" s="12"/>
      <c r="U93" s="2"/>
      <c r="V93" s="17"/>
      <c r="W93" s="12"/>
      <c r="X93" s="2"/>
      <c r="Y93" s="17"/>
    </row>
    <row r="94" spans="1:25" hidden="1" x14ac:dyDescent="0.25">
      <c r="A94" s="6">
        <v>0.20100000000000001</v>
      </c>
      <c r="B94" s="2">
        <v>2.0420183999999999</v>
      </c>
      <c r="C94" s="2">
        <v>1</v>
      </c>
      <c r="D94" s="2">
        <v>0.85683140000000002</v>
      </c>
      <c r="E94" s="12"/>
      <c r="F94" s="2"/>
      <c r="G94" s="13"/>
      <c r="H94" s="12"/>
      <c r="I94" s="2"/>
      <c r="J94" s="17"/>
      <c r="K94" s="12"/>
      <c r="L94" s="2"/>
      <c r="M94" s="17"/>
      <c r="N94" s="12"/>
      <c r="O94" s="2"/>
      <c r="P94" s="17"/>
      <c r="Q94" s="12"/>
      <c r="R94" s="2"/>
      <c r="S94" s="17"/>
      <c r="T94" s="12"/>
      <c r="U94" s="2"/>
      <c r="V94" s="17"/>
      <c r="W94" s="12"/>
      <c r="X94" s="2"/>
      <c r="Y94" s="17"/>
    </row>
    <row r="95" spans="1:25" hidden="1" x14ac:dyDescent="0.25">
      <c r="A95" s="6">
        <v>0.2019</v>
      </c>
      <c r="B95" s="2">
        <v>2.0400456999999999</v>
      </c>
      <c r="C95" s="2">
        <v>1</v>
      </c>
      <c r="D95" s="2">
        <v>0.864456</v>
      </c>
      <c r="E95" s="12"/>
      <c r="F95" s="2"/>
      <c r="G95" s="13"/>
      <c r="H95" s="12"/>
      <c r="I95" s="2"/>
      <c r="J95" s="17"/>
      <c r="K95" s="12"/>
      <c r="L95" s="2"/>
      <c r="M95" s="17"/>
      <c r="N95" s="12"/>
      <c r="O95" s="2"/>
      <c r="P95" s="17"/>
      <c r="Q95" s="12"/>
      <c r="R95" s="2"/>
      <c r="S95" s="17"/>
      <c r="T95" s="12"/>
      <c r="U95" s="2"/>
      <c r="V95" s="17"/>
      <c r="W95" s="12"/>
      <c r="X95" s="2"/>
      <c r="Y95" s="17"/>
    </row>
    <row r="96" spans="1:25" hidden="1" x14ac:dyDescent="0.25">
      <c r="A96" s="6">
        <v>0.21</v>
      </c>
      <c r="B96" s="2">
        <v>2.0428769999999998</v>
      </c>
      <c r="C96" s="2">
        <v>0.99999990000000005</v>
      </c>
      <c r="D96" s="2">
        <v>0.86066779999999998</v>
      </c>
      <c r="E96" s="12"/>
      <c r="F96" s="2"/>
      <c r="G96" s="13"/>
      <c r="H96" s="12"/>
      <c r="I96" s="2"/>
      <c r="J96" s="17"/>
      <c r="K96" s="12"/>
      <c r="L96" s="2"/>
      <c r="M96" s="17"/>
      <c r="N96" s="12"/>
      <c r="O96" s="2"/>
      <c r="P96" s="17"/>
      <c r="Q96" s="12"/>
      <c r="R96" s="2"/>
      <c r="S96" s="17"/>
      <c r="T96" s="12"/>
      <c r="U96" s="2"/>
      <c r="V96" s="17"/>
      <c r="W96" s="12"/>
      <c r="X96" s="2"/>
      <c r="Y96" s="17"/>
    </row>
    <row r="97" spans="1:25" hidden="1" x14ac:dyDescent="0.25">
      <c r="A97" s="6">
        <v>0.25</v>
      </c>
      <c r="B97" s="2">
        <v>2.0489115999999998</v>
      </c>
      <c r="C97" s="2">
        <v>0.99999990000000005</v>
      </c>
      <c r="D97" s="2">
        <v>0.86834140000000004</v>
      </c>
      <c r="E97" s="12"/>
      <c r="F97" s="2"/>
      <c r="G97" s="13"/>
      <c r="H97" s="12"/>
      <c r="I97" s="2"/>
      <c r="J97" s="17"/>
      <c r="K97" s="12"/>
      <c r="L97" s="2"/>
      <c r="M97" s="17"/>
      <c r="N97" s="12"/>
      <c r="O97" s="2"/>
      <c r="P97" s="17"/>
      <c r="Q97" s="12"/>
      <c r="R97" s="2"/>
      <c r="S97" s="17"/>
      <c r="T97" s="12"/>
      <c r="U97" s="2"/>
      <c r="V97" s="17"/>
      <c r="W97" s="12"/>
      <c r="X97" s="2"/>
      <c r="Y97" s="17"/>
    </row>
    <row r="98" spans="1:25" hidden="1" x14ac:dyDescent="0.25">
      <c r="A98" s="6">
        <v>0.3</v>
      </c>
      <c r="B98" s="2">
        <v>2.0528285999999998</v>
      </c>
      <c r="C98" s="2">
        <v>1</v>
      </c>
      <c r="D98" s="2">
        <v>0.87378080000000002</v>
      </c>
      <c r="E98" s="12"/>
      <c r="F98" s="2"/>
      <c r="G98" s="13"/>
      <c r="H98" s="12"/>
      <c r="I98" s="2"/>
      <c r="J98" s="17"/>
      <c r="K98" s="12"/>
      <c r="L98" s="2"/>
      <c r="M98" s="17"/>
      <c r="N98" s="12"/>
      <c r="O98" s="2"/>
      <c r="P98" s="17"/>
      <c r="Q98" s="12"/>
      <c r="R98" s="2"/>
      <c r="S98" s="17"/>
      <c r="T98" s="12"/>
      <c r="U98" s="2"/>
      <c r="V98" s="17"/>
      <c r="W98" s="12"/>
      <c r="X98" s="2"/>
      <c r="Y98" s="17"/>
    </row>
    <row r="99" spans="1:25" hidden="1" x14ac:dyDescent="0.25">
      <c r="A99" s="6">
        <v>0.35</v>
      </c>
      <c r="B99" s="2">
        <v>2.0582194</v>
      </c>
      <c r="C99" s="2">
        <v>1</v>
      </c>
      <c r="D99" s="2">
        <v>0.87489939999999999</v>
      </c>
      <c r="E99" s="12"/>
      <c r="F99" s="2"/>
      <c r="G99" s="13"/>
      <c r="H99" s="12"/>
      <c r="I99" s="2"/>
      <c r="J99" s="17"/>
      <c r="K99" s="12"/>
      <c r="L99" s="2"/>
      <c r="M99" s="17"/>
      <c r="N99" s="12"/>
      <c r="O99" s="2"/>
      <c r="P99" s="17"/>
      <c r="Q99" s="12"/>
      <c r="R99" s="2"/>
      <c r="S99" s="17"/>
      <c r="T99" s="12"/>
      <c r="U99" s="2"/>
      <c r="V99" s="17"/>
      <c r="W99" s="12"/>
      <c r="X99" s="2"/>
      <c r="Y99" s="17"/>
    </row>
    <row r="100" spans="1:25" hidden="1" x14ac:dyDescent="0.25">
      <c r="A100" s="6">
        <v>0.39</v>
      </c>
      <c r="B100" s="2">
        <v>2.0643201000000002</v>
      </c>
      <c r="C100" s="2">
        <v>1</v>
      </c>
      <c r="D100" s="2">
        <v>0.87521850000000001</v>
      </c>
      <c r="E100" s="12"/>
      <c r="F100" s="2"/>
      <c r="G100" s="13"/>
      <c r="H100" s="12"/>
      <c r="I100" s="2"/>
      <c r="J100" s="17"/>
      <c r="K100" s="12"/>
      <c r="L100" s="2"/>
      <c r="M100" s="17"/>
      <c r="N100" s="12"/>
      <c r="O100" s="2"/>
      <c r="P100" s="17"/>
      <c r="Q100" s="12"/>
      <c r="R100" s="2"/>
      <c r="S100" s="17"/>
      <c r="T100" s="12"/>
      <c r="U100" s="2"/>
      <c r="V100" s="17"/>
      <c r="W100" s="12"/>
      <c r="X100" s="2"/>
      <c r="Y100" s="17"/>
    </row>
    <row r="101" spans="1:25" x14ac:dyDescent="0.25">
      <c r="A101" s="7">
        <v>0.4</v>
      </c>
      <c r="B101" s="2">
        <v>2.0640941000000002</v>
      </c>
      <c r="C101" s="14">
        <v>1</v>
      </c>
      <c r="D101" s="2">
        <v>0.87610480000000002</v>
      </c>
      <c r="E101" s="12">
        <v>2.3424</v>
      </c>
      <c r="F101" s="2">
        <v>0.86370000000000002</v>
      </c>
      <c r="G101" s="13">
        <v>0.85960000000000003</v>
      </c>
      <c r="H101" s="18">
        <v>2.4496000000000002</v>
      </c>
      <c r="I101" s="8">
        <v>0.81950000000000001</v>
      </c>
      <c r="J101" s="8">
        <v>0.85309999999999997</v>
      </c>
      <c r="K101" s="18">
        <v>2.4371</v>
      </c>
      <c r="L101" s="8">
        <v>0.82450000000000001</v>
      </c>
      <c r="M101" s="13">
        <v>0.85389999999999999</v>
      </c>
      <c r="N101" s="12">
        <v>2.4268000000000001</v>
      </c>
      <c r="O101" s="2">
        <v>0.8286</v>
      </c>
      <c r="P101" s="17">
        <v>0.85450000000000004</v>
      </c>
      <c r="Q101" s="12">
        <v>2.4178000000000002</v>
      </c>
      <c r="R101" s="2">
        <v>0.83220000000000005</v>
      </c>
      <c r="S101" s="17">
        <v>0.85499999999999998</v>
      </c>
      <c r="T101" s="12">
        <v>2.4045999999999998</v>
      </c>
      <c r="U101" s="2">
        <v>0.83760000000000001</v>
      </c>
      <c r="V101" s="17">
        <v>0.85589999999999999</v>
      </c>
      <c r="W101" s="12">
        <v>2.4022999999999999</v>
      </c>
      <c r="X101" s="2">
        <v>0.83850000000000002</v>
      </c>
      <c r="Y101" s="17">
        <v>0.85599999999999998</v>
      </c>
    </row>
    <row r="102" spans="1:25" x14ac:dyDescent="0.25">
      <c r="A102" s="7">
        <v>0.41</v>
      </c>
      <c r="B102" s="2">
        <v>2.0649524000000001</v>
      </c>
      <c r="C102" s="2">
        <v>1</v>
      </c>
      <c r="D102" s="2">
        <v>0.87604490000000002</v>
      </c>
      <c r="E102" s="12">
        <v>2.3426999999999998</v>
      </c>
      <c r="F102" s="2">
        <v>0.86370000000000002</v>
      </c>
      <c r="G102" s="13">
        <v>0.85960000000000003</v>
      </c>
      <c r="H102" s="18">
        <v>2.4497</v>
      </c>
      <c r="I102" s="8">
        <v>0.81950000000000001</v>
      </c>
      <c r="J102" s="8">
        <v>0.85309999999999997</v>
      </c>
      <c r="K102" s="18">
        <v>2.4371999999999998</v>
      </c>
      <c r="L102" s="8">
        <v>0.82450000000000001</v>
      </c>
      <c r="M102" s="13">
        <v>0.85389999999999999</v>
      </c>
      <c r="N102" s="12">
        <v>2.4268999999999998</v>
      </c>
      <c r="O102" s="2">
        <v>0.8286</v>
      </c>
      <c r="P102" s="17">
        <v>0.85450000000000004</v>
      </c>
      <c r="Q102" s="12">
        <v>2.4180000000000001</v>
      </c>
      <c r="R102" s="2">
        <v>0.83220000000000005</v>
      </c>
      <c r="S102" s="17">
        <v>0.85499999999999998</v>
      </c>
      <c r="T102" s="12">
        <v>2.4047999999999998</v>
      </c>
      <c r="U102" s="2">
        <v>0.83760000000000001</v>
      </c>
      <c r="V102" s="17">
        <v>0.85580000000000001</v>
      </c>
      <c r="W102" s="12">
        <v>2.4024000000000001</v>
      </c>
      <c r="X102" s="2">
        <v>0.83850000000000002</v>
      </c>
      <c r="Y102" s="17">
        <v>0.85599999999999998</v>
      </c>
    </row>
    <row r="103" spans="1:25" x14ac:dyDescent="0.25">
      <c r="A103" s="7">
        <v>0.42</v>
      </c>
      <c r="B103" s="2">
        <v>2.0675995</v>
      </c>
      <c r="C103" s="2">
        <v>1</v>
      </c>
      <c r="D103" s="2">
        <v>0.8754132</v>
      </c>
      <c r="E103" s="12">
        <v>2.3435999999999999</v>
      </c>
      <c r="F103" s="2">
        <v>0.86380000000000001</v>
      </c>
      <c r="G103" s="13">
        <v>0.85940000000000005</v>
      </c>
      <c r="H103" s="18">
        <v>2.4500000000000002</v>
      </c>
      <c r="I103" s="8">
        <v>0.81950000000000001</v>
      </c>
      <c r="J103" s="8">
        <v>0.85299999999999998</v>
      </c>
      <c r="K103" s="18">
        <v>2.4376000000000002</v>
      </c>
      <c r="L103" s="8">
        <v>0.82450000000000001</v>
      </c>
      <c r="M103" s="13">
        <v>0.8538</v>
      </c>
      <c r="N103" s="12">
        <v>2.4274</v>
      </c>
      <c r="O103" s="2">
        <v>0.8286</v>
      </c>
      <c r="P103" s="17">
        <v>0.85440000000000005</v>
      </c>
      <c r="Q103" s="12">
        <v>2.4184999999999999</v>
      </c>
      <c r="R103" s="2">
        <v>0.83220000000000005</v>
      </c>
      <c r="S103" s="17">
        <v>0.85489999999999999</v>
      </c>
      <c r="T103" s="12">
        <v>2.4054000000000002</v>
      </c>
      <c r="U103" s="2">
        <v>0.83760000000000001</v>
      </c>
      <c r="V103" s="17">
        <v>0.85570000000000002</v>
      </c>
      <c r="W103" s="12">
        <v>2.403</v>
      </c>
      <c r="X103" s="2">
        <v>0.83860000000000001</v>
      </c>
      <c r="Y103" s="17">
        <v>0.85580000000000001</v>
      </c>
    </row>
    <row r="104" spans="1:25" x14ac:dyDescent="0.25">
      <c r="A104" s="7">
        <v>0.43</v>
      </c>
      <c r="B104" s="2">
        <v>2.0678839999999998</v>
      </c>
      <c r="C104" s="2">
        <v>1</v>
      </c>
      <c r="D104" s="2">
        <v>0.87584280000000003</v>
      </c>
      <c r="E104" s="12">
        <v>2.3437000000000001</v>
      </c>
      <c r="F104" s="2">
        <v>0.86380000000000001</v>
      </c>
      <c r="G104" s="13">
        <v>0.85950000000000004</v>
      </c>
      <c r="H104" s="18">
        <v>2.4500999999999999</v>
      </c>
      <c r="I104" s="8">
        <v>0.81950000000000001</v>
      </c>
      <c r="J104" s="8">
        <v>0.85309999999999997</v>
      </c>
      <c r="K104" s="18">
        <v>2.4376000000000002</v>
      </c>
      <c r="L104" s="8">
        <v>0.82450000000000001</v>
      </c>
      <c r="M104" s="13">
        <v>0.8538</v>
      </c>
      <c r="N104" s="12">
        <v>2.4274</v>
      </c>
      <c r="O104" s="2">
        <v>0.8286</v>
      </c>
      <c r="P104" s="17">
        <v>0.85450000000000004</v>
      </c>
      <c r="Q104" s="12">
        <v>2.4184999999999999</v>
      </c>
      <c r="R104" s="2">
        <v>0.83220000000000005</v>
      </c>
      <c r="S104" s="17">
        <v>0.85499999999999998</v>
      </c>
      <c r="T104" s="12">
        <v>2.4054000000000002</v>
      </c>
      <c r="U104" s="2">
        <v>0.83760000000000001</v>
      </c>
      <c r="V104" s="17">
        <v>0.85580000000000001</v>
      </c>
      <c r="W104" s="12">
        <v>2.4030999999999998</v>
      </c>
      <c r="X104" s="2">
        <v>0.83860000000000001</v>
      </c>
      <c r="Y104" s="17">
        <v>0.85589999999999999</v>
      </c>
    </row>
    <row r="105" spans="1:25" x14ac:dyDescent="0.25">
      <c r="A105" s="7">
        <v>0.44</v>
      </c>
      <c r="B105" s="2">
        <v>2.0669558000000001</v>
      </c>
      <c r="C105" s="2">
        <v>1</v>
      </c>
      <c r="D105" s="2">
        <v>0.87605049999999995</v>
      </c>
      <c r="E105" s="12">
        <v>2.3433999999999999</v>
      </c>
      <c r="F105" s="2">
        <v>0.86380000000000001</v>
      </c>
      <c r="G105" s="13">
        <v>0.85960000000000003</v>
      </c>
      <c r="H105" s="18">
        <v>2.4500000000000002</v>
      </c>
      <c r="I105" s="8">
        <v>0.81950000000000001</v>
      </c>
      <c r="J105" s="8">
        <v>0.85309999999999997</v>
      </c>
      <c r="K105" s="18">
        <v>2.4375</v>
      </c>
      <c r="L105" s="8">
        <v>0.82450000000000001</v>
      </c>
      <c r="M105" s="13">
        <v>0.85389999999999999</v>
      </c>
      <c r="N105" s="12">
        <v>2.4272999999999998</v>
      </c>
      <c r="O105" s="2">
        <v>0.8286</v>
      </c>
      <c r="P105" s="17">
        <v>0.85450000000000004</v>
      </c>
      <c r="Q105" s="12">
        <v>2.4184000000000001</v>
      </c>
      <c r="R105" s="2">
        <v>0.83220000000000005</v>
      </c>
      <c r="S105" s="17">
        <v>0.85499999999999998</v>
      </c>
      <c r="T105" s="12">
        <v>2.4051999999999998</v>
      </c>
      <c r="U105" s="2">
        <v>0.83760000000000001</v>
      </c>
      <c r="V105" s="17">
        <v>0.85589999999999999</v>
      </c>
      <c r="W105" s="12">
        <v>2.4028999999999998</v>
      </c>
      <c r="X105" s="2">
        <v>0.83860000000000001</v>
      </c>
      <c r="Y105" s="17">
        <v>0.85599999999999998</v>
      </c>
    </row>
    <row r="106" spans="1:25" x14ac:dyDescent="0.25">
      <c r="A106" s="7">
        <v>0.45</v>
      </c>
      <c r="B106" s="2">
        <v>2.070713</v>
      </c>
      <c r="C106" s="2">
        <v>1</v>
      </c>
      <c r="D106" s="2">
        <v>0.8753206</v>
      </c>
      <c r="E106" s="12">
        <v>2.3448000000000002</v>
      </c>
      <c r="F106" s="2">
        <v>0.8639</v>
      </c>
      <c r="G106" s="13">
        <v>0.85940000000000005</v>
      </c>
      <c r="H106" s="18">
        <v>2.4504000000000001</v>
      </c>
      <c r="I106" s="8">
        <v>0.81950000000000001</v>
      </c>
      <c r="J106" s="8">
        <v>0.85299999999999998</v>
      </c>
      <c r="K106" s="18">
        <v>2.4380000000000002</v>
      </c>
      <c r="L106" s="8">
        <v>0.82450000000000001</v>
      </c>
      <c r="M106" s="13">
        <v>0.8538</v>
      </c>
      <c r="N106" s="12">
        <v>2.4279000000000002</v>
      </c>
      <c r="O106" s="2">
        <v>0.82869999999999999</v>
      </c>
      <c r="P106" s="17">
        <v>0.85440000000000005</v>
      </c>
      <c r="Q106" s="12">
        <v>2.4190999999999998</v>
      </c>
      <c r="R106" s="2">
        <v>0.83230000000000004</v>
      </c>
      <c r="S106" s="17">
        <v>0.85489999999999999</v>
      </c>
      <c r="T106" s="12">
        <v>2.4060000000000001</v>
      </c>
      <c r="U106" s="2">
        <v>0.8377</v>
      </c>
      <c r="V106" s="17">
        <v>0.85570000000000002</v>
      </c>
      <c r="W106" s="12">
        <v>2.4037000000000002</v>
      </c>
      <c r="X106" s="2">
        <v>0.83860000000000001</v>
      </c>
      <c r="Y106" s="17">
        <v>0.85580000000000001</v>
      </c>
    </row>
    <row r="107" spans="1:25" x14ac:dyDescent="0.25">
      <c r="A107" s="7">
        <v>0.46</v>
      </c>
      <c r="B107" s="2">
        <v>2.0770862000000001</v>
      </c>
      <c r="C107" s="2">
        <v>1</v>
      </c>
      <c r="D107" s="2">
        <v>0.87273710000000004</v>
      </c>
      <c r="E107" s="12">
        <v>2.3471000000000002</v>
      </c>
      <c r="F107" s="2">
        <v>0.86399999999999999</v>
      </c>
      <c r="G107" s="13">
        <v>0.85840000000000005</v>
      </c>
      <c r="H107" s="18">
        <v>2.4510999999999998</v>
      </c>
      <c r="I107" s="8">
        <v>0.8196</v>
      </c>
      <c r="J107" s="8">
        <v>0.85270000000000001</v>
      </c>
      <c r="K107" s="18">
        <v>2.4388999999999998</v>
      </c>
      <c r="L107" s="8">
        <v>0.8246</v>
      </c>
      <c r="M107" s="13">
        <v>0.85340000000000005</v>
      </c>
      <c r="N107" s="12">
        <v>2.4289999999999998</v>
      </c>
      <c r="O107" s="2">
        <v>0.82869999999999999</v>
      </c>
      <c r="P107" s="17">
        <v>0.85389999999999999</v>
      </c>
      <c r="Q107" s="12">
        <v>2.4203000000000001</v>
      </c>
      <c r="R107" s="2">
        <v>0.83240000000000003</v>
      </c>
      <c r="S107" s="17">
        <v>0.85440000000000005</v>
      </c>
      <c r="T107" s="12">
        <v>2.4074</v>
      </c>
      <c r="U107" s="2">
        <v>0.83779999999999999</v>
      </c>
      <c r="V107" s="17">
        <v>0.85509999999999997</v>
      </c>
      <c r="W107" s="12">
        <v>2.4051999999999998</v>
      </c>
      <c r="X107" s="2">
        <v>0.8387</v>
      </c>
      <c r="Y107" s="17">
        <v>0.85519999999999996</v>
      </c>
    </row>
    <row r="108" spans="1:25" x14ac:dyDescent="0.25">
      <c r="A108" s="7">
        <v>0.47</v>
      </c>
      <c r="B108" s="2">
        <v>2.0744126000000001</v>
      </c>
      <c r="C108" s="2">
        <v>0.99999990000000005</v>
      </c>
      <c r="D108" s="2">
        <v>0.8745773</v>
      </c>
      <c r="E108" s="12">
        <v>2.3460999999999999</v>
      </c>
      <c r="F108" s="2">
        <v>0.8639</v>
      </c>
      <c r="G108" s="13">
        <v>0.85909999999999997</v>
      </c>
      <c r="H108" s="18">
        <v>2.4508000000000001</v>
      </c>
      <c r="I108" s="8">
        <v>0.8196</v>
      </c>
      <c r="J108" s="8">
        <v>0.85289999999999999</v>
      </c>
      <c r="K108" s="18">
        <v>2.4386000000000001</v>
      </c>
      <c r="L108" s="8">
        <v>0.8246</v>
      </c>
      <c r="M108" s="13">
        <v>0.85370000000000001</v>
      </c>
      <c r="N108" s="12">
        <v>2.4285000000000001</v>
      </c>
      <c r="O108" s="2">
        <v>0.82869999999999999</v>
      </c>
      <c r="P108" s="17">
        <v>0.85429999999999995</v>
      </c>
      <c r="Q108" s="12">
        <v>2.4198</v>
      </c>
      <c r="R108" s="2">
        <v>0.83230000000000004</v>
      </c>
      <c r="S108" s="17">
        <v>0.8548</v>
      </c>
      <c r="T108" s="12">
        <v>2.4068000000000001</v>
      </c>
      <c r="U108" s="2">
        <v>0.8377</v>
      </c>
      <c r="V108" s="17">
        <v>0.85550000000000004</v>
      </c>
      <c r="W108" s="12">
        <v>2.4045999999999998</v>
      </c>
      <c r="X108" s="2">
        <v>0.8387</v>
      </c>
      <c r="Y108" s="17">
        <v>0.85570000000000002</v>
      </c>
    </row>
    <row r="109" spans="1:25" x14ac:dyDescent="0.25">
      <c r="A109" s="7">
        <v>0.48</v>
      </c>
      <c r="B109" s="2">
        <v>2.0742712000000001</v>
      </c>
      <c r="C109" s="2">
        <v>0.99999990000000005</v>
      </c>
      <c r="D109" s="2">
        <v>0.87508730000000001</v>
      </c>
      <c r="E109" s="12">
        <v>2.3460999999999999</v>
      </c>
      <c r="F109" s="2">
        <v>0.8639</v>
      </c>
      <c r="G109" s="13">
        <v>0.85929999999999995</v>
      </c>
      <c r="H109" s="18">
        <v>2.4508000000000001</v>
      </c>
      <c r="I109" s="8">
        <v>0.8196</v>
      </c>
      <c r="J109" s="8">
        <v>0.85299999999999998</v>
      </c>
      <c r="K109" s="18">
        <v>2.4384999999999999</v>
      </c>
      <c r="L109" s="8">
        <v>0.8246</v>
      </c>
      <c r="M109" s="13">
        <v>0.85370000000000001</v>
      </c>
      <c r="N109" s="12">
        <v>2.4285000000000001</v>
      </c>
      <c r="O109" s="2">
        <v>0.82869999999999999</v>
      </c>
      <c r="P109" s="17">
        <v>0.85429999999999995</v>
      </c>
      <c r="Q109" s="12">
        <v>2.4197000000000002</v>
      </c>
      <c r="R109" s="2">
        <v>0.83230000000000004</v>
      </c>
      <c r="S109" s="17">
        <v>0.85489999999999999</v>
      </c>
      <c r="T109" s="12">
        <v>2.4068000000000001</v>
      </c>
      <c r="U109" s="2">
        <v>0.8377</v>
      </c>
      <c r="V109" s="17">
        <v>0.85560000000000003</v>
      </c>
      <c r="W109" s="12">
        <v>2.4045000000000001</v>
      </c>
      <c r="X109" s="2">
        <v>0.8387</v>
      </c>
      <c r="Y109" s="17">
        <v>0.85580000000000001</v>
      </c>
    </row>
    <row r="110" spans="1:25" x14ac:dyDescent="0.25">
      <c r="A110" s="7">
        <v>0.49</v>
      </c>
      <c r="B110" s="2">
        <v>2.0792742</v>
      </c>
      <c r="C110" s="2">
        <v>1</v>
      </c>
      <c r="D110" s="2">
        <v>0.87341500000000005</v>
      </c>
      <c r="E110" s="12">
        <v>2.3479000000000001</v>
      </c>
      <c r="F110" s="2">
        <v>0.86399999999999999</v>
      </c>
      <c r="G110" s="13">
        <v>0.85870000000000002</v>
      </c>
      <c r="H110" s="18">
        <v>2.4514</v>
      </c>
      <c r="I110" s="8">
        <v>0.8196</v>
      </c>
      <c r="J110" s="8">
        <v>0.8528</v>
      </c>
      <c r="K110" s="18">
        <v>2.4392999999999998</v>
      </c>
      <c r="L110" s="8">
        <v>0.8246</v>
      </c>
      <c r="M110" s="13">
        <v>0.85350000000000004</v>
      </c>
      <c r="N110" s="12">
        <v>2.4293</v>
      </c>
      <c r="O110" s="2">
        <v>0.82879999999999998</v>
      </c>
      <c r="P110" s="17">
        <v>0.85409999999999997</v>
      </c>
      <c r="Q110" s="12">
        <v>2.4207000000000001</v>
      </c>
      <c r="R110" s="2">
        <v>0.83240000000000003</v>
      </c>
      <c r="S110" s="17">
        <v>0.85460000000000003</v>
      </c>
      <c r="T110" s="12">
        <v>2.4079000000000002</v>
      </c>
      <c r="U110" s="2">
        <v>0.83779999999999999</v>
      </c>
      <c r="V110" s="17">
        <v>0.85529999999999995</v>
      </c>
      <c r="W110" s="12">
        <v>2.4056999999999999</v>
      </c>
      <c r="X110" s="2">
        <v>0.83879999999999999</v>
      </c>
      <c r="Y110" s="17">
        <v>0.85540000000000005</v>
      </c>
    </row>
    <row r="111" spans="1:25" x14ac:dyDescent="0.25">
      <c r="A111" s="7">
        <v>0.5</v>
      </c>
      <c r="B111" s="2">
        <v>2.0788422</v>
      </c>
      <c r="C111" s="2">
        <v>0.99999990000000005</v>
      </c>
      <c r="D111" s="2">
        <v>0.87323649999999997</v>
      </c>
      <c r="E111" s="12">
        <v>2.3477000000000001</v>
      </c>
      <c r="F111" s="2">
        <v>0.86399999999999999</v>
      </c>
      <c r="G111" s="13">
        <v>0.85860000000000003</v>
      </c>
      <c r="H111" s="18">
        <v>2.4512999999999998</v>
      </c>
      <c r="I111" s="8">
        <v>0.8196</v>
      </c>
      <c r="J111" s="8">
        <v>0.8528</v>
      </c>
      <c r="K111" s="18">
        <v>2.4392</v>
      </c>
      <c r="L111" s="8">
        <v>0.8246</v>
      </c>
      <c r="M111" s="13">
        <v>0.85350000000000004</v>
      </c>
      <c r="N111" s="12">
        <v>2.4293</v>
      </c>
      <c r="O111" s="2">
        <v>0.82869999999999999</v>
      </c>
      <c r="P111" s="17">
        <v>0.85399999999999998</v>
      </c>
      <c r="Q111" s="12">
        <v>2.4205999999999999</v>
      </c>
      <c r="R111" s="2">
        <v>0.83240000000000003</v>
      </c>
      <c r="S111" s="17">
        <v>0.85450000000000004</v>
      </c>
      <c r="T111" s="12">
        <v>2.4077999999999999</v>
      </c>
      <c r="U111" s="2">
        <v>0.83779999999999999</v>
      </c>
      <c r="V111" s="17">
        <v>0.85519999999999996</v>
      </c>
      <c r="W111" s="12">
        <v>2.4056000000000002</v>
      </c>
      <c r="X111" s="2">
        <v>0.83879999999999999</v>
      </c>
      <c r="Y111" s="17">
        <v>0.85540000000000005</v>
      </c>
    </row>
    <row r="112" spans="1:25" x14ac:dyDescent="0.25">
      <c r="A112" s="7">
        <v>0.51</v>
      </c>
      <c r="B112" s="2">
        <v>2.0755110000000001</v>
      </c>
      <c r="C112" s="2">
        <v>0.99999979999999999</v>
      </c>
      <c r="D112" s="2">
        <v>0.87525810000000004</v>
      </c>
      <c r="E112" s="12">
        <v>2.3464999999999998</v>
      </c>
      <c r="F112" s="2">
        <v>0.86399999999999999</v>
      </c>
      <c r="G112" s="13">
        <v>0.85940000000000005</v>
      </c>
      <c r="H112" s="18">
        <v>2.4510000000000001</v>
      </c>
      <c r="I112" s="8">
        <v>0.8196</v>
      </c>
      <c r="J112" s="8">
        <v>0.85299999999999998</v>
      </c>
      <c r="K112" s="18">
        <v>2.4386999999999999</v>
      </c>
      <c r="L112" s="8">
        <v>0.8246</v>
      </c>
      <c r="M112" s="13">
        <v>0.8538</v>
      </c>
      <c r="N112" s="12">
        <v>2.4287000000000001</v>
      </c>
      <c r="O112" s="2">
        <v>0.82869999999999999</v>
      </c>
      <c r="P112" s="17">
        <v>0.85440000000000005</v>
      </c>
      <c r="Q112" s="12">
        <v>2.42</v>
      </c>
      <c r="R112" s="2">
        <v>0.83230000000000004</v>
      </c>
      <c r="S112" s="17">
        <v>0.85489999999999999</v>
      </c>
      <c r="T112" s="12">
        <v>2.4070999999999998</v>
      </c>
      <c r="U112" s="2">
        <v>0.8377</v>
      </c>
      <c r="V112" s="17">
        <v>0.85570000000000002</v>
      </c>
      <c r="W112" s="12">
        <v>2.4047999999999998</v>
      </c>
      <c r="X112" s="2">
        <v>0.8387</v>
      </c>
      <c r="Y112" s="17">
        <v>0.85580000000000001</v>
      </c>
    </row>
    <row r="113" spans="1:25" x14ac:dyDescent="0.25">
      <c r="A113" s="7">
        <v>0.52</v>
      </c>
      <c r="B113" s="2">
        <v>2.0781101999999998</v>
      </c>
      <c r="C113" s="2">
        <v>0.99999979999999999</v>
      </c>
      <c r="D113" s="2">
        <v>0.87527580000000005</v>
      </c>
      <c r="E113" s="12">
        <v>2.3473999999999999</v>
      </c>
      <c r="F113" s="2">
        <v>0.86399999999999999</v>
      </c>
      <c r="G113" s="13">
        <v>0.85940000000000005</v>
      </c>
      <c r="H113" s="18">
        <v>2.4512999999999998</v>
      </c>
      <c r="I113" s="8">
        <v>0.8196</v>
      </c>
      <c r="J113" s="8">
        <v>0.85299999999999998</v>
      </c>
      <c r="K113" s="18">
        <v>2.4390999999999998</v>
      </c>
      <c r="L113" s="8">
        <v>0.8246</v>
      </c>
      <c r="M113" s="13">
        <v>0.8538</v>
      </c>
      <c r="N113" s="12">
        <v>2.4291</v>
      </c>
      <c r="O113" s="2">
        <v>0.82869999999999999</v>
      </c>
      <c r="P113" s="17">
        <v>0.85440000000000005</v>
      </c>
      <c r="Q113" s="12">
        <v>2.4205000000000001</v>
      </c>
      <c r="R113" s="2">
        <v>0.83240000000000003</v>
      </c>
      <c r="S113" s="17">
        <v>0.85489999999999999</v>
      </c>
      <c r="T113" s="12">
        <v>2.4077000000000002</v>
      </c>
      <c r="U113" s="2">
        <v>0.83779999999999999</v>
      </c>
      <c r="V113" s="17">
        <v>0.85570000000000002</v>
      </c>
      <c r="W113" s="12">
        <v>2.4054000000000002</v>
      </c>
      <c r="X113" s="2">
        <v>0.8387</v>
      </c>
      <c r="Y113" s="17">
        <v>0.85580000000000001</v>
      </c>
    </row>
    <row r="114" spans="1:25" x14ac:dyDescent="0.25">
      <c r="A114" s="7">
        <v>0.53</v>
      </c>
      <c r="B114" s="2">
        <v>2.0835105999999999</v>
      </c>
      <c r="C114" s="2">
        <v>0.99999959999999999</v>
      </c>
      <c r="D114" s="2">
        <v>0.87115180000000003</v>
      </c>
      <c r="E114" s="12">
        <v>2.3494000000000002</v>
      </c>
      <c r="F114" s="2">
        <v>0.86409999999999998</v>
      </c>
      <c r="G114" s="13">
        <v>0.85780000000000001</v>
      </c>
      <c r="H114" s="18">
        <v>2.4519000000000002</v>
      </c>
      <c r="I114" s="8">
        <v>0.8196</v>
      </c>
      <c r="J114" s="8">
        <v>0.85250000000000004</v>
      </c>
      <c r="K114" s="18">
        <v>2.4399000000000002</v>
      </c>
      <c r="L114" s="8">
        <v>0.82469999999999999</v>
      </c>
      <c r="M114" s="13">
        <v>0.85319999999999996</v>
      </c>
      <c r="N114" s="12">
        <v>2.4300000000000002</v>
      </c>
      <c r="O114" s="2">
        <v>0.82879999999999998</v>
      </c>
      <c r="P114" s="17">
        <v>0.85370000000000001</v>
      </c>
      <c r="Q114" s="12">
        <v>2.4215</v>
      </c>
      <c r="R114" s="2">
        <v>0.83240000000000003</v>
      </c>
      <c r="S114" s="17">
        <v>0.85409999999999997</v>
      </c>
      <c r="T114" s="12">
        <v>2.4087999999999998</v>
      </c>
      <c r="U114" s="2">
        <v>0.83789999999999998</v>
      </c>
      <c r="V114" s="17">
        <v>0.8548</v>
      </c>
      <c r="W114" s="12">
        <v>2.4066000000000001</v>
      </c>
      <c r="X114" s="2">
        <v>0.83879999999999999</v>
      </c>
      <c r="Y114" s="17">
        <v>0.85489999999999999</v>
      </c>
    </row>
    <row r="115" spans="1:25" x14ac:dyDescent="0.25">
      <c r="A115" s="7">
        <v>0.54</v>
      </c>
      <c r="B115" s="2">
        <v>2.0800046999999999</v>
      </c>
      <c r="C115" s="2">
        <v>0.99999950000000004</v>
      </c>
      <c r="D115" s="2">
        <v>0.87326360000000003</v>
      </c>
      <c r="E115" s="12">
        <v>2.3481000000000001</v>
      </c>
      <c r="F115" s="2">
        <v>0.86409999999999998</v>
      </c>
      <c r="G115" s="13">
        <v>0.85860000000000003</v>
      </c>
      <c r="H115" s="18">
        <v>2.4514999999999998</v>
      </c>
      <c r="I115" s="8">
        <v>0.8196</v>
      </c>
      <c r="J115" s="8">
        <v>0.8528</v>
      </c>
      <c r="K115" s="18">
        <v>2.4394</v>
      </c>
      <c r="L115" s="8">
        <v>0.8246</v>
      </c>
      <c r="M115" s="13">
        <v>0.85350000000000004</v>
      </c>
      <c r="N115" s="12">
        <v>2.4295</v>
      </c>
      <c r="O115" s="2">
        <v>0.82879999999999998</v>
      </c>
      <c r="P115" s="17">
        <v>0.85399999999999998</v>
      </c>
      <c r="Q115" s="12">
        <v>2.4207999999999998</v>
      </c>
      <c r="R115" s="2">
        <v>0.83240000000000003</v>
      </c>
      <c r="S115" s="17">
        <v>0.85450000000000004</v>
      </c>
      <c r="T115" s="12">
        <v>2.4081000000000001</v>
      </c>
      <c r="U115" s="2">
        <v>0.83779999999999999</v>
      </c>
      <c r="V115" s="17">
        <v>0.85519999999999996</v>
      </c>
      <c r="W115" s="12">
        <v>2.4058000000000002</v>
      </c>
      <c r="X115" s="2">
        <v>0.83879999999999999</v>
      </c>
      <c r="Y115" s="17">
        <v>0.85540000000000005</v>
      </c>
    </row>
    <row r="116" spans="1:25" x14ac:dyDescent="0.25">
      <c r="A116" s="7">
        <v>0.55000000000000004</v>
      </c>
      <c r="B116" s="2">
        <v>2.0854764000000001</v>
      </c>
      <c r="C116" s="2">
        <v>0.99999939999999998</v>
      </c>
      <c r="D116" s="2">
        <v>0.87373350000000005</v>
      </c>
      <c r="E116" s="12">
        <v>2.3500999999999999</v>
      </c>
      <c r="F116" s="2">
        <v>0.86419999999999997</v>
      </c>
      <c r="G116" s="13">
        <v>0.85880000000000001</v>
      </c>
      <c r="H116" s="18">
        <v>2.4521000000000002</v>
      </c>
      <c r="I116" s="8">
        <v>0.81969999999999998</v>
      </c>
      <c r="J116" s="8">
        <v>0.8528</v>
      </c>
      <c r="K116" s="18">
        <v>2.4401000000000002</v>
      </c>
      <c r="L116" s="8">
        <v>0.82469999999999999</v>
      </c>
      <c r="M116" s="13">
        <v>0.85360000000000003</v>
      </c>
      <c r="N116" s="12">
        <v>2.4304000000000001</v>
      </c>
      <c r="O116" s="2">
        <v>0.82879999999999998</v>
      </c>
      <c r="P116" s="17">
        <v>0.85409999999999997</v>
      </c>
      <c r="Q116" s="12">
        <v>2.4218000000000002</v>
      </c>
      <c r="R116" s="2">
        <v>0.83250000000000002</v>
      </c>
      <c r="S116" s="17">
        <v>0.85460000000000003</v>
      </c>
      <c r="T116" s="12">
        <v>2.4093</v>
      </c>
      <c r="U116" s="2">
        <v>0.83789999999999998</v>
      </c>
      <c r="V116" s="17">
        <v>0.85540000000000005</v>
      </c>
      <c r="W116" s="12">
        <v>2.4070999999999998</v>
      </c>
      <c r="X116" s="2">
        <v>0.83889999999999998</v>
      </c>
      <c r="Y116" s="17">
        <v>0.85550000000000004</v>
      </c>
    </row>
    <row r="117" spans="1:25" x14ac:dyDescent="0.25">
      <c r="A117" s="7">
        <v>0.56000000000000005</v>
      </c>
      <c r="B117" s="2">
        <v>2.0944213999999999</v>
      </c>
      <c r="C117" s="2">
        <v>0.99999930000000004</v>
      </c>
      <c r="D117" s="2">
        <v>0.8740694</v>
      </c>
      <c r="E117" s="12">
        <v>2.3532999999999999</v>
      </c>
      <c r="F117" s="2">
        <v>0.86439999999999995</v>
      </c>
      <c r="G117" s="13">
        <v>0.85899999999999999</v>
      </c>
      <c r="H117" s="18">
        <v>2.4531000000000001</v>
      </c>
      <c r="I117" s="8">
        <v>0.81969999999999998</v>
      </c>
      <c r="J117" s="8">
        <v>0.85289999999999999</v>
      </c>
      <c r="K117" s="18">
        <v>2.4413999999999998</v>
      </c>
      <c r="L117" s="8">
        <v>0.82479999999999998</v>
      </c>
      <c r="M117" s="13">
        <v>0.85360000000000003</v>
      </c>
      <c r="N117" s="12">
        <v>2.4319000000000002</v>
      </c>
      <c r="O117" s="2">
        <v>0.82889999999999997</v>
      </c>
      <c r="P117" s="17">
        <v>0.85419999999999996</v>
      </c>
      <c r="Q117" s="12">
        <v>2.4235000000000002</v>
      </c>
      <c r="R117" s="2">
        <v>0.83260000000000001</v>
      </c>
      <c r="S117" s="17">
        <v>0.85470000000000002</v>
      </c>
      <c r="T117" s="12">
        <v>2.4112</v>
      </c>
      <c r="U117" s="2">
        <v>0.83799999999999997</v>
      </c>
      <c r="V117" s="17">
        <v>0.85550000000000004</v>
      </c>
      <c r="W117" s="12">
        <v>2.4091</v>
      </c>
      <c r="X117" s="2">
        <v>0.83899999999999997</v>
      </c>
      <c r="Y117" s="17">
        <v>0.85560000000000003</v>
      </c>
    </row>
    <row r="118" spans="1:25" x14ac:dyDescent="0.25">
      <c r="A118" s="7">
        <v>0.56999999999999995</v>
      </c>
      <c r="B118" s="2">
        <v>2.0766106</v>
      </c>
      <c r="C118" s="2">
        <v>0.99999919999999998</v>
      </c>
      <c r="D118" s="2">
        <v>0.87443380000000004</v>
      </c>
      <c r="E118" s="12">
        <v>2.3469000000000002</v>
      </c>
      <c r="F118" s="2">
        <v>0.86399999999999999</v>
      </c>
      <c r="G118" s="13">
        <v>0.85899999999999999</v>
      </c>
      <c r="H118" s="18">
        <v>2.4510999999999998</v>
      </c>
      <c r="I118" s="8">
        <v>0.8196</v>
      </c>
      <c r="J118" s="8">
        <v>0.85289999999999999</v>
      </c>
      <c r="K118" s="18">
        <v>2.4388999999999998</v>
      </c>
      <c r="L118" s="8">
        <v>0.8246</v>
      </c>
      <c r="M118" s="13">
        <v>0.85360000000000003</v>
      </c>
      <c r="N118" s="12">
        <v>2.4289000000000001</v>
      </c>
      <c r="O118" s="2">
        <v>0.82869999999999999</v>
      </c>
      <c r="P118" s="17">
        <v>0.85419999999999996</v>
      </c>
      <c r="Q118" s="12">
        <v>2.4201999999999999</v>
      </c>
      <c r="R118" s="2">
        <v>0.83240000000000003</v>
      </c>
      <c r="S118" s="17">
        <v>0.85470000000000002</v>
      </c>
      <c r="T118" s="12">
        <v>2.4073000000000002</v>
      </c>
      <c r="U118" s="2">
        <v>0.83779999999999999</v>
      </c>
      <c r="V118" s="17">
        <v>0.85550000000000004</v>
      </c>
      <c r="W118" s="12">
        <v>2.4051</v>
      </c>
      <c r="X118" s="2">
        <v>0.8387</v>
      </c>
      <c r="Y118" s="17">
        <v>0.85560000000000003</v>
      </c>
    </row>
    <row r="119" spans="1:25" x14ac:dyDescent="0.25">
      <c r="A119" s="7">
        <v>0.57999999999999996</v>
      </c>
      <c r="B119" s="2">
        <v>2.0490065</v>
      </c>
      <c r="C119" s="2">
        <v>0.99999890000000002</v>
      </c>
      <c r="D119" s="2">
        <v>0.86993359999999997</v>
      </c>
      <c r="E119" s="12">
        <v>2.3369</v>
      </c>
      <c r="F119" s="2">
        <v>0.86339999999999995</v>
      </c>
      <c r="G119" s="13">
        <v>0.85729999999999995</v>
      </c>
      <c r="H119" s="18">
        <v>2.4479000000000002</v>
      </c>
      <c r="I119" s="8">
        <v>0.81930000000000003</v>
      </c>
      <c r="J119" s="8">
        <v>0.85240000000000005</v>
      </c>
      <c r="K119" s="18">
        <v>2.4348999999999998</v>
      </c>
      <c r="L119" s="8">
        <v>0.82430000000000003</v>
      </c>
      <c r="M119" s="13">
        <v>0.85289999999999999</v>
      </c>
      <c r="N119" s="12">
        <v>2.4241999999999999</v>
      </c>
      <c r="O119" s="2">
        <v>0.82840000000000003</v>
      </c>
      <c r="P119" s="17">
        <v>0.85340000000000005</v>
      </c>
      <c r="Q119" s="12">
        <v>2.415</v>
      </c>
      <c r="R119" s="2">
        <v>0.83199999999999996</v>
      </c>
      <c r="S119" s="17">
        <v>0.8538</v>
      </c>
      <c r="T119" s="12">
        <v>2.4013</v>
      </c>
      <c r="U119" s="2">
        <v>0.83740000000000003</v>
      </c>
      <c r="V119" s="17">
        <v>0.85440000000000005</v>
      </c>
      <c r="W119" s="12">
        <v>2.3988999999999998</v>
      </c>
      <c r="X119" s="2">
        <v>0.83830000000000005</v>
      </c>
      <c r="Y119" s="17">
        <v>0.85460000000000003</v>
      </c>
    </row>
    <row r="120" spans="1:25" x14ac:dyDescent="0.25">
      <c r="A120" s="7">
        <v>0.59</v>
      </c>
      <c r="B120" s="2">
        <v>2.0770197000000001</v>
      </c>
      <c r="C120" s="2">
        <v>0.99999899999999997</v>
      </c>
      <c r="D120" s="2">
        <v>0.87267039999999996</v>
      </c>
      <c r="E120" s="12">
        <v>2.347</v>
      </c>
      <c r="F120" s="2">
        <v>0.86399999999999999</v>
      </c>
      <c r="G120" s="13">
        <v>0.85840000000000005</v>
      </c>
      <c r="H120" s="18">
        <v>2.4510999999999998</v>
      </c>
      <c r="I120" s="8">
        <v>0.8196</v>
      </c>
      <c r="J120" s="8">
        <v>0.85270000000000001</v>
      </c>
      <c r="K120" s="18">
        <v>2.4388999999999998</v>
      </c>
      <c r="L120" s="8">
        <v>0.8246</v>
      </c>
      <c r="M120" s="13">
        <v>0.85340000000000005</v>
      </c>
      <c r="N120" s="12">
        <v>2.4289999999999998</v>
      </c>
      <c r="O120" s="2">
        <v>0.82869999999999999</v>
      </c>
      <c r="P120" s="17">
        <v>0.85389999999999999</v>
      </c>
      <c r="Q120" s="12">
        <v>2.4201999999999999</v>
      </c>
      <c r="R120" s="2">
        <v>0.83240000000000003</v>
      </c>
      <c r="S120" s="17">
        <v>0.85440000000000005</v>
      </c>
      <c r="T120" s="12">
        <v>2.4074</v>
      </c>
      <c r="U120" s="2">
        <v>0.83779999999999999</v>
      </c>
      <c r="V120" s="17">
        <v>0.85509999999999997</v>
      </c>
      <c r="W120" s="12">
        <v>2.4051999999999998</v>
      </c>
      <c r="X120" s="2">
        <v>0.8387</v>
      </c>
      <c r="Y120" s="17">
        <v>0.85519999999999996</v>
      </c>
    </row>
    <row r="121" spans="1:25" x14ac:dyDescent="0.25">
      <c r="A121" s="7">
        <v>0.6</v>
      </c>
      <c r="B121" s="2">
        <v>2.1451096999999999</v>
      </c>
      <c r="C121" s="2">
        <v>0.99999859999999996</v>
      </c>
      <c r="D121" s="2">
        <v>0.87649949999999999</v>
      </c>
      <c r="E121" s="12">
        <v>2.3717000000000001</v>
      </c>
      <c r="F121" s="2">
        <v>0.86539999999999995</v>
      </c>
      <c r="G121" s="13">
        <v>0.86</v>
      </c>
      <c r="H121" s="18">
        <v>2.4590000000000001</v>
      </c>
      <c r="I121" s="8">
        <v>0.82020000000000004</v>
      </c>
      <c r="J121" s="8">
        <v>0.85329999999999995</v>
      </c>
      <c r="K121" s="18">
        <v>2.4487999999999999</v>
      </c>
      <c r="L121" s="8">
        <v>0.82530000000000003</v>
      </c>
      <c r="M121" s="13">
        <v>0.85409999999999997</v>
      </c>
      <c r="N121" s="12">
        <v>2.4403999999999999</v>
      </c>
      <c r="O121" s="2">
        <v>0.82950000000000002</v>
      </c>
      <c r="P121" s="17">
        <v>0.85470000000000002</v>
      </c>
      <c r="Q121" s="12">
        <v>2.4331</v>
      </c>
      <c r="R121" s="2">
        <v>0.83320000000000005</v>
      </c>
      <c r="S121" s="17">
        <v>0.85529999999999995</v>
      </c>
      <c r="T121" s="12">
        <v>2.4222999999999999</v>
      </c>
      <c r="U121" s="2">
        <v>0.83879999999999999</v>
      </c>
      <c r="V121" s="17">
        <v>0.85609999999999997</v>
      </c>
      <c r="W121" s="12">
        <v>2.4203999999999999</v>
      </c>
      <c r="X121" s="2">
        <v>0.8397</v>
      </c>
      <c r="Y121" s="17">
        <v>0.85629999999999995</v>
      </c>
    </row>
    <row r="122" spans="1:25" x14ac:dyDescent="0.25">
      <c r="A122" s="7">
        <v>0.61</v>
      </c>
      <c r="B122" s="2">
        <v>2.1453316</v>
      </c>
      <c r="C122" s="2">
        <v>0.99999859999999996</v>
      </c>
      <c r="D122" s="2">
        <v>0.87761619999999996</v>
      </c>
      <c r="E122" s="12">
        <v>2.3717000000000001</v>
      </c>
      <c r="F122" s="2">
        <v>0.86539999999999995</v>
      </c>
      <c r="G122" s="13">
        <v>0.86040000000000005</v>
      </c>
      <c r="H122" s="18">
        <v>2.4590000000000001</v>
      </c>
      <c r="I122" s="8">
        <v>0.82020000000000004</v>
      </c>
      <c r="J122" s="8">
        <v>0.85340000000000005</v>
      </c>
      <c r="K122" s="18">
        <v>2.4487999999999999</v>
      </c>
      <c r="L122" s="8">
        <v>0.82530000000000003</v>
      </c>
      <c r="M122" s="13">
        <v>0.85419999999999996</v>
      </c>
      <c r="N122" s="12">
        <v>2.4403999999999999</v>
      </c>
      <c r="O122" s="2">
        <v>0.82950000000000002</v>
      </c>
      <c r="P122" s="17">
        <v>0.85489999999999999</v>
      </c>
      <c r="Q122" s="12">
        <v>2.4331</v>
      </c>
      <c r="R122" s="2">
        <v>0.83320000000000005</v>
      </c>
      <c r="S122" s="17">
        <v>0.85550000000000004</v>
      </c>
      <c r="T122" s="12">
        <v>2.4224000000000001</v>
      </c>
      <c r="U122" s="2">
        <v>0.83879999999999999</v>
      </c>
      <c r="V122" s="17">
        <v>0.85640000000000005</v>
      </c>
      <c r="W122" s="12">
        <v>2.4205000000000001</v>
      </c>
      <c r="X122" s="2">
        <v>0.8397</v>
      </c>
      <c r="Y122" s="17">
        <v>0.85650000000000004</v>
      </c>
    </row>
    <row r="123" spans="1:25" x14ac:dyDescent="0.25">
      <c r="A123" s="7">
        <v>0.62</v>
      </c>
      <c r="B123" s="2">
        <v>2.0678619999999999</v>
      </c>
      <c r="C123" s="2">
        <v>0.99999819999999995</v>
      </c>
      <c r="D123" s="2">
        <v>0.87546780000000002</v>
      </c>
      <c r="E123" s="12">
        <v>2.3437000000000001</v>
      </c>
      <c r="F123" s="2">
        <v>0.86380000000000001</v>
      </c>
      <c r="G123" s="13">
        <v>0.85940000000000005</v>
      </c>
      <c r="H123" s="18">
        <v>2.4500999999999999</v>
      </c>
      <c r="I123" s="8">
        <v>0.81950000000000001</v>
      </c>
      <c r="J123" s="8">
        <v>0.85299999999999998</v>
      </c>
      <c r="K123" s="18">
        <v>2.4376000000000002</v>
      </c>
      <c r="L123" s="8">
        <v>0.82450000000000001</v>
      </c>
      <c r="M123" s="13">
        <v>0.8538</v>
      </c>
      <c r="N123" s="12">
        <v>2.4274</v>
      </c>
      <c r="O123" s="2">
        <v>0.8286</v>
      </c>
      <c r="P123" s="17">
        <v>0.85440000000000005</v>
      </c>
      <c r="Q123" s="12">
        <v>2.4184999999999999</v>
      </c>
      <c r="R123" s="2">
        <v>0.83220000000000005</v>
      </c>
      <c r="S123" s="17">
        <v>0.85489999999999999</v>
      </c>
      <c r="T123" s="12">
        <v>2.4054000000000002</v>
      </c>
      <c r="U123" s="2">
        <v>0.83760000000000001</v>
      </c>
      <c r="V123" s="17">
        <v>0.85570000000000002</v>
      </c>
      <c r="W123" s="12">
        <v>2.4030999999999998</v>
      </c>
      <c r="X123" s="2">
        <v>0.83860000000000001</v>
      </c>
      <c r="Y123" s="17">
        <v>0.85589999999999999</v>
      </c>
    </row>
    <row r="124" spans="1:25" x14ac:dyDescent="0.25">
      <c r="A124" s="7">
        <v>0.63</v>
      </c>
      <c r="B124" s="2">
        <v>2.0130701000000002</v>
      </c>
      <c r="C124" s="2">
        <v>0.99999760000000004</v>
      </c>
      <c r="D124" s="2">
        <v>0.86880469999999999</v>
      </c>
      <c r="E124" s="12">
        <v>2.3239000000000001</v>
      </c>
      <c r="F124" s="2">
        <v>0.86260000000000003</v>
      </c>
      <c r="G124" s="13">
        <v>0.85680000000000001</v>
      </c>
      <c r="H124" s="18">
        <v>2.4437000000000002</v>
      </c>
      <c r="I124" s="8">
        <v>0.81899999999999995</v>
      </c>
      <c r="J124" s="8">
        <v>0.85219999999999996</v>
      </c>
      <c r="K124" s="18">
        <v>2.4297</v>
      </c>
      <c r="L124" s="8">
        <v>0.82389999999999997</v>
      </c>
      <c r="M124" s="13">
        <v>0.85270000000000001</v>
      </c>
      <c r="N124" s="12">
        <v>2.4182000000000001</v>
      </c>
      <c r="O124" s="2">
        <v>0.82799999999999996</v>
      </c>
      <c r="P124" s="17">
        <v>0.85319999999999996</v>
      </c>
      <c r="Q124" s="12">
        <v>2.4081999999999999</v>
      </c>
      <c r="R124" s="2">
        <v>0.83150000000000002</v>
      </c>
      <c r="S124" s="17">
        <v>0.85360000000000003</v>
      </c>
      <c r="T124" s="12">
        <v>2.3934000000000002</v>
      </c>
      <c r="U124" s="2">
        <v>0.83679999999999999</v>
      </c>
      <c r="V124" s="17">
        <v>0.85409999999999997</v>
      </c>
      <c r="W124" s="12">
        <v>2.3908</v>
      </c>
      <c r="X124" s="2">
        <v>0.83779999999999999</v>
      </c>
      <c r="Y124" s="17">
        <v>0.85419999999999996</v>
      </c>
    </row>
    <row r="125" spans="1:25" x14ac:dyDescent="0.25">
      <c r="A125" s="7">
        <v>0.64</v>
      </c>
      <c r="B125" s="2">
        <v>2.0478844999999999</v>
      </c>
      <c r="C125" s="2">
        <v>0.99999760000000004</v>
      </c>
      <c r="D125" s="2">
        <v>0.86839929999999999</v>
      </c>
      <c r="E125" s="12">
        <v>2.3365</v>
      </c>
      <c r="F125" s="2">
        <v>0.86339999999999995</v>
      </c>
      <c r="G125" s="13">
        <v>0.85680000000000001</v>
      </c>
      <c r="H125" s="18">
        <v>2.4478</v>
      </c>
      <c r="I125" s="8">
        <v>0.81930000000000003</v>
      </c>
      <c r="J125" s="8">
        <v>0.85219999999999996</v>
      </c>
      <c r="K125" s="18">
        <v>2.4346999999999999</v>
      </c>
      <c r="L125" s="8">
        <v>0.82430000000000003</v>
      </c>
      <c r="M125" s="13">
        <v>0.85270000000000001</v>
      </c>
      <c r="N125" s="12">
        <v>2.4241000000000001</v>
      </c>
      <c r="O125" s="2">
        <v>0.82840000000000003</v>
      </c>
      <c r="P125" s="17">
        <v>0.85319999999999996</v>
      </c>
      <c r="Q125" s="12">
        <v>2.4148000000000001</v>
      </c>
      <c r="R125" s="2">
        <v>0.83199999999999996</v>
      </c>
      <c r="S125" s="17">
        <v>0.85350000000000004</v>
      </c>
      <c r="T125" s="12">
        <v>2.4009999999999998</v>
      </c>
      <c r="U125" s="2">
        <v>0.83730000000000004</v>
      </c>
      <c r="V125" s="17">
        <v>0.85409999999999997</v>
      </c>
      <c r="W125" s="12">
        <v>2.3986000000000001</v>
      </c>
      <c r="X125" s="2">
        <v>0.83830000000000005</v>
      </c>
      <c r="Y125" s="17">
        <v>0.85419999999999996</v>
      </c>
    </row>
    <row r="126" spans="1:25" x14ac:dyDescent="0.25">
      <c r="A126" s="7">
        <v>0.65</v>
      </c>
      <c r="B126" s="2">
        <v>2.1078855999999999</v>
      </c>
      <c r="C126" s="2">
        <v>0.99999729999999998</v>
      </c>
      <c r="D126" s="2">
        <v>0.87391569999999996</v>
      </c>
      <c r="E126" s="12">
        <v>2.3582000000000001</v>
      </c>
      <c r="F126" s="2">
        <v>0.86460000000000004</v>
      </c>
      <c r="G126" s="13">
        <v>0.8589</v>
      </c>
      <c r="H126" s="18">
        <v>2.4546999999999999</v>
      </c>
      <c r="I126" s="8">
        <v>0.81979999999999997</v>
      </c>
      <c r="J126" s="8">
        <v>0.85289999999999999</v>
      </c>
      <c r="K126" s="18">
        <v>2.4434</v>
      </c>
      <c r="L126" s="8">
        <v>0.82489999999999997</v>
      </c>
      <c r="M126" s="13">
        <v>0.85360000000000003</v>
      </c>
      <c r="N126" s="12">
        <v>2.4340999999999999</v>
      </c>
      <c r="O126" s="2">
        <v>0.82909999999999995</v>
      </c>
      <c r="P126" s="17">
        <v>0.85419999999999996</v>
      </c>
      <c r="Q126" s="12">
        <v>2.4260999999999999</v>
      </c>
      <c r="R126" s="2">
        <v>0.83279999999999998</v>
      </c>
      <c r="S126" s="17">
        <v>0.85470000000000002</v>
      </c>
      <c r="T126" s="12">
        <v>2.4142000000000001</v>
      </c>
      <c r="U126" s="2">
        <v>0.83819999999999995</v>
      </c>
      <c r="V126" s="17">
        <v>0.85550000000000004</v>
      </c>
      <c r="W126" s="12">
        <v>2.4121000000000001</v>
      </c>
      <c r="X126" s="2">
        <v>0.83919999999999995</v>
      </c>
      <c r="Y126" s="17">
        <v>0.85560000000000003</v>
      </c>
    </row>
    <row r="127" spans="1:25" x14ac:dyDescent="0.25">
      <c r="A127" s="7">
        <v>0.66</v>
      </c>
      <c r="B127" s="2">
        <v>2.1379454</v>
      </c>
      <c r="C127" s="2">
        <v>0.99999689999999997</v>
      </c>
      <c r="D127" s="2">
        <v>0.87409460000000005</v>
      </c>
      <c r="E127" s="12">
        <v>2.3691</v>
      </c>
      <c r="F127" s="2">
        <v>0.86529999999999996</v>
      </c>
      <c r="G127" s="13">
        <v>0.85909999999999997</v>
      </c>
      <c r="H127" s="18">
        <v>2.4582000000000002</v>
      </c>
      <c r="I127" s="8">
        <v>0.82010000000000005</v>
      </c>
      <c r="J127" s="8">
        <v>0.85299999999999998</v>
      </c>
      <c r="K127" s="18">
        <v>2.4477000000000002</v>
      </c>
      <c r="L127" s="8">
        <v>0.82520000000000004</v>
      </c>
      <c r="M127" s="13">
        <v>0.85370000000000001</v>
      </c>
      <c r="N127" s="12">
        <v>2.4392</v>
      </c>
      <c r="O127" s="2">
        <v>0.82940000000000003</v>
      </c>
      <c r="P127" s="17">
        <v>0.85429999999999995</v>
      </c>
      <c r="Q127" s="12">
        <v>2.4317000000000002</v>
      </c>
      <c r="R127" s="2">
        <v>0.83320000000000005</v>
      </c>
      <c r="S127" s="17">
        <v>0.8548</v>
      </c>
      <c r="T127" s="12">
        <v>2.4207999999999998</v>
      </c>
      <c r="U127" s="2">
        <v>0.8387</v>
      </c>
      <c r="V127" s="17">
        <v>0.85560000000000003</v>
      </c>
      <c r="W127" s="12">
        <v>2.4188000000000001</v>
      </c>
      <c r="X127" s="2">
        <v>0.83960000000000001</v>
      </c>
      <c r="Y127" s="17">
        <v>0.85570000000000002</v>
      </c>
    </row>
    <row r="128" spans="1:25" x14ac:dyDescent="0.25">
      <c r="A128" s="7">
        <v>0.67</v>
      </c>
      <c r="B128" s="2">
        <v>2.1153993999999998</v>
      </c>
      <c r="C128" s="2">
        <v>0.99999649999999995</v>
      </c>
      <c r="D128" s="2">
        <v>0.87384969999999995</v>
      </c>
      <c r="E128" s="12">
        <v>2.3609</v>
      </c>
      <c r="F128" s="2">
        <v>0.86480000000000001</v>
      </c>
      <c r="G128" s="13">
        <v>0.8589</v>
      </c>
      <c r="H128" s="18">
        <v>2.4556</v>
      </c>
      <c r="I128" s="8">
        <v>0.81989999999999996</v>
      </c>
      <c r="J128" s="8">
        <v>0.85289999999999999</v>
      </c>
      <c r="K128" s="18">
        <v>2.4445000000000001</v>
      </c>
      <c r="L128" s="8">
        <v>0.82499999999999996</v>
      </c>
      <c r="M128" s="13">
        <v>0.85360000000000003</v>
      </c>
      <c r="N128" s="12">
        <v>2.4354</v>
      </c>
      <c r="O128" s="2">
        <v>0.82920000000000005</v>
      </c>
      <c r="P128" s="17">
        <v>0.85419999999999996</v>
      </c>
      <c r="Q128" s="12">
        <v>2.4275000000000002</v>
      </c>
      <c r="R128" s="2">
        <v>0.83289999999999997</v>
      </c>
      <c r="S128" s="17">
        <v>0.85470000000000002</v>
      </c>
      <c r="T128" s="12">
        <v>2.4157999999999999</v>
      </c>
      <c r="U128" s="2">
        <v>0.83830000000000005</v>
      </c>
      <c r="V128" s="17">
        <v>0.85550000000000004</v>
      </c>
      <c r="W128" s="12">
        <v>2.4138000000000002</v>
      </c>
      <c r="X128" s="2">
        <v>0.83930000000000005</v>
      </c>
      <c r="Y128" s="17">
        <v>0.85560000000000003</v>
      </c>
    </row>
    <row r="129" spans="1:25" x14ac:dyDescent="0.25">
      <c r="A129" s="7">
        <v>0.68</v>
      </c>
      <c r="B129" s="2">
        <v>2.0954518000000002</v>
      </c>
      <c r="C129" s="2">
        <v>0.99999610000000005</v>
      </c>
      <c r="D129" s="2">
        <v>0.86956440000000002</v>
      </c>
      <c r="E129" s="12">
        <v>2.3536999999999999</v>
      </c>
      <c r="F129" s="2">
        <v>0.86439999999999995</v>
      </c>
      <c r="G129" s="13">
        <v>0.85729999999999995</v>
      </c>
      <c r="H129" s="18">
        <v>2.4533</v>
      </c>
      <c r="I129" s="8">
        <v>0.81969999999999998</v>
      </c>
      <c r="J129" s="8">
        <v>0.85240000000000005</v>
      </c>
      <c r="K129" s="18">
        <v>2.4416000000000002</v>
      </c>
      <c r="L129" s="8">
        <v>0.82479999999999998</v>
      </c>
      <c r="M129" s="13">
        <v>0.85289999999999999</v>
      </c>
      <c r="N129" s="12">
        <v>2.4319999999999999</v>
      </c>
      <c r="O129" s="2">
        <v>0.82889999999999997</v>
      </c>
      <c r="P129" s="17">
        <v>0.85340000000000005</v>
      </c>
      <c r="Q129" s="12">
        <v>2.4237000000000002</v>
      </c>
      <c r="R129" s="2">
        <v>0.83260000000000001</v>
      </c>
      <c r="S129" s="17">
        <v>0.8538</v>
      </c>
      <c r="T129" s="12">
        <v>2.4115000000000002</v>
      </c>
      <c r="U129" s="2">
        <v>0.83799999999999997</v>
      </c>
      <c r="V129" s="17">
        <v>0.85440000000000005</v>
      </c>
      <c r="W129" s="12">
        <v>2.4093</v>
      </c>
      <c r="X129" s="2">
        <v>0.83899999999999997</v>
      </c>
      <c r="Y129" s="17">
        <v>0.85450000000000004</v>
      </c>
    </row>
    <row r="130" spans="1:25" x14ac:dyDescent="0.25">
      <c r="A130" s="7">
        <v>0.69</v>
      </c>
      <c r="B130" s="2">
        <v>2.0809836000000002</v>
      </c>
      <c r="C130" s="2">
        <v>0.99999559999999998</v>
      </c>
      <c r="D130" s="2">
        <v>0.87077470000000001</v>
      </c>
      <c r="E130" s="12">
        <v>2.3485</v>
      </c>
      <c r="F130" s="2">
        <v>0.86409999999999998</v>
      </c>
      <c r="G130" s="13">
        <v>0.85770000000000002</v>
      </c>
      <c r="H130" s="18">
        <v>2.4516</v>
      </c>
      <c r="I130" s="8">
        <v>0.8196</v>
      </c>
      <c r="J130" s="8">
        <v>0.85250000000000004</v>
      </c>
      <c r="K130" s="18">
        <v>2.4394999999999998</v>
      </c>
      <c r="L130" s="8">
        <v>0.8246</v>
      </c>
      <c r="M130" s="13">
        <v>0.85309999999999997</v>
      </c>
      <c r="N130" s="12">
        <v>2.4296000000000002</v>
      </c>
      <c r="O130" s="2">
        <v>0.82879999999999998</v>
      </c>
      <c r="P130" s="17">
        <v>0.85360000000000003</v>
      </c>
      <c r="Q130" s="12">
        <v>2.4209999999999998</v>
      </c>
      <c r="R130" s="2">
        <v>0.83240000000000003</v>
      </c>
      <c r="S130" s="17">
        <v>0.85399999999999998</v>
      </c>
      <c r="T130" s="12">
        <v>2.4083000000000001</v>
      </c>
      <c r="U130" s="2">
        <v>0.83779999999999999</v>
      </c>
      <c r="V130" s="17">
        <v>0.85470000000000002</v>
      </c>
      <c r="W130" s="12">
        <v>2.4060000000000001</v>
      </c>
      <c r="X130" s="2">
        <v>0.83879999999999999</v>
      </c>
      <c r="Y130" s="17">
        <v>0.8548</v>
      </c>
    </row>
    <row r="131" spans="1:25" x14ac:dyDescent="0.25">
      <c r="A131" s="7">
        <v>0.7</v>
      </c>
      <c r="B131" s="2">
        <v>2.0904508000000002</v>
      </c>
      <c r="C131" s="2">
        <v>0.99999479999999996</v>
      </c>
      <c r="D131" s="2">
        <v>0.86976129999999996</v>
      </c>
      <c r="E131" s="12">
        <v>2.3519000000000001</v>
      </c>
      <c r="F131" s="2">
        <v>0.86429999999999996</v>
      </c>
      <c r="G131" s="13">
        <v>0.85729999999999995</v>
      </c>
      <c r="H131" s="18">
        <v>2.4527000000000001</v>
      </c>
      <c r="I131" s="8">
        <v>0.81969999999999998</v>
      </c>
      <c r="J131" s="8">
        <v>0.85240000000000005</v>
      </c>
      <c r="K131" s="18">
        <v>2.4409000000000001</v>
      </c>
      <c r="L131" s="8">
        <v>0.82469999999999999</v>
      </c>
      <c r="M131" s="13">
        <v>0.85299999999999998</v>
      </c>
      <c r="N131" s="12">
        <v>2.4312</v>
      </c>
      <c r="O131" s="2">
        <v>0.82889999999999997</v>
      </c>
      <c r="P131" s="17">
        <v>0.85340000000000005</v>
      </c>
      <c r="Q131" s="12">
        <v>2.4228000000000001</v>
      </c>
      <c r="R131" s="2">
        <v>0.83250000000000002</v>
      </c>
      <c r="S131" s="17">
        <v>0.85389999999999999</v>
      </c>
      <c r="T131" s="12">
        <v>2.4104000000000001</v>
      </c>
      <c r="U131" s="2">
        <v>0.83799999999999997</v>
      </c>
      <c r="V131" s="17">
        <v>0.85450000000000004</v>
      </c>
      <c r="W131" s="12">
        <v>2.4081999999999999</v>
      </c>
      <c r="X131" s="2">
        <v>0.83889999999999998</v>
      </c>
      <c r="Y131" s="17">
        <v>0.85460000000000003</v>
      </c>
    </row>
    <row r="132" spans="1:25" x14ac:dyDescent="0.25">
      <c r="A132" s="7">
        <v>0.71</v>
      </c>
      <c r="B132" s="2">
        <v>2.0973239000000001</v>
      </c>
      <c r="C132" s="2">
        <v>0.99999389999999999</v>
      </c>
      <c r="D132" s="2">
        <v>0.87111760000000005</v>
      </c>
      <c r="E132" s="12">
        <v>2.3544</v>
      </c>
      <c r="F132" s="2">
        <v>0.86439999999999995</v>
      </c>
      <c r="G132" s="13">
        <v>0.8579</v>
      </c>
      <c r="H132" s="18">
        <v>2.4535</v>
      </c>
      <c r="I132" s="8">
        <v>0.81979999999999997</v>
      </c>
      <c r="J132" s="8">
        <v>0.85250000000000004</v>
      </c>
      <c r="K132" s="18">
        <v>2.4419</v>
      </c>
      <c r="L132" s="8">
        <v>0.82479999999999998</v>
      </c>
      <c r="M132" s="13">
        <v>0.85319999999999996</v>
      </c>
      <c r="N132" s="12">
        <v>2.4323999999999999</v>
      </c>
      <c r="O132" s="2">
        <v>0.82899999999999996</v>
      </c>
      <c r="P132" s="17">
        <v>0.85370000000000001</v>
      </c>
      <c r="Q132" s="12">
        <v>2.4241000000000001</v>
      </c>
      <c r="R132" s="2">
        <v>0.83260000000000001</v>
      </c>
      <c r="S132" s="17">
        <v>0.85409999999999997</v>
      </c>
      <c r="T132" s="12">
        <v>2.4119000000000002</v>
      </c>
      <c r="U132" s="2">
        <v>0.83809999999999996</v>
      </c>
      <c r="V132" s="17">
        <v>0.8548</v>
      </c>
      <c r="W132" s="12">
        <v>2.4097</v>
      </c>
      <c r="X132" s="2">
        <v>0.83899999999999997</v>
      </c>
      <c r="Y132" s="17">
        <v>0.85489999999999999</v>
      </c>
    </row>
    <row r="133" spans="1:25" x14ac:dyDescent="0.25">
      <c r="A133" s="7">
        <v>0.72</v>
      </c>
      <c r="B133" s="2">
        <v>2.0968664000000001</v>
      </c>
      <c r="C133" s="2">
        <v>0.99999300000000002</v>
      </c>
      <c r="D133" s="2">
        <v>0.8722375</v>
      </c>
      <c r="E133" s="12">
        <v>2.3542000000000001</v>
      </c>
      <c r="F133" s="2">
        <v>0.86439999999999995</v>
      </c>
      <c r="G133" s="13">
        <v>0.85829999999999995</v>
      </c>
      <c r="H133" s="18">
        <v>2.4533999999999998</v>
      </c>
      <c r="I133" s="8">
        <v>0.81979999999999997</v>
      </c>
      <c r="J133" s="8">
        <v>0.85270000000000001</v>
      </c>
      <c r="K133" s="18">
        <v>2.4418000000000002</v>
      </c>
      <c r="L133" s="8">
        <v>0.82479999999999998</v>
      </c>
      <c r="M133" s="13">
        <v>0.85329999999999995</v>
      </c>
      <c r="N133" s="12">
        <v>2.4323000000000001</v>
      </c>
      <c r="O133" s="2">
        <v>0.82899999999999996</v>
      </c>
      <c r="P133" s="17">
        <v>0.85389999999999999</v>
      </c>
      <c r="Q133" s="12">
        <v>2.4239999999999999</v>
      </c>
      <c r="R133" s="2">
        <v>0.83260000000000001</v>
      </c>
      <c r="S133" s="17">
        <v>0.85440000000000005</v>
      </c>
      <c r="T133" s="12">
        <v>2.4117999999999999</v>
      </c>
      <c r="U133" s="2">
        <v>0.83809999999999996</v>
      </c>
      <c r="V133" s="17">
        <v>0.85499999999999998</v>
      </c>
      <c r="W133" s="12">
        <v>2.4096000000000002</v>
      </c>
      <c r="X133" s="2">
        <v>0.83899999999999997</v>
      </c>
      <c r="Y133" s="17">
        <v>0.85519999999999996</v>
      </c>
    </row>
    <row r="134" spans="1:25" x14ac:dyDescent="0.25">
      <c r="A134" s="7">
        <v>0.73</v>
      </c>
      <c r="B134" s="2">
        <v>2.1035279999999998</v>
      </c>
      <c r="C134" s="2">
        <v>0.99999199999999999</v>
      </c>
      <c r="D134" s="2">
        <v>0.87115989999999999</v>
      </c>
      <c r="E134" s="12">
        <v>2.3565999999999998</v>
      </c>
      <c r="F134" s="2">
        <v>0.86460000000000004</v>
      </c>
      <c r="G134" s="13">
        <v>0.8579</v>
      </c>
      <c r="H134" s="18">
        <v>2.4542000000000002</v>
      </c>
      <c r="I134" s="8">
        <v>0.81979999999999997</v>
      </c>
      <c r="J134" s="8">
        <v>0.85260000000000002</v>
      </c>
      <c r="K134" s="18">
        <v>2.4428000000000001</v>
      </c>
      <c r="L134" s="8">
        <v>0.82489999999999997</v>
      </c>
      <c r="M134" s="13">
        <v>0.85319999999999996</v>
      </c>
      <c r="N134" s="12">
        <v>2.4333999999999998</v>
      </c>
      <c r="O134" s="2">
        <v>0.82899999999999996</v>
      </c>
      <c r="P134" s="17">
        <v>0.85370000000000001</v>
      </c>
      <c r="Q134" s="12">
        <v>2.4251999999999998</v>
      </c>
      <c r="R134" s="2">
        <v>0.8327</v>
      </c>
      <c r="S134" s="17">
        <v>0.85419999999999996</v>
      </c>
      <c r="T134" s="12">
        <v>2.4131999999999998</v>
      </c>
      <c r="U134" s="2">
        <v>0.83819999999999995</v>
      </c>
      <c r="V134" s="17">
        <v>0.8548</v>
      </c>
      <c r="W134" s="12">
        <v>2.4110999999999998</v>
      </c>
      <c r="X134" s="2">
        <v>0.83909999999999996</v>
      </c>
      <c r="Y134" s="17">
        <v>0.85489999999999999</v>
      </c>
    </row>
    <row r="135" spans="1:25" x14ac:dyDescent="0.25">
      <c r="A135" s="7">
        <v>0.74</v>
      </c>
      <c r="B135" s="2">
        <v>2.0964624999999999</v>
      </c>
      <c r="C135" s="2">
        <v>0.9999903</v>
      </c>
      <c r="D135" s="2">
        <v>0.87170970000000003</v>
      </c>
      <c r="E135" s="12">
        <v>2.3540999999999999</v>
      </c>
      <c r="F135" s="2">
        <v>0.86439999999999995</v>
      </c>
      <c r="G135" s="13">
        <v>0.85809999999999997</v>
      </c>
      <c r="H135" s="18">
        <v>2.4533999999999998</v>
      </c>
      <c r="I135" s="8">
        <v>0.81969999999999998</v>
      </c>
      <c r="J135" s="8">
        <v>0.85260000000000002</v>
      </c>
      <c r="K135" s="18">
        <v>2.4417</v>
      </c>
      <c r="L135" s="8">
        <v>0.82479999999999998</v>
      </c>
      <c r="M135" s="13">
        <v>0.85329999999999995</v>
      </c>
      <c r="N135" s="12">
        <v>2.4321999999999999</v>
      </c>
      <c r="O135" s="2">
        <v>0.82899999999999996</v>
      </c>
      <c r="P135" s="17">
        <v>0.8538</v>
      </c>
      <c r="Q135" s="12">
        <v>2.4239000000000002</v>
      </c>
      <c r="R135" s="2">
        <v>0.83260000000000001</v>
      </c>
      <c r="S135" s="17">
        <v>0.85429999999999995</v>
      </c>
      <c r="T135" s="12">
        <v>2.4117000000000002</v>
      </c>
      <c r="U135" s="2">
        <v>0.83809999999999996</v>
      </c>
      <c r="V135" s="17">
        <v>0.85489999999999999</v>
      </c>
      <c r="W135" s="12">
        <v>2.4095</v>
      </c>
      <c r="X135" s="2">
        <v>0.83899999999999997</v>
      </c>
      <c r="Y135" s="17">
        <v>0.85499999999999998</v>
      </c>
    </row>
    <row r="136" spans="1:25" x14ac:dyDescent="0.25">
      <c r="A136" s="7">
        <v>0.75</v>
      </c>
      <c r="B136" s="2">
        <v>2.0980886999999999</v>
      </c>
      <c r="C136" s="2">
        <v>0.99999020000000005</v>
      </c>
      <c r="D136" s="2">
        <v>0.87236880000000006</v>
      </c>
      <c r="E136" s="12">
        <v>2.3546999999999998</v>
      </c>
      <c r="F136" s="2">
        <v>0.86439999999999995</v>
      </c>
      <c r="G136" s="13">
        <v>0.85829999999999995</v>
      </c>
      <c r="H136" s="18">
        <v>2.4535999999999998</v>
      </c>
      <c r="I136" s="8">
        <v>0.81979999999999997</v>
      </c>
      <c r="J136" s="8">
        <v>0.85270000000000001</v>
      </c>
      <c r="K136" s="18">
        <v>2.4420000000000002</v>
      </c>
      <c r="L136" s="8">
        <v>0.82479999999999998</v>
      </c>
      <c r="M136" s="13">
        <v>0.85340000000000005</v>
      </c>
      <c r="N136" s="12">
        <v>2.4325000000000001</v>
      </c>
      <c r="O136" s="2">
        <v>0.82899999999999996</v>
      </c>
      <c r="P136" s="17">
        <v>0.85389999999999999</v>
      </c>
      <c r="Q136" s="12">
        <v>2.4241999999999999</v>
      </c>
      <c r="R136" s="2">
        <v>0.83260000000000001</v>
      </c>
      <c r="S136" s="17">
        <v>0.85440000000000005</v>
      </c>
      <c r="T136" s="12">
        <v>2.4119999999999999</v>
      </c>
      <c r="U136" s="2">
        <v>0.83809999999999996</v>
      </c>
      <c r="V136" s="17">
        <v>0.85509999999999997</v>
      </c>
      <c r="W136" s="12">
        <v>2.4098999999999999</v>
      </c>
      <c r="X136" s="2">
        <v>0.83899999999999997</v>
      </c>
      <c r="Y136" s="17">
        <v>0.85519999999999996</v>
      </c>
    </row>
    <row r="137" spans="1:25" x14ac:dyDescent="0.25">
      <c r="A137" s="7">
        <v>0.76</v>
      </c>
      <c r="B137" s="2">
        <v>2.1014781</v>
      </c>
      <c r="C137" s="2">
        <v>0.99998730000000002</v>
      </c>
      <c r="D137" s="2">
        <v>0.86982499999999996</v>
      </c>
      <c r="E137" s="12">
        <v>2.3559000000000001</v>
      </c>
      <c r="F137" s="2">
        <v>0.86450000000000005</v>
      </c>
      <c r="G137" s="13">
        <v>0.85740000000000005</v>
      </c>
      <c r="H137" s="18">
        <v>2.4540000000000002</v>
      </c>
      <c r="I137" s="8">
        <v>0.81979999999999997</v>
      </c>
      <c r="J137" s="8">
        <v>0.85240000000000005</v>
      </c>
      <c r="K137" s="18">
        <v>2.4424999999999999</v>
      </c>
      <c r="L137" s="8">
        <v>0.82479999999999998</v>
      </c>
      <c r="M137" s="13">
        <v>0.85299999999999998</v>
      </c>
      <c r="N137" s="12">
        <v>2.4331</v>
      </c>
      <c r="O137" s="2">
        <v>0.82899999999999996</v>
      </c>
      <c r="P137" s="17">
        <v>0.85350000000000004</v>
      </c>
      <c r="Q137" s="12">
        <v>2.4249000000000001</v>
      </c>
      <c r="R137" s="2">
        <v>0.8327</v>
      </c>
      <c r="S137" s="17">
        <v>0.85389999999999999</v>
      </c>
      <c r="T137" s="12">
        <v>2.4127999999999998</v>
      </c>
      <c r="U137" s="2">
        <v>0.83809999999999996</v>
      </c>
      <c r="V137" s="17">
        <v>0.85450000000000004</v>
      </c>
      <c r="W137" s="12">
        <v>2.4106000000000001</v>
      </c>
      <c r="X137" s="2">
        <v>0.83909999999999996</v>
      </c>
      <c r="Y137" s="17">
        <v>0.85460000000000003</v>
      </c>
    </row>
    <row r="138" spans="1:25" x14ac:dyDescent="0.25">
      <c r="A138" s="7">
        <v>0.77</v>
      </c>
      <c r="B138" s="2">
        <v>2.1019956999999998</v>
      </c>
      <c r="C138" s="2">
        <v>0.99998589999999998</v>
      </c>
      <c r="D138" s="2">
        <v>0.86976359999999997</v>
      </c>
      <c r="E138" s="12">
        <v>2.3561000000000001</v>
      </c>
      <c r="F138" s="2">
        <v>0.86450000000000005</v>
      </c>
      <c r="G138" s="13">
        <v>0.85740000000000005</v>
      </c>
      <c r="H138" s="18">
        <v>2.4540000000000002</v>
      </c>
      <c r="I138" s="8">
        <v>0.81979999999999997</v>
      </c>
      <c r="J138" s="8">
        <v>0.85240000000000005</v>
      </c>
      <c r="K138" s="18">
        <v>2.4424999999999999</v>
      </c>
      <c r="L138" s="8">
        <v>0.82479999999999998</v>
      </c>
      <c r="M138" s="13">
        <v>0.85299999999999998</v>
      </c>
      <c r="N138" s="12">
        <v>2.4331</v>
      </c>
      <c r="O138" s="2">
        <v>0.82899999999999996</v>
      </c>
      <c r="P138" s="17">
        <v>0.85350000000000004</v>
      </c>
      <c r="Q138" s="12">
        <v>2.4249999999999998</v>
      </c>
      <c r="R138" s="2">
        <v>0.8327</v>
      </c>
      <c r="S138" s="17">
        <v>0.85389999999999999</v>
      </c>
      <c r="T138" s="12">
        <v>2.4129</v>
      </c>
      <c r="U138" s="2">
        <v>0.83809999999999996</v>
      </c>
      <c r="V138" s="17">
        <v>0.85450000000000004</v>
      </c>
      <c r="W138" s="12">
        <v>2.4108000000000001</v>
      </c>
      <c r="X138" s="2">
        <v>0.83909999999999996</v>
      </c>
      <c r="Y138" s="17">
        <v>0.85460000000000003</v>
      </c>
    </row>
    <row r="139" spans="1:25" x14ac:dyDescent="0.25">
      <c r="A139" s="7">
        <v>0.78</v>
      </c>
      <c r="B139" s="2">
        <v>2.1001865999999998</v>
      </c>
      <c r="C139" s="2">
        <v>0.99998379999999998</v>
      </c>
      <c r="D139" s="2">
        <v>0.87162759999999995</v>
      </c>
      <c r="E139" s="12">
        <v>2.3553999999999999</v>
      </c>
      <c r="F139" s="2">
        <v>0.86450000000000005</v>
      </c>
      <c r="G139" s="13">
        <v>0.85809999999999997</v>
      </c>
      <c r="H139" s="18">
        <v>2.4538000000000002</v>
      </c>
      <c r="I139" s="8">
        <v>0.81979999999999997</v>
      </c>
      <c r="J139" s="8">
        <v>0.85260000000000002</v>
      </c>
      <c r="K139" s="18">
        <v>2.4422999999999999</v>
      </c>
      <c r="L139" s="8">
        <v>0.82479999999999998</v>
      </c>
      <c r="M139" s="13">
        <v>0.85329999999999995</v>
      </c>
      <c r="N139" s="12">
        <v>2.4327999999999999</v>
      </c>
      <c r="O139" s="2">
        <v>0.82899999999999996</v>
      </c>
      <c r="P139" s="17">
        <v>0.8538</v>
      </c>
      <c r="Q139" s="12">
        <v>2.4245999999999999</v>
      </c>
      <c r="R139" s="2">
        <v>0.8327</v>
      </c>
      <c r="S139" s="17">
        <v>0.85419999999999996</v>
      </c>
      <c r="T139" s="12">
        <v>2.4125000000000001</v>
      </c>
      <c r="U139" s="2">
        <v>0.83809999999999996</v>
      </c>
      <c r="V139" s="17">
        <v>0.85489999999999999</v>
      </c>
      <c r="W139" s="12">
        <v>2.4104000000000001</v>
      </c>
      <c r="X139" s="2">
        <v>0.83909999999999996</v>
      </c>
      <c r="Y139" s="17">
        <v>0.85499999999999998</v>
      </c>
    </row>
    <row r="140" spans="1:25" x14ac:dyDescent="0.25">
      <c r="A140" s="7">
        <v>0.79</v>
      </c>
      <c r="B140" s="2">
        <v>2.1049039</v>
      </c>
      <c r="C140" s="2">
        <v>0.99998100000000001</v>
      </c>
      <c r="D140" s="2">
        <v>0.8698671</v>
      </c>
      <c r="E140" s="12">
        <v>2.3571</v>
      </c>
      <c r="F140" s="2">
        <v>0.86460000000000004</v>
      </c>
      <c r="G140" s="13">
        <v>0.85740000000000005</v>
      </c>
      <c r="H140" s="18">
        <v>2.4542999999999999</v>
      </c>
      <c r="I140" s="8">
        <v>0.81979999999999997</v>
      </c>
      <c r="J140" s="8">
        <v>0.85240000000000005</v>
      </c>
      <c r="K140" s="18">
        <v>2.4430000000000001</v>
      </c>
      <c r="L140" s="8">
        <v>0.82489999999999997</v>
      </c>
      <c r="M140" s="13">
        <v>0.85299999999999998</v>
      </c>
      <c r="N140" s="12">
        <v>2.4336000000000002</v>
      </c>
      <c r="O140" s="2">
        <v>0.82909999999999995</v>
      </c>
      <c r="P140" s="17">
        <v>0.85350000000000004</v>
      </c>
      <c r="Q140" s="12">
        <v>2.4255</v>
      </c>
      <c r="R140" s="2">
        <v>0.8327</v>
      </c>
      <c r="S140" s="17">
        <v>0.85389999999999999</v>
      </c>
      <c r="T140" s="12">
        <v>2.4135</v>
      </c>
      <c r="U140" s="2">
        <v>0.83819999999999995</v>
      </c>
      <c r="V140" s="17">
        <v>0.85450000000000004</v>
      </c>
      <c r="W140" s="12">
        <v>2.4114</v>
      </c>
      <c r="X140" s="2">
        <v>0.83909999999999996</v>
      </c>
      <c r="Y140" s="17">
        <v>0.85460000000000003</v>
      </c>
    </row>
    <row r="141" spans="1:25" hidden="1" x14ac:dyDescent="0.25">
      <c r="A141" s="6">
        <v>0.8</v>
      </c>
      <c r="B141" s="2">
        <v>2.1025678999999999</v>
      </c>
      <c r="C141" s="2">
        <v>0.99997760000000002</v>
      </c>
      <c r="D141" s="2">
        <v>0.87095579999999995</v>
      </c>
      <c r="E141" s="12"/>
      <c r="F141" s="2"/>
      <c r="G141" s="13"/>
      <c r="H141" s="18"/>
      <c r="I141" s="8"/>
      <c r="J141" s="17"/>
      <c r="K141" s="12"/>
      <c r="L141" s="2"/>
      <c r="M141" s="17"/>
      <c r="N141" s="12"/>
      <c r="O141" s="2"/>
      <c r="P141" s="17"/>
      <c r="Q141" s="12"/>
      <c r="R141" s="2"/>
      <c r="S141" s="17"/>
      <c r="T141" s="12"/>
      <c r="U141" s="2"/>
      <c r="V141" s="17"/>
      <c r="W141" s="12"/>
      <c r="X141" s="2"/>
      <c r="Y141" s="17"/>
    </row>
    <row r="142" spans="1:25" hidden="1" x14ac:dyDescent="0.25">
      <c r="A142" s="6">
        <v>0.81</v>
      </c>
      <c r="B142" s="2">
        <v>2.1004969999999998</v>
      </c>
      <c r="C142" s="2">
        <v>0.99997820000000004</v>
      </c>
      <c r="D142" s="2">
        <v>0.87134579999999995</v>
      </c>
      <c r="E142" s="12"/>
      <c r="F142" s="2"/>
      <c r="G142" s="13"/>
      <c r="H142" s="18"/>
      <c r="I142" s="8"/>
      <c r="J142" s="17"/>
      <c r="K142" s="12"/>
      <c r="L142" s="2"/>
      <c r="M142" s="17"/>
      <c r="N142" s="12"/>
      <c r="O142" s="2"/>
      <c r="P142" s="17"/>
      <c r="Q142" s="12"/>
      <c r="R142" s="2"/>
      <c r="S142" s="17"/>
      <c r="T142" s="12"/>
      <c r="U142" s="2"/>
      <c r="V142" s="17"/>
      <c r="W142" s="12"/>
      <c r="X142" s="2"/>
      <c r="Y142" s="17"/>
    </row>
    <row r="143" spans="1:25" hidden="1" x14ac:dyDescent="0.25">
      <c r="A143" s="6">
        <v>0.82</v>
      </c>
      <c r="B143" s="2">
        <v>2.1040226999999998</v>
      </c>
      <c r="C143" s="2">
        <v>0.99997860000000005</v>
      </c>
      <c r="D143" s="2">
        <v>0.87389660000000002</v>
      </c>
      <c r="E143" s="12"/>
      <c r="F143" s="2"/>
      <c r="G143" s="13"/>
      <c r="H143" s="18"/>
      <c r="I143" s="8"/>
      <c r="J143" s="17"/>
      <c r="K143" s="12"/>
      <c r="L143" s="2"/>
      <c r="M143" s="17"/>
      <c r="N143" s="12"/>
      <c r="O143" s="2"/>
      <c r="P143" s="17"/>
      <c r="Q143" s="12"/>
      <c r="R143" s="2"/>
      <c r="S143" s="17"/>
      <c r="T143" s="12"/>
      <c r="U143" s="2"/>
      <c r="V143" s="17"/>
      <c r="W143" s="12"/>
      <c r="X143" s="2"/>
      <c r="Y143" s="17"/>
    </row>
    <row r="144" spans="1:25" hidden="1" x14ac:dyDescent="0.25">
      <c r="A144" s="6">
        <v>0.83</v>
      </c>
      <c r="B144" s="2">
        <v>2.1113007000000001</v>
      </c>
      <c r="C144" s="2">
        <v>0.99997809999999998</v>
      </c>
      <c r="D144" s="2">
        <v>0.86853579999999997</v>
      </c>
      <c r="E144" s="12"/>
      <c r="F144" s="2"/>
      <c r="G144" s="13"/>
      <c r="H144" s="18"/>
      <c r="I144" s="8"/>
      <c r="J144" s="17"/>
      <c r="K144" s="12"/>
      <c r="L144" s="2"/>
      <c r="M144" s="17"/>
      <c r="N144" s="12"/>
      <c r="O144" s="2"/>
      <c r="P144" s="17"/>
      <c r="Q144" s="12"/>
      <c r="R144" s="2"/>
      <c r="S144" s="17"/>
      <c r="T144" s="12"/>
      <c r="U144" s="2"/>
      <c r="V144" s="17"/>
      <c r="W144" s="12"/>
      <c r="X144" s="2"/>
      <c r="Y144" s="17"/>
    </row>
    <row r="145" spans="1:25" hidden="1" x14ac:dyDescent="0.25">
      <c r="A145" s="6">
        <v>0.84</v>
      </c>
      <c r="B145" s="2">
        <v>2.1081245000000002</v>
      </c>
      <c r="C145" s="2">
        <v>0.99997729999999996</v>
      </c>
      <c r="D145" s="2">
        <v>0.86842030000000003</v>
      </c>
      <c r="E145" s="12"/>
      <c r="F145" s="2"/>
      <c r="G145" s="13"/>
      <c r="H145" s="18"/>
      <c r="I145" s="8"/>
      <c r="J145" s="17"/>
      <c r="K145" s="12"/>
      <c r="L145" s="2"/>
      <c r="M145" s="17"/>
      <c r="N145" s="12"/>
      <c r="O145" s="2"/>
      <c r="P145" s="17"/>
      <c r="Q145" s="12"/>
      <c r="R145" s="2"/>
      <c r="S145" s="17"/>
      <c r="T145" s="12"/>
      <c r="U145" s="2"/>
      <c r="V145" s="17"/>
      <c r="W145" s="12"/>
      <c r="X145" s="2"/>
      <c r="Y145" s="17"/>
    </row>
    <row r="146" spans="1:25" hidden="1" x14ac:dyDescent="0.25">
      <c r="A146" s="6">
        <v>0.85</v>
      </c>
      <c r="B146" s="2">
        <v>2.1061456000000001</v>
      </c>
      <c r="C146" s="2">
        <v>0.99997239999999998</v>
      </c>
      <c r="D146" s="2">
        <v>0.86940470000000003</v>
      </c>
      <c r="E146" s="12"/>
      <c r="F146" s="2"/>
      <c r="G146" s="13"/>
      <c r="H146" s="18"/>
      <c r="I146" s="8"/>
      <c r="J146" s="17"/>
      <c r="K146" s="12"/>
      <c r="L146" s="2"/>
      <c r="M146" s="17"/>
      <c r="N146" s="12"/>
      <c r="O146" s="2"/>
      <c r="P146" s="17"/>
      <c r="Q146" s="12"/>
      <c r="R146" s="2"/>
      <c r="S146" s="17"/>
      <c r="T146" s="12"/>
      <c r="U146" s="2"/>
      <c r="V146" s="17"/>
      <c r="W146" s="12"/>
      <c r="X146" s="2"/>
      <c r="Y146" s="17"/>
    </row>
    <row r="147" spans="1:25" hidden="1" x14ac:dyDescent="0.25">
      <c r="A147" s="6">
        <v>0.86</v>
      </c>
      <c r="B147" s="2">
        <v>2.1065958</v>
      </c>
      <c r="C147" s="2">
        <v>0.99996799999999997</v>
      </c>
      <c r="D147" s="2">
        <v>0.86986830000000004</v>
      </c>
      <c r="E147" s="12"/>
      <c r="F147" s="2"/>
      <c r="G147" s="13"/>
      <c r="H147" s="18"/>
      <c r="I147" s="8"/>
      <c r="J147" s="17"/>
      <c r="K147" s="12"/>
      <c r="L147" s="2"/>
      <c r="M147" s="17"/>
      <c r="N147" s="12"/>
      <c r="O147" s="2"/>
      <c r="P147" s="17"/>
      <c r="Q147" s="12"/>
      <c r="R147" s="2"/>
      <c r="S147" s="17"/>
      <c r="T147" s="12"/>
      <c r="U147" s="2"/>
      <c r="V147" s="17"/>
      <c r="W147" s="12"/>
      <c r="X147" s="2"/>
      <c r="Y147" s="17"/>
    </row>
    <row r="148" spans="1:25" hidden="1" x14ac:dyDescent="0.25">
      <c r="A148" s="6">
        <v>0.87</v>
      </c>
      <c r="B148" s="2">
        <v>2.1074183</v>
      </c>
      <c r="C148" s="2">
        <v>0.99996209999999996</v>
      </c>
      <c r="D148" s="2">
        <v>0.87003509999999995</v>
      </c>
      <c r="E148" s="12"/>
      <c r="F148" s="2"/>
      <c r="G148" s="13"/>
      <c r="H148" s="18"/>
      <c r="I148" s="8"/>
      <c r="J148" s="17"/>
      <c r="K148" s="12"/>
      <c r="L148" s="2"/>
      <c r="M148" s="17"/>
      <c r="N148" s="12"/>
      <c r="O148" s="2"/>
      <c r="P148" s="17"/>
      <c r="Q148" s="12"/>
      <c r="R148" s="2"/>
      <c r="S148" s="17"/>
      <c r="T148" s="12"/>
      <c r="U148" s="2"/>
      <c r="V148" s="17"/>
      <c r="W148" s="12"/>
      <c r="X148" s="2"/>
      <c r="Y148" s="17"/>
    </row>
    <row r="149" spans="1:25" hidden="1" x14ac:dyDescent="0.25">
      <c r="A149" s="6">
        <v>0.88</v>
      </c>
      <c r="B149" s="2">
        <v>2.1081666999999999</v>
      </c>
      <c r="C149" s="2">
        <v>0.99995230000000002</v>
      </c>
      <c r="D149" s="2">
        <v>0.86990869999999998</v>
      </c>
      <c r="E149" s="12"/>
      <c r="F149" s="2"/>
      <c r="G149" s="13"/>
      <c r="H149" s="18"/>
      <c r="I149" s="8"/>
      <c r="J149" s="17"/>
      <c r="K149" s="12"/>
      <c r="L149" s="2"/>
      <c r="M149" s="17"/>
      <c r="N149" s="12"/>
      <c r="O149" s="2"/>
      <c r="P149" s="17"/>
      <c r="Q149" s="12"/>
      <c r="R149" s="2"/>
      <c r="S149" s="17"/>
      <c r="T149" s="12"/>
      <c r="U149" s="2"/>
      <c r="V149" s="17"/>
      <c r="W149" s="12"/>
      <c r="X149" s="2"/>
      <c r="Y149" s="17"/>
    </row>
    <row r="150" spans="1:25" hidden="1" x14ac:dyDescent="0.25">
      <c r="A150" s="6">
        <v>0.89</v>
      </c>
      <c r="B150" s="2">
        <v>2.1120412000000002</v>
      </c>
      <c r="C150" s="2">
        <v>0.99994269999999996</v>
      </c>
      <c r="D150" s="2">
        <v>0.86962709999999999</v>
      </c>
      <c r="E150" s="12"/>
      <c r="F150" s="2"/>
      <c r="G150" s="13"/>
      <c r="H150" s="18"/>
      <c r="I150" s="8"/>
      <c r="J150" s="17"/>
      <c r="K150" s="12"/>
      <c r="L150" s="2"/>
      <c r="M150" s="17"/>
      <c r="N150" s="12"/>
      <c r="O150" s="2"/>
      <c r="P150" s="17"/>
      <c r="Q150" s="12"/>
      <c r="R150" s="2"/>
      <c r="S150" s="17"/>
      <c r="T150" s="12"/>
      <c r="U150" s="2"/>
      <c r="V150" s="17"/>
      <c r="W150" s="12"/>
      <c r="X150" s="2"/>
      <c r="Y150" s="17"/>
    </row>
    <row r="151" spans="1:25" hidden="1" x14ac:dyDescent="0.25">
      <c r="A151" s="6">
        <v>0.9</v>
      </c>
      <c r="B151" s="2">
        <v>2.1148248000000001</v>
      </c>
      <c r="C151" s="2">
        <v>0.99993779999999999</v>
      </c>
      <c r="D151" s="2">
        <v>0.86865009999999998</v>
      </c>
      <c r="E151" s="12"/>
      <c r="F151" s="2"/>
      <c r="G151" s="13"/>
      <c r="H151" s="18"/>
      <c r="I151" s="8"/>
      <c r="J151" s="17"/>
      <c r="K151" s="12"/>
      <c r="L151" s="2"/>
      <c r="M151" s="17"/>
      <c r="N151" s="12"/>
      <c r="O151" s="2"/>
      <c r="P151" s="17"/>
      <c r="Q151" s="12"/>
      <c r="R151" s="2"/>
      <c r="S151" s="17"/>
      <c r="T151" s="12"/>
      <c r="U151" s="2"/>
      <c r="V151" s="17"/>
      <c r="W151" s="12"/>
      <c r="X151" s="2"/>
      <c r="Y151" s="17"/>
    </row>
    <row r="152" spans="1:25" hidden="1" x14ac:dyDescent="0.25">
      <c r="A152" s="6">
        <v>0.91</v>
      </c>
      <c r="B152" s="2">
        <v>2.1108551000000002</v>
      </c>
      <c r="C152" s="2">
        <v>0.99993929999999998</v>
      </c>
      <c r="D152" s="2">
        <v>0.87003759999999997</v>
      </c>
      <c r="E152" s="12"/>
      <c r="F152" s="2"/>
      <c r="G152" s="13"/>
      <c r="H152" s="18"/>
      <c r="I152" s="8"/>
      <c r="J152" s="17"/>
      <c r="K152" s="12"/>
      <c r="L152" s="2"/>
      <c r="M152" s="17"/>
      <c r="N152" s="12"/>
      <c r="O152" s="2"/>
      <c r="P152" s="17"/>
      <c r="Q152" s="12"/>
      <c r="R152" s="2"/>
      <c r="S152" s="17"/>
      <c r="T152" s="12"/>
      <c r="U152" s="2"/>
      <c r="V152" s="17"/>
      <c r="W152" s="12"/>
      <c r="X152" s="2"/>
      <c r="Y152" s="17"/>
    </row>
    <row r="153" spans="1:25" hidden="1" x14ac:dyDescent="0.25">
      <c r="A153" s="6">
        <v>0.92</v>
      </c>
      <c r="B153" s="2">
        <v>2.1189692</v>
      </c>
      <c r="C153" s="2">
        <v>0.99993180000000004</v>
      </c>
      <c r="D153" s="2">
        <v>0.86251979999999995</v>
      </c>
      <c r="E153" s="12"/>
      <c r="F153" s="2"/>
      <c r="G153" s="13"/>
      <c r="H153" s="18"/>
      <c r="I153" s="8"/>
      <c r="J153" s="17"/>
      <c r="K153" s="12"/>
      <c r="L153" s="2"/>
      <c r="M153" s="17"/>
      <c r="N153" s="12"/>
      <c r="O153" s="2"/>
      <c r="P153" s="17"/>
      <c r="Q153" s="12"/>
      <c r="R153" s="2"/>
      <c r="S153" s="17"/>
      <c r="T153" s="12"/>
      <c r="U153" s="2"/>
      <c r="V153" s="17"/>
      <c r="W153" s="12"/>
      <c r="X153" s="2"/>
      <c r="Y153" s="17"/>
    </row>
    <row r="154" spans="1:25" hidden="1" x14ac:dyDescent="0.25">
      <c r="A154" s="6">
        <v>0.93</v>
      </c>
      <c r="B154" s="2">
        <v>2.1299592999999999</v>
      </c>
      <c r="C154" s="2">
        <v>0.99992820000000004</v>
      </c>
      <c r="D154" s="2">
        <v>0.85911289999999996</v>
      </c>
      <c r="E154" s="12"/>
      <c r="F154" s="2"/>
      <c r="G154" s="13"/>
      <c r="H154" s="18"/>
      <c r="I154" s="8"/>
      <c r="J154" s="17"/>
      <c r="K154" s="12"/>
      <c r="L154" s="2"/>
      <c r="M154" s="17"/>
      <c r="N154" s="12"/>
      <c r="O154" s="2"/>
      <c r="P154" s="17"/>
      <c r="Q154" s="12"/>
      <c r="R154" s="2"/>
      <c r="S154" s="17"/>
      <c r="T154" s="12"/>
      <c r="U154" s="2"/>
      <c r="V154" s="17"/>
      <c r="W154" s="12"/>
      <c r="X154" s="2"/>
      <c r="Y154" s="17"/>
    </row>
    <row r="155" spans="1:25" hidden="1" x14ac:dyDescent="0.25">
      <c r="A155" s="6">
        <v>0.94</v>
      </c>
      <c r="B155" s="2">
        <v>2.1184845000000001</v>
      </c>
      <c r="C155" s="2">
        <v>0.99992510000000001</v>
      </c>
      <c r="D155" s="2">
        <v>0.86621099999999995</v>
      </c>
      <c r="E155" s="12"/>
      <c r="F155" s="2"/>
      <c r="G155" s="13"/>
      <c r="H155" s="18"/>
      <c r="I155" s="8"/>
      <c r="J155" s="17"/>
      <c r="K155" s="12"/>
      <c r="L155" s="2"/>
      <c r="M155" s="17"/>
      <c r="N155" s="12"/>
      <c r="O155" s="2"/>
      <c r="P155" s="17"/>
      <c r="Q155" s="12"/>
      <c r="R155" s="2"/>
      <c r="S155" s="17"/>
      <c r="T155" s="12"/>
      <c r="U155" s="2"/>
      <c r="V155" s="17"/>
      <c r="W155" s="12"/>
      <c r="X155" s="2"/>
      <c r="Y155" s="17"/>
    </row>
    <row r="156" spans="1:25" hidden="1" x14ac:dyDescent="0.25">
      <c r="A156" s="6">
        <v>0.95</v>
      </c>
      <c r="B156" s="2">
        <v>2.1246626000000002</v>
      </c>
      <c r="C156" s="2">
        <v>0.99991240000000003</v>
      </c>
      <c r="D156" s="2">
        <v>0.86456770000000005</v>
      </c>
      <c r="E156" s="12"/>
      <c r="F156" s="2"/>
      <c r="G156" s="13"/>
      <c r="H156" s="18"/>
      <c r="I156" s="8"/>
      <c r="J156" s="17"/>
      <c r="K156" s="12"/>
      <c r="L156" s="2"/>
      <c r="M156" s="17"/>
      <c r="N156" s="12"/>
      <c r="O156" s="2"/>
      <c r="P156" s="17"/>
      <c r="Q156" s="12"/>
      <c r="R156" s="2"/>
      <c r="S156" s="17"/>
      <c r="T156" s="12"/>
      <c r="U156" s="2"/>
      <c r="V156" s="17"/>
      <c r="W156" s="12"/>
      <c r="X156" s="2"/>
      <c r="Y156" s="17"/>
    </row>
    <row r="157" spans="1:25" hidden="1" x14ac:dyDescent="0.25">
      <c r="A157" s="6">
        <v>0.96</v>
      </c>
      <c r="B157" s="2">
        <v>2.1175046000000002</v>
      </c>
      <c r="C157" s="2">
        <v>0.99989890000000003</v>
      </c>
      <c r="D157" s="2">
        <v>0.86699400000000004</v>
      </c>
      <c r="E157" s="12"/>
      <c r="F157" s="2"/>
      <c r="G157" s="13"/>
      <c r="H157" s="18"/>
      <c r="I157" s="8"/>
      <c r="J157" s="17"/>
      <c r="K157" s="12"/>
      <c r="L157" s="2"/>
      <c r="M157" s="17"/>
      <c r="N157" s="12"/>
      <c r="O157" s="2"/>
      <c r="P157" s="17"/>
      <c r="Q157" s="12"/>
      <c r="R157" s="2"/>
      <c r="S157" s="17"/>
      <c r="T157" s="12"/>
      <c r="U157" s="2"/>
      <c r="V157" s="17"/>
      <c r="W157" s="12"/>
      <c r="X157" s="2"/>
      <c r="Y157" s="17"/>
    </row>
    <row r="158" spans="1:25" hidden="1" x14ac:dyDescent="0.25">
      <c r="A158" s="6">
        <v>0.97</v>
      </c>
      <c r="B158" s="2">
        <v>2.1180629999999998</v>
      </c>
      <c r="C158" s="2">
        <v>0.99986419999999998</v>
      </c>
      <c r="D158" s="2">
        <v>0.86768449999999997</v>
      </c>
      <c r="E158" s="12"/>
      <c r="F158" s="2"/>
      <c r="G158" s="13"/>
      <c r="H158" s="18"/>
      <c r="I158" s="8"/>
      <c r="J158" s="17"/>
      <c r="K158" s="12"/>
      <c r="L158" s="2"/>
      <c r="M158" s="17"/>
      <c r="N158" s="12"/>
      <c r="O158" s="2"/>
      <c r="P158" s="17"/>
      <c r="Q158" s="12"/>
      <c r="R158" s="2"/>
      <c r="S158" s="17"/>
      <c r="T158" s="12"/>
      <c r="U158" s="2"/>
      <c r="V158" s="17"/>
      <c r="W158" s="12"/>
      <c r="X158" s="2"/>
      <c r="Y158" s="17"/>
    </row>
    <row r="159" spans="1:25" hidden="1" x14ac:dyDescent="0.25">
      <c r="A159" s="6">
        <v>0.98</v>
      </c>
      <c r="B159" s="2">
        <v>2.1213693999999998</v>
      </c>
      <c r="C159" s="2">
        <v>0.99984720000000005</v>
      </c>
      <c r="D159" s="2">
        <v>0.86635079999999998</v>
      </c>
      <c r="E159" s="12"/>
      <c r="F159" s="2"/>
      <c r="G159" s="13"/>
      <c r="H159" s="18"/>
      <c r="I159" s="8"/>
      <c r="J159" s="17"/>
      <c r="K159" s="12"/>
      <c r="L159" s="2"/>
      <c r="M159" s="17"/>
      <c r="N159" s="12"/>
      <c r="O159" s="2"/>
      <c r="P159" s="17"/>
      <c r="Q159" s="12"/>
      <c r="R159" s="2"/>
      <c r="S159" s="17"/>
      <c r="T159" s="12"/>
      <c r="U159" s="2"/>
      <c r="V159" s="17"/>
      <c r="W159" s="12"/>
      <c r="X159" s="2"/>
      <c r="Y159" s="17"/>
    </row>
    <row r="160" spans="1:25" hidden="1" x14ac:dyDescent="0.25">
      <c r="A160" s="6">
        <v>0.99</v>
      </c>
      <c r="B160" s="2">
        <v>2.1292753000000002</v>
      </c>
      <c r="C160" s="2">
        <v>0.99981419999999999</v>
      </c>
      <c r="D160" s="2">
        <v>0.86291709999999999</v>
      </c>
      <c r="E160" s="12"/>
      <c r="F160" s="2"/>
      <c r="G160" s="13"/>
      <c r="H160" s="18"/>
      <c r="I160" s="8"/>
      <c r="J160" s="17"/>
      <c r="K160" s="12"/>
      <c r="L160" s="2"/>
      <c r="M160" s="17"/>
      <c r="N160" s="12"/>
      <c r="O160" s="2"/>
      <c r="P160" s="17"/>
      <c r="Q160" s="12"/>
      <c r="R160" s="2"/>
      <c r="S160" s="17"/>
      <c r="T160" s="12"/>
      <c r="U160" s="2"/>
      <c r="V160" s="17"/>
      <c r="W160" s="12"/>
      <c r="X160" s="2"/>
      <c r="Y160" s="17"/>
    </row>
    <row r="161" spans="1:25" hidden="1" x14ac:dyDescent="0.25">
      <c r="A161" s="6">
        <v>1</v>
      </c>
      <c r="B161" s="2">
        <v>2.1203091000000001</v>
      </c>
      <c r="C161" s="2">
        <v>0.99979779999999996</v>
      </c>
      <c r="D161" s="2">
        <v>0.86727920000000003</v>
      </c>
      <c r="E161" s="12"/>
      <c r="F161" s="2"/>
      <c r="G161" s="13"/>
      <c r="H161" s="18"/>
      <c r="I161" s="8"/>
      <c r="J161" s="17"/>
      <c r="K161" s="12"/>
      <c r="L161" s="2"/>
      <c r="M161" s="17"/>
      <c r="N161" s="12"/>
      <c r="O161" s="2"/>
      <c r="P161" s="17"/>
      <c r="Q161" s="12"/>
      <c r="R161" s="2"/>
      <c r="S161" s="17"/>
      <c r="T161" s="12"/>
      <c r="U161" s="2"/>
      <c r="V161" s="17"/>
      <c r="W161" s="12"/>
      <c r="X161" s="2"/>
      <c r="Y161" s="17"/>
    </row>
    <row r="162" spans="1:25" hidden="1" x14ac:dyDescent="0.25">
      <c r="A162" s="6">
        <v>1.01</v>
      </c>
      <c r="B162" s="2">
        <v>2.1271954000000002</v>
      </c>
      <c r="C162" s="2">
        <v>0.99973330000000005</v>
      </c>
      <c r="D162" s="2">
        <v>0.86443490000000001</v>
      </c>
      <c r="E162" s="12"/>
      <c r="F162" s="2"/>
      <c r="G162" s="13"/>
      <c r="H162" s="18"/>
      <c r="I162" s="8"/>
      <c r="J162" s="17"/>
      <c r="K162" s="12"/>
      <c r="L162" s="2"/>
      <c r="M162" s="17"/>
      <c r="N162" s="12"/>
      <c r="O162" s="2"/>
      <c r="P162" s="17"/>
      <c r="Q162" s="12"/>
      <c r="R162" s="2"/>
      <c r="S162" s="17"/>
      <c r="T162" s="12"/>
      <c r="U162" s="2"/>
      <c r="V162" s="17"/>
      <c r="W162" s="12"/>
      <c r="X162" s="2"/>
      <c r="Y162" s="17"/>
    </row>
    <row r="163" spans="1:25" hidden="1" x14ac:dyDescent="0.25">
      <c r="A163" s="6">
        <v>1.02</v>
      </c>
      <c r="B163" s="2">
        <v>2.1285682000000001</v>
      </c>
      <c r="C163" s="2">
        <v>0.99971679999999996</v>
      </c>
      <c r="D163" s="2">
        <v>0.8647435</v>
      </c>
      <c r="E163" s="12"/>
      <c r="F163" s="2"/>
      <c r="G163" s="13"/>
      <c r="H163" s="18"/>
      <c r="I163" s="8"/>
      <c r="J163" s="17"/>
      <c r="K163" s="12"/>
      <c r="L163" s="2"/>
      <c r="M163" s="17"/>
      <c r="N163" s="12"/>
      <c r="O163" s="2"/>
      <c r="P163" s="17"/>
      <c r="Q163" s="12"/>
      <c r="R163" s="2"/>
      <c r="S163" s="17"/>
      <c r="T163" s="12"/>
      <c r="U163" s="2"/>
      <c r="V163" s="17"/>
      <c r="W163" s="12"/>
      <c r="X163" s="2"/>
      <c r="Y163" s="17"/>
    </row>
    <row r="164" spans="1:25" hidden="1" x14ac:dyDescent="0.25">
      <c r="A164" s="6">
        <v>1.03</v>
      </c>
      <c r="B164" s="2">
        <v>2.1207053999999999</v>
      </c>
      <c r="C164" s="2">
        <v>0.99970440000000005</v>
      </c>
      <c r="D164" s="2">
        <v>0.86758139999999995</v>
      </c>
      <c r="E164" s="12"/>
      <c r="F164" s="2"/>
      <c r="G164" s="13"/>
      <c r="H164" s="18"/>
      <c r="I164" s="8"/>
      <c r="J164" s="17"/>
      <c r="K164" s="12"/>
      <c r="L164" s="2"/>
      <c r="M164" s="17"/>
      <c r="N164" s="12"/>
      <c r="O164" s="2"/>
      <c r="P164" s="17"/>
      <c r="Q164" s="12"/>
      <c r="R164" s="2"/>
      <c r="S164" s="17"/>
      <c r="T164" s="12"/>
      <c r="U164" s="2"/>
      <c r="V164" s="17"/>
      <c r="W164" s="12"/>
      <c r="X164" s="2"/>
      <c r="Y164" s="17"/>
    </row>
    <row r="165" spans="1:25" hidden="1" x14ac:dyDescent="0.25">
      <c r="A165" s="6">
        <v>1.04</v>
      </c>
      <c r="B165" s="2">
        <v>2.1231708999999999</v>
      </c>
      <c r="C165" s="2">
        <v>0.99971810000000005</v>
      </c>
      <c r="D165" s="2">
        <v>0.86575199999999997</v>
      </c>
      <c r="E165" s="12"/>
      <c r="F165" s="2"/>
      <c r="G165" s="13"/>
      <c r="H165" s="18"/>
      <c r="I165" s="8"/>
      <c r="J165" s="17"/>
      <c r="K165" s="12"/>
      <c r="L165" s="2"/>
      <c r="M165" s="17"/>
      <c r="N165" s="12"/>
      <c r="O165" s="2"/>
      <c r="P165" s="17"/>
      <c r="Q165" s="12"/>
      <c r="R165" s="2"/>
      <c r="S165" s="17"/>
      <c r="T165" s="12"/>
      <c r="U165" s="2"/>
      <c r="V165" s="17"/>
      <c r="W165" s="12"/>
      <c r="X165" s="2"/>
      <c r="Y165" s="17"/>
    </row>
    <row r="166" spans="1:25" hidden="1" x14ac:dyDescent="0.25">
      <c r="A166" s="6">
        <v>1.05</v>
      </c>
      <c r="B166" s="2">
        <v>2.1254559</v>
      </c>
      <c r="C166" s="2">
        <v>0.99973670000000003</v>
      </c>
      <c r="D166" s="2">
        <v>0.87058869999999999</v>
      </c>
      <c r="E166" s="12"/>
      <c r="F166" s="2"/>
      <c r="G166" s="13"/>
      <c r="H166" s="18"/>
      <c r="I166" s="8"/>
      <c r="J166" s="17"/>
      <c r="K166" s="12"/>
      <c r="L166" s="2"/>
      <c r="M166" s="17"/>
      <c r="N166" s="12"/>
      <c r="O166" s="2"/>
      <c r="P166" s="17"/>
      <c r="Q166" s="12"/>
      <c r="R166" s="2"/>
      <c r="S166" s="17"/>
      <c r="T166" s="12"/>
      <c r="U166" s="2"/>
      <c r="V166" s="17"/>
      <c r="W166" s="12"/>
      <c r="X166" s="2"/>
      <c r="Y166" s="17"/>
    </row>
    <row r="167" spans="1:25" hidden="1" x14ac:dyDescent="0.25">
      <c r="A167" s="6">
        <v>1.06</v>
      </c>
      <c r="B167" s="2">
        <v>2.1126349000000002</v>
      </c>
      <c r="C167" s="2">
        <v>0.99975849999999999</v>
      </c>
      <c r="D167" s="2">
        <v>0.87125300000000006</v>
      </c>
      <c r="E167" s="12"/>
      <c r="F167" s="2"/>
      <c r="G167" s="13"/>
      <c r="H167" s="18"/>
      <c r="I167" s="8"/>
      <c r="J167" s="17"/>
      <c r="K167" s="12"/>
      <c r="L167" s="2"/>
      <c r="M167" s="17"/>
      <c r="N167" s="12"/>
      <c r="O167" s="2"/>
      <c r="P167" s="17"/>
      <c r="Q167" s="12"/>
      <c r="R167" s="2"/>
      <c r="S167" s="17"/>
      <c r="T167" s="12"/>
      <c r="U167" s="2"/>
      <c r="V167" s="17"/>
      <c r="W167" s="12"/>
      <c r="X167" s="2"/>
      <c r="Y167" s="17"/>
    </row>
    <row r="168" spans="1:25" hidden="1" x14ac:dyDescent="0.25">
      <c r="A168" s="6">
        <v>1.07</v>
      </c>
      <c r="B168" s="2">
        <v>2.1363311</v>
      </c>
      <c r="C168" s="2">
        <v>0.99977170000000004</v>
      </c>
      <c r="D168" s="2">
        <v>0.86083080000000001</v>
      </c>
      <c r="E168" s="12"/>
      <c r="F168" s="2"/>
      <c r="G168" s="13"/>
      <c r="H168" s="18"/>
      <c r="I168" s="8"/>
      <c r="J168" s="17"/>
      <c r="K168" s="12"/>
      <c r="L168" s="2"/>
      <c r="M168" s="17"/>
      <c r="N168" s="12"/>
      <c r="O168" s="2"/>
      <c r="P168" s="17"/>
      <c r="Q168" s="12"/>
      <c r="R168" s="2"/>
      <c r="S168" s="17"/>
      <c r="T168" s="12"/>
      <c r="U168" s="2"/>
      <c r="V168" s="17"/>
      <c r="W168" s="12"/>
      <c r="X168" s="2"/>
      <c r="Y168" s="17"/>
    </row>
    <row r="169" spans="1:25" hidden="1" x14ac:dyDescent="0.25">
      <c r="A169" s="6">
        <v>1.08</v>
      </c>
      <c r="B169" s="2">
        <v>2.1279368000000001</v>
      </c>
      <c r="C169" s="2">
        <v>0.99977870000000002</v>
      </c>
      <c r="D169" s="2">
        <v>0.86539920000000004</v>
      </c>
      <c r="E169" s="12"/>
      <c r="F169" s="2"/>
      <c r="G169" s="13"/>
      <c r="H169" s="18"/>
      <c r="I169" s="8"/>
      <c r="J169" s="17"/>
      <c r="K169" s="12"/>
      <c r="L169" s="2"/>
      <c r="M169" s="17"/>
      <c r="N169" s="12"/>
      <c r="O169" s="2"/>
      <c r="P169" s="17"/>
      <c r="Q169" s="12"/>
      <c r="R169" s="2"/>
      <c r="S169" s="17"/>
      <c r="T169" s="12"/>
      <c r="U169" s="2"/>
      <c r="V169" s="17"/>
      <c r="W169" s="12"/>
      <c r="X169" s="2"/>
      <c r="Y169" s="17"/>
    </row>
    <row r="170" spans="1:25" hidden="1" x14ac:dyDescent="0.25">
      <c r="A170" s="6">
        <v>1.0900000000000001</v>
      </c>
      <c r="B170" s="2">
        <v>2.1238188999999998</v>
      </c>
      <c r="C170" s="2">
        <v>0.99979819999999997</v>
      </c>
      <c r="D170" s="2">
        <v>0.86656339999999998</v>
      </c>
      <c r="E170" s="12"/>
      <c r="F170" s="2"/>
      <c r="G170" s="13"/>
      <c r="H170" s="18"/>
      <c r="I170" s="8"/>
      <c r="J170" s="17"/>
      <c r="K170" s="12"/>
      <c r="L170" s="2"/>
      <c r="M170" s="17"/>
      <c r="N170" s="12"/>
      <c r="O170" s="2"/>
      <c r="P170" s="17"/>
      <c r="Q170" s="12"/>
      <c r="R170" s="2"/>
      <c r="S170" s="17"/>
      <c r="T170" s="12"/>
      <c r="U170" s="2"/>
      <c r="V170" s="17"/>
      <c r="W170" s="12"/>
      <c r="X170" s="2"/>
      <c r="Y170" s="17"/>
    </row>
    <row r="171" spans="1:25" hidden="1" x14ac:dyDescent="0.25">
      <c r="A171" s="6">
        <v>1.1000000000000001</v>
      </c>
      <c r="B171" s="2">
        <v>2.1228669</v>
      </c>
      <c r="C171" s="2">
        <v>0.99980239999999998</v>
      </c>
      <c r="D171" s="2">
        <v>0.86763880000000004</v>
      </c>
      <c r="E171" s="12"/>
      <c r="F171" s="2"/>
      <c r="G171" s="13"/>
      <c r="H171" s="18"/>
      <c r="I171" s="8"/>
      <c r="J171" s="17"/>
      <c r="K171" s="12"/>
      <c r="L171" s="2"/>
      <c r="M171" s="17"/>
      <c r="N171" s="12"/>
      <c r="O171" s="2"/>
      <c r="P171" s="17"/>
      <c r="Q171" s="12"/>
      <c r="R171" s="2"/>
      <c r="S171" s="17"/>
      <c r="T171" s="12"/>
      <c r="U171" s="2"/>
      <c r="V171" s="17"/>
      <c r="W171" s="12"/>
      <c r="X171" s="2"/>
      <c r="Y171" s="17"/>
    </row>
    <row r="172" spans="1:25" hidden="1" x14ac:dyDescent="0.25">
      <c r="A172" s="6">
        <v>1.1100000000000001</v>
      </c>
      <c r="B172" s="2">
        <v>2.1385689000000001</v>
      </c>
      <c r="C172" s="2">
        <v>0.99943009999999999</v>
      </c>
      <c r="D172" s="2">
        <v>0.86263789999999996</v>
      </c>
      <c r="E172" s="12"/>
      <c r="F172" s="2"/>
      <c r="G172" s="13"/>
      <c r="H172" s="18"/>
      <c r="I172" s="8"/>
      <c r="J172" s="17"/>
      <c r="K172" s="12"/>
      <c r="L172" s="2"/>
      <c r="M172" s="17"/>
      <c r="N172" s="12"/>
      <c r="O172" s="2"/>
      <c r="P172" s="17"/>
      <c r="Q172" s="12"/>
      <c r="R172" s="2"/>
      <c r="S172" s="17"/>
      <c r="T172" s="12"/>
      <c r="U172" s="2"/>
      <c r="V172" s="17"/>
      <c r="W172" s="12"/>
      <c r="X172" s="2"/>
      <c r="Y172" s="17"/>
    </row>
    <row r="173" spans="1:25" hidden="1" x14ac:dyDescent="0.25">
      <c r="A173" s="6">
        <v>1.1200000000000001</v>
      </c>
      <c r="B173" s="2">
        <v>2.1324011999999999</v>
      </c>
      <c r="C173" s="2">
        <v>0.99979150000000006</v>
      </c>
      <c r="D173" s="2">
        <v>0.86500160000000004</v>
      </c>
      <c r="E173" s="12"/>
      <c r="F173" s="2"/>
      <c r="G173" s="13"/>
      <c r="H173" s="18"/>
      <c r="I173" s="8"/>
      <c r="J173" s="17"/>
      <c r="K173" s="12"/>
      <c r="L173" s="2"/>
      <c r="M173" s="17"/>
      <c r="N173" s="12"/>
      <c r="O173" s="2"/>
      <c r="P173" s="17"/>
      <c r="Q173" s="12"/>
      <c r="R173" s="2"/>
      <c r="S173" s="17"/>
      <c r="T173" s="12"/>
      <c r="U173" s="2"/>
      <c r="V173" s="17"/>
      <c r="W173" s="12"/>
      <c r="X173" s="2"/>
      <c r="Y173" s="17"/>
    </row>
    <row r="174" spans="1:25" hidden="1" x14ac:dyDescent="0.25">
      <c r="A174" s="6">
        <v>1.1299999999999999</v>
      </c>
      <c r="B174" s="2">
        <v>2.1306782000000002</v>
      </c>
      <c r="C174" s="2">
        <v>0.99977229999999995</v>
      </c>
      <c r="D174" s="2">
        <v>0.86480349999999995</v>
      </c>
      <c r="E174" s="12"/>
      <c r="F174" s="2"/>
      <c r="G174" s="13"/>
      <c r="H174" s="18"/>
      <c r="I174" s="8"/>
      <c r="J174" s="17"/>
      <c r="K174" s="12"/>
      <c r="L174" s="2"/>
      <c r="M174" s="17"/>
      <c r="N174" s="12"/>
      <c r="O174" s="2"/>
      <c r="P174" s="17"/>
      <c r="Q174" s="12"/>
      <c r="R174" s="2"/>
      <c r="S174" s="17"/>
      <c r="T174" s="12"/>
      <c r="U174" s="2"/>
      <c r="V174" s="17"/>
      <c r="W174" s="12"/>
      <c r="X174" s="2"/>
      <c r="Y174" s="17"/>
    </row>
    <row r="175" spans="1:25" hidden="1" x14ac:dyDescent="0.25">
      <c r="A175" s="6">
        <v>1.1399999999999999</v>
      </c>
      <c r="B175" s="2">
        <v>2.1300778</v>
      </c>
      <c r="C175" s="2">
        <v>0.99975199999999997</v>
      </c>
      <c r="D175" s="2">
        <v>0.86529149999999999</v>
      </c>
      <c r="E175" s="12"/>
      <c r="F175" s="2"/>
      <c r="G175" s="13"/>
      <c r="H175" s="18"/>
      <c r="I175" s="8"/>
      <c r="J175" s="17"/>
      <c r="K175" s="12"/>
      <c r="L175" s="2"/>
      <c r="M175" s="17"/>
      <c r="N175" s="12"/>
      <c r="O175" s="2"/>
      <c r="P175" s="17"/>
      <c r="Q175" s="12"/>
      <c r="R175" s="2"/>
      <c r="S175" s="17"/>
      <c r="T175" s="12"/>
      <c r="U175" s="2"/>
      <c r="V175" s="17"/>
      <c r="W175" s="12"/>
      <c r="X175" s="2"/>
      <c r="Y175" s="17"/>
    </row>
    <row r="176" spans="1:25" hidden="1" x14ac:dyDescent="0.25">
      <c r="A176" s="6">
        <v>1.1499999999999999</v>
      </c>
      <c r="B176" s="2">
        <v>2.1324109999999998</v>
      </c>
      <c r="C176" s="2">
        <v>0.99973509999999999</v>
      </c>
      <c r="D176" s="2">
        <v>0.8644461</v>
      </c>
      <c r="E176" s="12"/>
      <c r="F176" s="2"/>
      <c r="G176" s="13"/>
      <c r="H176" s="18"/>
      <c r="I176" s="8"/>
      <c r="J176" s="17"/>
      <c r="K176" s="12"/>
      <c r="L176" s="2"/>
      <c r="M176" s="17"/>
      <c r="N176" s="12"/>
      <c r="O176" s="2"/>
      <c r="P176" s="17"/>
      <c r="Q176" s="12"/>
      <c r="R176" s="2"/>
      <c r="S176" s="17"/>
      <c r="T176" s="12"/>
      <c r="U176" s="2"/>
      <c r="V176" s="17"/>
      <c r="W176" s="12"/>
      <c r="X176" s="2"/>
      <c r="Y176" s="17"/>
    </row>
    <row r="177" spans="1:25" hidden="1" x14ac:dyDescent="0.25">
      <c r="A177" s="6">
        <v>1.1599999999999999</v>
      </c>
      <c r="B177" s="2">
        <v>2.1280632000000002</v>
      </c>
      <c r="C177" s="2">
        <v>0.99966540000000004</v>
      </c>
      <c r="D177" s="2">
        <v>0.86772419999999995</v>
      </c>
      <c r="E177" s="12"/>
      <c r="F177" s="2"/>
      <c r="G177" s="13"/>
      <c r="H177" s="18"/>
      <c r="I177" s="8"/>
      <c r="J177" s="17"/>
      <c r="K177" s="12"/>
      <c r="L177" s="2"/>
      <c r="M177" s="17"/>
      <c r="N177" s="12"/>
      <c r="O177" s="2"/>
      <c r="P177" s="17"/>
      <c r="Q177" s="12"/>
      <c r="R177" s="2"/>
      <c r="S177" s="17"/>
      <c r="T177" s="12"/>
      <c r="U177" s="2"/>
      <c r="V177" s="17"/>
      <c r="W177" s="12"/>
      <c r="X177" s="2"/>
      <c r="Y177" s="17"/>
    </row>
    <row r="178" spans="1:25" hidden="1" x14ac:dyDescent="0.25">
      <c r="A178" s="6">
        <v>1.17</v>
      </c>
      <c r="B178" s="2">
        <v>2.1351988</v>
      </c>
      <c r="C178" s="2">
        <v>0.99958159999999996</v>
      </c>
      <c r="D178" s="2">
        <v>0.86411289999999996</v>
      </c>
      <c r="E178" s="12"/>
      <c r="F178" s="2"/>
      <c r="G178" s="13"/>
      <c r="H178" s="18"/>
      <c r="I178" s="8"/>
      <c r="J178" s="17"/>
      <c r="K178" s="12"/>
      <c r="L178" s="2"/>
      <c r="M178" s="17"/>
      <c r="N178" s="12"/>
      <c r="O178" s="2"/>
      <c r="P178" s="17"/>
      <c r="Q178" s="12"/>
      <c r="R178" s="2"/>
      <c r="S178" s="17"/>
      <c r="T178" s="12"/>
      <c r="U178" s="2"/>
      <c r="V178" s="17"/>
      <c r="W178" s="12"/>
      <c r="X178" s="2"/>
      <c r="Y178" s="17"/>
    </row>
    <row r="179" spans="1:25" hidden="1" x14ac:dyDescent="0.25">
      <c r="A179" s="6">
        <v>1.18</v>
      </c>
      <c r="B179" s="2">
        <v>2.1344439999999998</v>
      </c>
      <c r="C179" s="2">
        <v>0.99946250000000003</v>
      </c>
      <c r="D179" s="2">
        <v>0.86542220000000003</v>
      </c>
      <c r="E179" s="12"/>
      <c r="F179" s="2"/>
      <c r="G179" s="13"/>
      <c r="H179" s="18"/>
      <c r="I179" s="8"/>
      <c r="J179" s="17"/>
      <c r="K179" s="12"/>
      <c r="L179" s="2"/>
      <c r="M179" s="17"/>
      <c r="N179" s="12"/>
      <c r="O179" s="2"/>
      <c r="P179" s="17"/>
      <c r="Q179" s="12"/>
      <c r="R179" s="2"/>
      <c r="S179" s="17"/>
      <c r="T179" s="12"/>
      <c r="U179" s="2"/>
      <c r="V179" s="17"/>
      <c r="W179" s="12"/>
      <c r="X179" s="2"/>
      <c r="Y179" s="17"/>
    </row>
    <row r="180" spans="1:25" hidden="1" x14ac:dyDescent="0.25">
      <c r="A180" s="6">
        <v>1.19</v>
      </c>
      <c r="B180" s="2">
        <v>2.1396693999999998</v>
      </c>
      <c r="C180" s="2">
        <v>0.99938360000000004</v>
      </c>
      <c r="D180" s="2">
        <v>0.8629793</v>
      </c>
      <c r="E180" s="12"/>
      <c r="F180" s="2"/>
      <c r="G180" s="13"/>
      <c r="H180" s="18"/>
      <c r="I180" s="8"/>
      <c r="J180" s="17"/>
      <c r="K180" s="12"/>
      <c r="L180" s="2"/>
      <c r="M180" s="17"/>
      <c r="N180" s="12"/>
      <c r="O180" s="2"/>
      <c r="P180" s="17"/>
      <c r="Q180" s="12"/>
      <c r="R180" s="2"/>
      <c r="S180" s="17"/>
      <c r="T180" s="12"/>
      <c r="U180" s="2"/>
      <c r="V180" s="17"/>
      <c r="W180" s="12"/>
      <c r="X180" s="2"/>
      <c r="Y180" s="17"/>
    </row>
    <row r="181" spans="1:25" hidden="1" x14ac:dyDescent="0.25">
      <c r="A181" s="6">
        <v>1.2</v>
      </c>
      <c r="B181" s="2">
        <v>2.1399632</v>
      </c>
      <c r="C181" s="2">
        <v>0.99928470000000003</v>
      </c>
      <c r="D181" s="2">
        <v>0.8624117</v>
      </c>
      <c r="E181" s="12"/>
      <c r="F181" s="2"/>
      <c r="G181" s="13"/>
      <c r="H181" s="18"/>
      <c r="I181" s="8"/>
      <c r="J181" s="17"/>
      <c r="K181" s="12"/>
      <c r="L181" s="2"/>
      <c r="M181" s="17"/>
      <c r="N181" s="12"/>
      <c r="O181" s="2"/>
      <c r="P181" s="17"/>
      <c r="Q181" s="12"/>
      <c r="R181" s="2"/>
      <c r="S181" s="17"/>
      <c r="T181" s="12"/>
      <c r="U181" s="2"/>
      <c r="V181" s="17"/>
      <c r="W181" s="12"/>
      <c r="X181" s="2"/>
      <c r="Y181" s="17"/>
    </row>
    <row r="182" spans="1:25" hidden="1" x14ac:dyDescent="0.25">
      <c r="A182" s="6">
        <v>1.21</v>
      </c>
      <c r="B182" s="2">
        <v>2.1422050000000001</v>
      </c>
      <c r="C182" s="2">
        <v>0.99900949999999999</v>
      </c>
      <c r="D182" s="2">
        <v>0.86509469999999999</v>
      </c>
      <c r="E182" s="12"/>
      <c r="F182" s="2"/>
      <c r="G182" s="13"/>
      <c r="H182" s="18"/>
      <c r="I182" s="8"/>
      <c r="J182" s="17"/>
      <c r="K182" s="12"/>
      <c r="L182" s="2"/>
      <c r="M182" s="17"/>
      <c r="N182" s="12"/>
      <c r="O182" s="2"/>
      <c r="P182" s="17"/>
      <c r="Q182" s="12"/>
      <c r="R182" s="2"/>
      <c r="S182" s="17"/>
      <c r="T182" s="12"/>
      <c r="U182" s="2"/>
      <c r="V182" s="17"/>
      <c r="W182" s="12"/>
      <c r="X182" s="2"/>
      <c r="Y182" s="17"/>
    </row>
    <row r="183" spans="1:25" hidden="1" x14ac:dyDescent="0.25">
      <c r="A183" s="6">
        <v>1.22</v>
      </c>
      <c r="B183" s="2">
        <v>2.1392636</v>
      </c>
      <c r="C183" s="2">
        <v>0.99892910000000001</v>
      </c>
      <c r="D183" s="2">
        <v>0.85814469999999998</v>
      </c>
      <c r="E183" s="12"/>
      <c r="F183" s="2"/>
      <c r="G183" s="13"/>
      <c r="H183" s="18"/>
      <c r="I183" s="8"/>
      <c r="J183" s="17"/>
      <c r="K183" s="12"/>
      <c r="L183" s="2"/>
      <c r="M183" s="17"/>
      <c r="N183" s="12"/>
      <c r="O183" s="2"/>
      <c r="P183" s="17"/>
      <c r="Q183" s="12"/>
      <c r="R183" s="2"/>
      <c r="S183" s="17"/>
      <c r="T183" s="12"/>
      <c r="U183" s="2"/>
      <c r="V183" s="17"/>
      <c r="W183" s="12"/>
      <c r="X183" s="2"/>
      <c r="Y183" s="17"/>
    </row>
    <row r="184" spans="1:25" hidden="1" x14ac:dyDescent="0.25">
      <c r="A184" s="6">
        <v>1.23</v>
      </c>
      <c r="B184" s="2">
        <v>2.1344395</v>
      </c>
      <c r="C184" s="2">
        <v>0.99887680000000001</v>
      </c>
      <c r="D184" s="2">
        <v>0.87217529999999999</v>
      </c>
      <c r="E184" s="12"/>
      <c r="F184" s="2"/>
      <c r="G184" s="13"/>
      <c r="H184" s="18"/>
      <c r="I184" s="8"/>
      <c r="J184" s="17"/>
      <c r="K184" s="12"/>
      <c r="L184" s="2"/>
      <c r="M184" s="17"/>
      <c r="N184" s="12"/>
      <c r="O184" s="2"/>
      <c r="P184" s="17"/>
      <c r="Q184" s="12"/>
      <c r="R184" s="2"/>
      <c r="S184" s="17"/>
      <c r="T184" s="12"/>
      <c r="U184" s="2"/>
      <c r="V184" s="17"/>
      <c r="W184" s="12"/>
      <c r="X184" s="2"/>
      <c r="Y184" s="17"/>
    </row>
    <row r="185" spans="1:25" hidden="1" x14ac:dyDescent="0.25">
      <c r="A185" s="6">
        <v>1.24</v>
      </c>
      <c r="B185" s="2">
        <v>2.1373047999999999</v>
      </c>
      <c r="C185" s="2">
        <v>0.99872590000000006</v>
      </c>
      <c r="D185" s="2">
        <v>0.85972199999999999</v>
      </c>
      <c r="E185" s="12"/>
      <c r="F185" s="2"/>
      <c r="G185" s="13"/>
      <c r="H185" s="18"/>
      <c r="I185" s="8"/>
      <c r="J185" s="17"/>
      <c r="K185" s="12"/>
      <c r="L185" s="2"/>
      <c r="M185" s="17"/>
      <c r="N185" s="12"/>
      <c r="O185" s="2"/>
      <c r="P185" s="17"/>
      <c r="Q185" s="12"/>
      <c r="R185" s="2"/>
      <c r="S185" s="17"/>
      <c r="T185" s="12"/>
      <c r="U185" s="2"/>
      <c r="V185" s="17"/>
      <c r="W185" s="12"/>
      <c r="X185" s="2"/>
      <c r="Y185" s="17"/>
    </row>
    <row r="186" spans="1:25" hidden="1" x14ac:dyDescent="0.25">
      <c r="A186" s="6">
        <v>1.25</v>
      </c>
      <c r="B186" s="2">
        <v>2.1382501</v>
      </c>
      <c r="C186" s="2">
        <v>0.99869560000000002</v>
      </c>
      <c r="D186" s="2">
        <v>0.86692049999999998</v>
      </c>
      <c r="E186" s="12"/>
      <c r="F186" s="2"/>
      <c r="G186" s="13"/>
      <c r="H186" s="18"/>
      <c r="I186" s="8"/>
      <c r="J186" s="17"/>
      <c r="K186" s="12"/>
      <c r="L186" s="2"/>
      <c r="M186" s="17"/>
      <c r="N186" s="12"/>
      <c r="O186" s="2"/>
      <c r="P186" s="17"/>
      <c r="Q186" s="12"/>
      <c r="R186" s="2"/>
      <c r="S186" s="17"/>
      <c r="T186" s="12"/>
      <c r="U186" s="2"/>
      <c r="V186" s="17"/>
      <c r="W186" s="12"/>
      <c r="X186" s="2"/>
      <c r="Y186" s="17"/>
    </row>
    <row r="187" spans="1:25" hidden="1" x14ac:dyDescent="0.25">
      <c r="A187" s="6">
        <v>1.26</v>
      </c>
      <c r="B187" s="2">
        <v>2.1334800999999999</v>
      </c>
      <c r="C187" s="2">
        <v>0.9986796</v>
      </c>
      <c r="D187" s="2">
        <v>0.86614650000000004</v>
      </c>
      <c r="E187" s="12"/>
      <c r="F187" s="2"/>
      <c r="G187" s="13"/>
      <c r="H187" s="18"/>
      <c r="I187" s="8"/>
      <c r="J187" s="17"/>
      <c r="K187" s="12"/>
      <c r="L187" s="2"/>
      <c r="M187" s="17"/>
      <c r="N187" s="12"/>
      <c r="O187" s="2"/>
      <c r="P187" s="17"/>
      <c r="Q187" s="12"/>
      <c r="R187" s="2"/>
      <c r="S187" s="17"/>
      <c r="T187" s="12"/>
      <c r="U187" s="2"/>
      <c r="V187" s="17"/>
      <c r="W187" s="12"/>
      <c r="X187" s="2"/>
      <c r="Y187" s="17"/>
    </row>
    <row r="188" spans="1:25" hidden="1" x14ac:dyDescent="0.25">
      <c r="A188" s="6">
        <v>1.27</v>
      </c>
      <c r="B188" s="2">
        <v>2.1340837000000001</v>
      </c>
      <c r="C188" s="2">
        <v>0.9987026</v>
      </c>
      <c r="D188" s="2">
        <v>0.86665230000000004</v>
      </c>
      <c r="E188" s="12"/>
      <c r="F188" s="2"/>
      <c r="G188" s="13"/>
      <c r="H188" s="18"/>
      <c r="I188" s="8"/>
      <c r="J188" s="17"/>
      <c r="K188" s="12"/>
      <c r="L188" s="2"/>
      <c r="M188" s="17"/>
      <c r="N188" s="12"/>
      <c r="O188" s="2"/>
      <c r="P188" s="17"/>
      <c r="Q188" s="12"/>
      <c r="R188" s="2"/>
      <c r="S188" s="17"/>
      <c r="T188" s="12"/>
      <c r="U188" s="2"/>
      <c r="V188" s="17"/>
      <c r="W188" s="12"/>
      <c r="X188" s="2"/>
      <c r="Y188" s="17"/>
    </row>
    <row r="189" spans="1:25" hidden="1" x14ac:dyDescent="0.25">
      <c r="A189" s="6">
        <v>1.28</v>
      </c>
      <c r="B189" s="2">
        <v>2.1524401000000002</v>
      </c>
      <c r="C189" s="2">
        <v>0.99815209999999999</v>
      </c>
      <c r="D189" s="2">
        <v>0.86018170000000005</v>
      </c>
      <c r="E189" s="12"/>
      <c r="F189" s="2"/>
      <c r="G189" s="13"/>
      <c r="H189" s="18"/>
      <c r="I189" s="8"/>
      <c r="J189" s="17"/>
      <c r="K189" s="12"/>
      <c r="L189" s="2"/>
      <c r="M189" s="17"/>
      <c r="N189" s="12"/>
      <c r="O189" s="2"/>
      <c r="P189" s="17"/>
      <c r="Q189" s="12"/>
      <c r="R189" s="2"/>
      <c r="S189" s="17"/>
      <c r="T189" s="12"/>
      <c r="U189" s="2"/>
      <c r="V189" s="17"/>
      <c r="W189" s="12"/>
      <c r="X189" s="2"/>
      <c r="Y189" s="17"/>
    </row>
    <row r="190" spans="1:25" hidden="1" x14ac:dyDescent="0.25">
      <c r="A190" s="6">
        <v>1.29</v>
      </c>
      <c r="B190" s="2">
        <v>2.1429288</v>
      </c>
      <c r="C190" s="2">
        <v>0.9986737</v>
      </c>
      <c r="D190" s="2">
        <v>0.86311110000000002</v>
      </c>
      <c r="E190" s="12"/>
      <c r="F190" s="2"/>
      <c r="G190" s="13"/>
      <c r="H190" s="18"/>
      <c r="I190" s="8"/>
      <c r="J190" s="17"/>
      <c r="K190" s="12"/>
      <c r="L190" s="2"/>
      <c r="M190" s="17"/>
      <c r="N190" s="12"/>
      <c r="O190" s="2"/>
      <c r="P190" s="17"/>
      <c r="Q190" s="12"/>
      <c r="R190" s="2"/>
      <c r="S190" s="17"/>
      <c r="T190" s="12"/>
      <c r="U190" s="2"/>
      <c r="V190" s="17"/>
      <c r="W190" s="12"/>
      <c r="X190" s="2"/>
      <c r="Y190" s="17"/>
    </row>
    <row r="191" spans="1:25" hidden="1" x14ac:dyDescent="0.25">
      <c r="A191" s="6">
        <v>1.3</v>
      </c>
      <c r="B191" s="2">
        <v>2.1624371999999998</v>
      </c>
      <c r="C191" s="2">
        <v>0.99744580000000005</v>
      </c>
      <c r="D191" s="2">
        <v>0.85737960000000002</v>
      </c>
      <c r="E191" s="12"/>
      <c r="F191" s="2"/>
      <c r="G191" s="13"/>
      <c r="H191" s="18"/>
      <c r="I191" s="8"/>
      <c r="J191" s="17"/>
      <c r="K191" s="12"/>
      <c r="L191" s="2"/>
      <c r="M191" s="17"/>
      <c r="N191" s="12"/>
      <c r="O191" s="2"/>
      <c r="P191" s="17"/>
      <c r="Q191" s="12"/>
      <c r="R191" s="2"/>
      <c r="S191" s="17"/>
      <c r="T191" s="12"/>
      <c r="U191" s="2"/>
      <c r="V191" s="17"/>
      <c r="W191" s="12"/>
      <c r="X191" s="2"/>
      <c r="Y191" s="17"/>
    </row>
    <row r="192" spans="1:25" hidden="1" x14ac:dyDescent="0.25">
      <c r="A192" s="6">
        <v>1.31</v>
      </c>
      <c r="B192" s="2">
        <v>2.1435493999999999</v>
      </c>
      <c r="C192" s="2">
        <v>0.99870530000000002</v>
      </c>
      <c r="D192" s="2">
        <v>0.86368829999999996</v>
      </c>
      <c r="E192" s="12"/>
      <c r="F192" s="2"/>
      <c r="G192" s="13"/>
      <c r="H192" s="18"/>
      <c r="I192" s="8"/>
      <c r="J192" s="17"/>
      <c r="K192" s="12"/>
      <c r="L192" s="2"/>
      <c r="M192" s="17"/>
      <c r="N192" s="12"/>
      <c r="O192" s="2"/>
      <c r="P192" s="17"/>
      <c r="Q192" s="12"/>
      <c r="R192" s="2"/>
      <c r="S192" s="17"/>
      <c r="T192" s="12"/>
      <c r="U192" s="2"/>
      <c r="V192" s="17"/>
      <c r="W192" s="12"/>
      <c r="X192" s="2"/>
      <c r="Y192" s="17"/>
    </row>
    <row r="193" spans="1:25" hidden="1" x14ac:dyDescent="0.25">
      <c r="A193" s="6">
        <v>1.32</v>
      </c>
      <c r="B193" s="2">
        <v>2.1504474</v>
      </c>
      <c r="C193" s="2">
        <v>0.99869730000000001</v>
      </c>
      <c r="D193" s="2">
        <v>0.86012449999999996</v>
      </c>
      <c r="E193" s="12"/>
      <c r="F193" s="2"/>
      <c r="G193" s="13"/>
      <c r="H193" s="18"/>
      <c r="I193" s="8"/>
      <c r="J193" s="17"/>
      <c r="K193" s="12"/>
      <c r="L193" s="2"/>
      <c r="M193" s="17"/>
      <c r="N193" s="12"/>
      <c r="O193" s="2"/>
      <c r="P193" s="17"/>
      <c r="Q193" s="12"/>
      <c r="R193" s="2"/>
      <c r="S193" s="17"/>
      <c r="T193" s="12"/>
      <c r="U193" s="2"/>
      <c r="V193" s="17"/>
      <c r="W193" s="12"/>
      <c r="X193" s="2"/>
      <c r="Y193" s="17"/>
    </row>
    <row r="194" spans="1:25" hidden="1" x14ac:dyDescent="0.25">
      <c r="A194" s="6">
        <v>1.33</v>
      </c>
      <c r="B194" s="2">
        <v>2.1421462999999998</v>
      </c>
      <c r="C194" s="2">
        <v>0.99875499999999995</v>
      </c>
      <c r="D194" s="2">
        <v>0.86507089999999998</v>
      </c>
      <c r="E194" s="12"/>
      <c r="F194" s="2"/>
      <c r="G194" s="13"/>
      <c r="H194" s="18"/>
      <c r="I194" s="8"/>
      <c r="J194" s="17"/>
      <c r="K194" s="12"/>
      <c r="L194" s="2"/>
      <c r="M194" s="17"/>
      <c r="N194" s="12"/>
      <c r="O194" s="2"/>
      <c r="P194" s="17"/>
      <c r="Q194" s="12"/>
      <c r="R194" s="2"/>
      <c r="S194" s="17"/>
      <c r="T194" s="12"/>
      <c r="U194" s="2"/>
      <c r="V194" s="17"/>
      <c r="W194" s="12"/>
      <c r="X194" s="2"/>
      <c r="Y194" s="17"/>
    </row>
    <row r="195" spans="1:25" hidden="1" x14ac:dyDescent="0.25">
      <c r="A195" s="6">
        <v>1.34</v>
      </c>
      <c r="B195" s="2">
        <v>2.1586441999999999</v>
      </c>
      <c r="C195" s="2">
        <v>0.99860269999999995</v>
      </c>
      <c r="D195" s="2">
        <v>0.85825969999999996</v>
      </c>
      <c r="E195" s="12"/>
      <c r="F195" s="2"/>
      <c r="G195" s="13"/>
      <c r="H195" s="18"/>
      <c r="I195" s="8"/>
      <c r="J195" s="17"/>
      <c r="K195" s="12"/>
      <c r="L195" s="2"/>
      <c r="M195" s="17"/>
      <c r="N195" s="12"/>
      <c r="O195" s="2"/>
      <c r="P195" s="17"/>
      <c r="Q195" s="12"/>
      <c r="R195" s="2"/>
      <c r="S195" s="17"/>
      <c r="T195" s="12"/>
      <c r="U195" s="2"/>
      <c r="V195" s="17"/>
      <c r="W195" s="12"/>
      <c r="X195" s="2"/>
      <c r="Y195" s="17"/>
    </row>
    <row r="196" spans="1:25" hidden="1" x14ac:dyDescent="0.25">
      <c r="A196" s="6">
        <v>1.35</v>
      </c>
      <c r="B196" s="2">
        <v>2.1460971999999998</v>
      </c>
      <c r="C196" s="2">
        <v>0.99868939999999995</v>
      </c>
      <c r="D196" s="2">
        <v>0.86360340000000002</v>
      </c>
      <c r="E196" s="12"/>
      <c r="F196" s="2"/>
      <c r="G196" s="13"/>
      <c r="H196" s="18"/>
      <c r="I196" s="8"/>
      <c r="J196" s="17"/>
      <c r="K196" s="12"/>
      <c r="L196" s="2"/>
      <c r="M196" s="17"/>
      <c r="N196" s="12"/>
      <c r="O196" s="2"/>
      <c r="P196" s="17"/>
      <c r="Q196" s="12"/>
      <c r="R196" s="2"/>
      <c r="S196" s="17"/>
      <c r="T196" s="12"/>
      <c r="U196" s="2"/>
      <c r="V196" s="17"/>
      <c r="W196" s="12"/>
      <c r="X196" s="2"/>
      <c r="Y196" s="17"/>
    </row>
    <row r="197" spans="1:25" hidden="1" x14ac:dyDescent="0.25">
      <c r="A197" s="6">
        <v>1.36</v>
      </c>
      <c r="B197" s="2">
        <v>2.1581149000000002</v>
      </c>
      <c r="C197" s="2">
        <v>0.99864299999999995</v>
      </c>
      <c r="D197" s="2">
        <v>0.85887690000000005</v>
      </c>
      <c r="E197" s="12"/>
      <c r="F197" s="2"/>
      <c r="G197" s="13"/>
      <c r="H197" s="18"/>
      <c r="I197" s="8"/>
      <c r="J197" s="17"/>
      <c r="K197" s="12"/>
      <c r="L197" s="2"/>
      <c r="M197" s="17"/>
      <c r="N197" s="12"/>
      <c r="O197" s="2"/>
      <c r="P197" s="17"/>
      <c r="Q197" s="12"/>
      <c r="R197" s="2"/>
      <c r="S197" s="17"/>
      <c r="T197" s="12"/>
      <c r="U197" s="2"/>
      <c r="V197" s="17"/>
      <c r="W197" s="12"/>
      <c r="X197" s="2"/>
      <c r="Y197" s="17"/>
    </row>
    <row r="198" spans="1:25" hidden="1" x14ac:dyDescent="0.25">
      <c r="A198" s="6">
        <v>1.37</v>
      </c>
      <c r="B198" s="2">
        <v>2.1537647</v>
      </c>
      <c r="C198" s="2">
        <v>0.99861860000000002</v>
      </c>
      <c r="D198" s="2">
        <v>0.8612533</v>
      </c>
      <c r="E198" s="12"/>
      <c r="F198" s="2"/>
      <c r="G198" s="13"/>
      <c r="H198" s="18"/>
      <c r="I198" s="8"/>
      <c r="J198" s="17"/>
      <c r="K198" s="12"/>
      <c r="L198" s="2"/>
      <c r="M198" s="17"/>
      <c r="N198" s="12"/>
      <c r="O198" s="2"/>
      <c r="P198" s="17"/>
      <c r="Q198" s="12"/>
      <c r="R198" s="2"/>
      <c r="S198" s="17"/>
      <c r="T198" s="12"/>
      <c r="U198" s="2"/>
      <c r="V198" s="17"/>
      <c r="W198" s="12"/>
      <c r="X198" s="2"/>
      <c r="Y198" s="17"/>
    </row>
    <row r="199" spans="1:25" hidden="1" x14ac:dyDescent="0.25">
      <c r="A199" s="6">
        <v>1.38</v>
      </c>
      <c r="B199" s="2">
        <v>2.1539817000000001</v>
      </c>
      <c r="C199" s="2">
        <v>0.99852039999999997</v>
      </c>
      <c r="D199" s="2">
        <v>0.86116680000000001</v>
      </c>
      <c r="E199" s="12"/>
      <c r="F199" s="2"/>
      <c r="G199" s="13"/>
      <c r="H199" s="18"/>
      <c r="I199" s="8"/>
      <c r="J199" s="17"/>
      <c r="K199" s="12"/>
      <c r="L199" s="2"/>
      <c r="M199" s="17"/>
      <c r="N199" s="12"/>
      <c r="O199" s="2"/>
      <c r="P199" s="17"/>
      <c r="Q199" s="12"/>
      <c r="R199" s="2"/>
      <c r="S199" s="17"/>
      <c r="T199" s="12"/>
      <c r="U199" s="2"/>
      <c r="V199" s="17"/>
      <c r="W199" s="12"/>
      <c r="X199" s="2"/>
      <c r="Y199" s="17"/>
    </row>
    <row r="200" spans="1:25" hidden="1" x14ac:dyDescent="0.25">
      <c r="A200" s="6">
        <v>1.39</v>
      </c>
      <c r="B200" s="2">
        <v>2.1507375</v>
      </c>
      <c r="C200" s="2">
        <v>0.99828879999999998</v>
      </c>
      <c r="D200" s="2">
        <v>0.8622957</v>
      </c>
      <c r="E200" s="12"/>
      <c r="F200" s="2"/>
      <c r="G200" s="13"/>
      <c r="H200" s="18"/>
      <c r="I200" s="8"/>
      <c r="J200" s="17"/>
      <c r="K200" s="12"/>
      <c r="L200" s="2"/>
      <c r="M200" s="17"/>
      <c r="N200" s="12"/>
      <c r="O200" s="2"/>
      <c r="P200" s="17"/>
      <c r="Q200" s="12"/>
      <c r="R200" s="2"/>
      <c r="S200" s="17"/>
      <c r="T200" s="12"/>
      <c r="U200" s="2"/>
      <c r="V200" s="17"/>
      <c r="W200" s="12"/>
      <c r="X200" s="2"/>
      <c r="Y200" s="17"/>
    </row>
    <row r="201" spans="1:25" hidden="1" x14ac:dyDescent="0.25">
      <c r="A201" s="6">
        <v>1.4</v>
      </c>
      <c r="B201" s="2">
        <v>2.1503499000000001</v>
      </c>
      <c r="C201" s="2">
        <v>0.99815180000000003</v>
      </c>
      <c r="D201" s="2">
        <v>0.86285279999999998</v>
      </c>
      <c r="E201" s="12"/>
      <c r="F201" s="2"/>
      <c r="G201" s="13"/>
      <c r="H201" s="18"/>
      <c r="I201" s="8"/>
      <c r="J201" s="17"/>
      <c r="K201" s="12"/>
      <c r="L201" s="2"/>
      <c r="M201" s="17"/>
      <c r="N201" s="12"/>
      <c r="O201" s="2"/>
      <c r="P201" s="17"/>
      <c r="Q201" s="12"/>
      <c r="R201" s="2"/>
      <c r="S201" s="17"/>
      <c r="T201" s="12"/>
      <c r="U201" s="2"/>
      <c r="V201" s="17"/>
      <c r="W201" s="12"/>
      <c r="X201" s="2"/>
      <c r="Y201" s="17"/>
    </row>
    <row r="202" spans="1:25" hidden="1" x14ac:dyDescent="0.25">
      <c r="A202" s="6">
        <v>1.41</v>
      </c>
      <c r="B202" s="2">
        <v>2.1638837</v>
      </c>
      <c r="C202" s="2">
        <v>0.99650099999999997</v>
      </c>
      <c r="D202" s="2">
        <v>0.85867789999999999</v>
      </c>
      <c r="E202" s="12"/>
      <c r="F202" s="2"/>
      <c r="G202" s="13"/>
      <c r="H202" s="18"/>
      <c r="I202" s="8"/>
      <c r="J202" s="17"/>
      <c r="K202" s="12"/>
      <c r="L202" s="2"/>
      <c r="M202" s="17"/>
      <c r="N202" s="12"/>
      <c r="O202" s="2"/>
      <c r="P202" s="17"/>
      <c r="Q202" s="12"/>
      <c r="R202" s="2"/>
      <c r="S202" s="17"/>
      <c r="T202" s="12"/>
      <c r="U202" s="2"/>
      <c r="V202" s="17"/>
      <c r="W202" s="12"/>
      <c r="X202" s="2"/>
      <c r="Y202" s="17"/>
    </row>
    <row r="203" spans="1:25" hidden="1" x14ac:dyDescent="0.25">
      <c r="A203" s="6">
        <v>1.42</v>
      </c>
      <c r="B203" s="2">
        <v>2.1518655</v>
      </c>
      <c r="C203" s="2">
        <v>0.9947395</v>
      </c>
      <c r="D203" s="2">
        <v>0.86169180000000001</v>
      </c>
      <c r="E203" s="12"/>
      <c r="F203" s="2"/>
      <c r="G203" s="13"/>
      <c r="H203" s="18"/>
      <c r="I203" s="8"/>
      <c r="J203" s="17"/>
      <c r="K203" s="12"/>
      <c r="L203" s="2"/>
      <c r="M203" s="17"/>
      <c r="N203" s="12"/>
      <c r="O203" s="2"/>
      <c r="P203" s="17"/>
      <c r="Q203" s="12"/>
      <c r="R203" s="2"/>
      <c r="S203" s="17"/>
      <c r="T203" s="12"/>
      <c r="U203" s="2"/>
      <c r="V203" s="17"/>
      <c r="W203" s="12"/>
      <c r="X203" s="2"/>
      <c r="Y203" s="17"/>
    </row>
    <row r="204" spans="1:25" hidden="1" x14ac:dyDescent="0.25">
      <c r="A204" s="6">
        <v>1.43</v>
      </c>
      <c r="B204" s="2">
        <v>2.1629445999999999</v>
      </c>
      <c r="C204" s="2">
        <v>0.99068590000000001</v>
      </c>
      <c r="D204" s="2">
        <v>0.86181090000000005</v>
      </c>
      <c r="E204" s="12"/>
      <c r="F204" s="2"/>
      <c r="G204" s="13"/>
      <c r="H204" s="18"/>
      <c r="I204" s="8"/>
      <c r="J204" s="17"/>
      <c r="K204" s="12"/>
      <c r="L204" s="2"/>
      <c r="M204" s="17"/>
      <c r="N204" s="12"/>
      <c r="O204" s="2"/>
      <c r="P204" s="17"/>
      <c r="Q204" s="12"/>
      <c r="R204" s="2"/>
      <c r="S204" s="17"/>
      <c r="T204" s="12"/>
      <c r="U204" s="2"/>
      <c r="V204" s="17"/>
      <c r="W204" s="12"/>
      <c r="X204" s="2"/>
      <c r="Y204" s="17"/>
    </row>
    <row r="205" spans="1:25" hidden="1" x14ac:dyDescent="0.25">
      <c r="A205" s="6">
        <v>1.44</v>
      </c>
      <c r="B205" s="2">
        <v>2.1597043999999999</v>
      </c>
      <c r="C205" s="2">
        <v>0.98678279999999996</v>
      </c>
      <c r="D205" s="2">
        <v>0.86146579999999995</v>
      </c>
      <c r="E205" s="12"/>
      <c r="F205" s="2"/>
      <c r="G205" s="13"/>
      <c r="H205" s="18"/>
      <c r="I205" s="8"/>
      <c r="J205" s="17"/>
      <c r="K205" s="12"/>
      <c r="L205" s="2"/>
      <c r="M205" s="17"/>
      <c r="N205" s="12"/>
      <c r="O205" s="2"/>
      <c r="P205" s="17"/>
      <c r="Q205" s="12"/>
      <c r="R205" s="2"/>
      <c r="S205" s="17"/>
      <c r="T205" s="12"/>
      <c r="U205" s="2"/>
      <c r="V205" s="17"/>
      <c r="W205" s="12"/>
      <c r="X205" s="2"/>
      <c r="Y205" s="17"/>
    </row>
    <row r="206" spans="1:25" hidden="1" x14ac:dyDescent="0.25">
      <c r="A206" s="6">
        <v>1.4490000000000001</v>
      </c>
      <c r="B206" s="2">
        <v>2.1497521000000002</v>
      </c>
      <c r="C206" s="2">
        <v>0.98242090000000004</v>
      </c>
      <c r="D206" s="2">
        <v>0.86424559999999995</v>
      </c>
      <c r="E206" s="12"/>
      <c r="F206" s="2"/>
      <c r="G206" s="13"/>
      <c r="H206" s="18"/>
      <c r="I206" s="8"/>
      <c r="J206" s="17"/>
      <c r="K206" s="12"/>
      <c r="L206" s="2"/>
      <c r="M206" s="17"/>
      <c r="N206" s="12"/>
      <c r="O206" s="2"/>
      <c r="P206" s="17"/>
      <c r="Q206" s="12"/>
      <c r="R206" s="2"/>
      <c r="S206" s="17"/>
      <c r="T206" s="12"/>
      <c r="U206" s="2"/>
      <c r="V206" s="17"/>
      <c r="W206" s="12"/>
      <c r="X206" s="2"/>
      <c r="Y206" s="17"/>
    </row>
    <row r="207" spans="1:25" hidden="1" x14ac:dyDescent="0.25">
      <c r="A207" s="6">
        <v>1.46</v>
      </c>
      <c r="B207" s="2">
        <v>2.1659350000000002</v>
      </c>
      <c r="C207" s="2">
        <v>0.97582880000000005</v>
      </c>
      <c r="D207" s="2">
        <v>0.86795009999999995</v>
      </c>
      <c r="E207" s="12"/>
      <c r="F207" s="2"/>
      <c r="G207" s="13"/>
      <c r="H207" s="18"/>
      <c r="I207" s="8"/>
      <c r="J207" s="17"/>
      <c r="K207" s="12"/>
      <c r="L207" s="2"/>
      <c r="M207" s="17"/>
      <c r="N207" s="12"/>
      <c r="O207" s="2"/>
      <c r="P207" s="17"/>
      <c r="Q207" s="12"/>
      <c r="R207" s="2"/>
      <c r="S207" s="17"/>
      <c r="T207" s="12"/>
      <c r="U207" s="2"/>
      <c r="V207" s="17"/>
      <c r="W207" s="12"/>
      <c r="X207" s="2"/>
      <c r="Y207" s="17"/>
    </row>
    <row r="208" spans="1:25" hidden="1" x14ac:dyDescent="0.25">
      <c r="A208" s="6">
        <v>1.4710000000000001</v>
      </c>
      <c r="B208" s="2">
        <v>2.1587279000000001</v>
      </c>
      <c r="C208" s="2">
        <v>0.96608910000000003</v>
      </c>
      <c r="D208" s="2">
        <v>0.86059090000000005</v>
      </c>
      <c r="E208" s="12"/>
      <c r="F208" s="2"/>
      <c r="G208" s="13"/>
      <c r="H208" s="18"/>
      <c r="I208" s="8"/>
      <c r="J208" s="17"/>
      <c r="K208" s="12"/>
      <c r="L208" s="2"/>
      <c r="M208" s="17"/>
      <c r="N208" s="12"/>
      <c r="O208" s="2"/>
      <c r="P208" s="17"/>
      <c r="Q208" s="12"/>
      <c r="R208" s="2"/>
      <c r="S208" s="17"/>
      <c r="T208" s="12"/>
      <c r="U208" s="2"/>
      <c r="V208" s="17"/>
      <c r="W208" s="12"/>
      <c r="X208" s="2"/>
      <c r="Y208" s="17"/>
    </row>
    <row r="209" spans="1:25" hidden="1" x14ac:dyDescent="0.25">
      <c r="A209" s="6">
        <v>1.4810000000000001</v>
      </c>
      <c r="B209" s="2">
        <v>2.1448429</v>
      </c>
      <c r="C209" s="2">
        <v>0.96067250000000004</v>
      </c>
      <c r="D209" s="2">
        <v>0.87659889999999996</v>
      </c>
      <c r="E209" s="12"/>
      <c r="F209" s="2"/>
      <c r="G209" s="13"/>
      <c r="H209" s="18"/>
      <c r="I209" s="8"/>
      <c r="J209" s="17"/>
      <c r="K209" s="12"/>
      <c r="L209" s="2"/>
      <c r="M209" s="17"/>
      <c r="N209" s="12"/>
      <c r="O209" s="2"/>
      <c r="P209" s="17"/>
      <c r="Q209" s="12"/>
      <c r="R209" s="2"/>
      <c r="S209" s="17"/>
      <c r="T209" s="12"/>
      <c r="U209" s="2"/>
      <c r="V209" s="17"/>
      <c r="W209" s="12"/>
      <c r="X209" s="2"/>
      <c r="Y209" s="17"/>
    </row>
    <row r="210" spans="1:25" hidden="1" x14ac:dyDescent="0.25">
      <c r="A210" s="6">
        <v>1.4930000000000001</v>
      </c>
      <c r="B210" s="2">
        <v>2.1741144999999999</v>
      </c>
      <c r="C210" s="2">
        <v>0.95465789999999995</v>
      </c>
      <c r="D210" s="2">
        <v>0.86468319999999999</v>
      </c>
      <c r="E210" s="12"/>
      <c r="F210" s="2"/>
      <c r="G210" s="13"/>
      <c r="H210" s="18"/>
      <c r="I210" s="8"/>
      <c r="J210" s="17"/>
      <c r="K210" s="12"/>
      <c r="L210" s="2"/>
      <c r="M210" s="17"/>
      <c r="N210" s="12"/>
      <c r="O210" s="2"/>
      <c r="P210" s="17"/>
      <c r="Q210" s="12"/>
      <c r="R210" s="2"/>
      <c r="S210" s="17"/>
      <c r="T210" s="12"/>
      <c r="U210" s="2"/>
      <c r="V210" s="17"/>
      <c r="W210" s="12"/>
      <c r="X210" s="2"/>
      <c r="Y210" s="17"/>
    </row>
    <row r="211" spans="1:25" hidden="1" x14ac:dyDescent="0.25">
      <c r="A211" s="6">
        <v>1.504</v>
      </c>
      <c r="B211" s="2">
        <v>2.1550962999999999</v>
      </c>
      <c r="C211" s="2">
        <v>0.95775969999999999</v>
      </c>
      <c r="D211" s="2">
        <v>0.86933020000000005</v>
      </c>
      <c r="E211" s="12"/>
      <c r="F211" s="2"/>
      <c r="G211" s="13"/>
      <c r="H211" s="18"/>
      <c r="I211" s="8"/>
      <c r="J211" s="17"/>
      <c r="K211" s="12"/>
      <c r="L211" s="2"/>
      <c r="M211" s="17"/>
      <c r="N211" s="12"/>
      <c r="O211" s="2"/>
      <c r="P211" s="17"/>
      <c r="Q211" s="12"/>
      <c r="R211" s="2"/>
      <c r="S211" s="17"/>
      <c r="T211" s="12"/>
      <c r="U211" s="2"/>
      <c r="V211" s="17"/>
      <c r="W211" s="12"/>
      <c r="X211" s="2"/>
      <c r="Y211" s="17"/>
    </row>
    <row r="212" spans="1:25" hidden="1" x14ac:dyDescent="0.25">
      <c r="A212" s="6">
        <v>1.5149999999999999</v>
      </c>
      <c r="B212" s="2">
        <v>2.1625941000000002</v>
      </c>
      <c r="C212" s="2">
        <v>0.95887690000000003</v>
      </c>
      <c r="D212" s="2">
        <v>0.86799760000000004</v>
      </c>
      <c r="E212" s="12"/>
      <c r="F212" s="2"/>
      <c r="G212" s="13"/>
      <c r="H212" s="18"/>
      <c r="I212" s="8"/>
      <c r="J212" s="17"/>
      <c r="K212" s="12"/>
      <c r="L212" s="2"/>
      <c r="M212" s="17"/>
      <c r="N212" s="12"/>
      <c r="O212" s="2"/>
      <c r="P212" s="17"/>
      <c r="Q212" s="12"/>
      <c r="R212" s="2"/>
      <c r="S212" s="17"/>
      <c r="T212" s="12"/>
      <c r="U212" s="2"/>
      <c r="V212" s="17"/>
      <c r="W212" s="12"/>
      <c r="X212" s="2"/>
      <c r="Y212" s="17"/>
    </row>
    <row r="213" spans="1:25" hidden="1" x14ac:dyDescent="0.25">
      <c r="A213" s="6">
        <v>1.5269999999999999</v>
      </c>
      <c r="B213" s="2">
        <v>2.1667521000000001</v>
      </c>
      <c r="C213" s="2">
        <v>0.9616323</v>
      </c>
      <c r="D213" s="2">
        <v>0.86650380000000005</v>
      </c>
      <c r="E213" s="12"/>
      <c r="F213" s="2"/>
      <c r="G213" s="13"/>
      <c r="H213" s="18"/>
      <c r="I213" s="8"/>
      <c r="J213" s="17"/>
      <c r="K213" s="12"/>
      <c r="L213" s="2"/>
      <c r="M213" s="17"/>
      <c r="N213" s="12"/>
      <c r="O213" s="2"/>
      <c r="P213" s="17"/>
      <c r="Q213" s="12"/>
      <c r="R213" s="2"/>
      <c r="S213" s="17"/>
      <c r="T213" s="12"/>
      <c r="U213" s="2"/>
      <c r="V213" s="17"/>
      <c r="W213" s="12"/>
      <c r="X213" s="2"/>
      <c r="Y213" s="17"/>
    </row>
    <row r="214" spans="1:25" hidden="1" x14ac:dyDescent="0.25">
      <c r="A214" s="6">
        <v>1.538</v>
      </c>
      <c r="B214" s="2">
        <v>2.1552118999999998</v>
      </c>
      <c r="C214" s="2">
        <v>0.96406990000000004</v>
      </c>
      <c r="D214" s="2">
        <v>0.8689038</v>
      </c>
      <c r="E214" s="12"/>
      <c r="F214" s="2"/>
      <c r="G214" s="13"/>
      <c r="H214" s="18"/>
      <c r="I214" s="8"/>
      <c r="J214" s="17"/>
      <c r="K214" s="12"/>
      <c r="L214" s="2"/>
      <c r="M214" s="17"/>
      <c r="N214" s="12"/>
      <c r="O214" s="2"/>
      <c r="P214" s="17"/>
      <c r="Q214" s="12"/>
      <c r="R214" s="2"/>
      <c r="S214" s="17"/>
      <c r="T214" s="12"/>
      <c r="U214" s="2"/>
      <c r="V214" s="17"/>
      <c r="W214" s="12"/>
      <c r="X214" s="2"/>
      <c r="Y214" s="17"/>
    </row>
    <row r="215" spans="1:25" hidden="1" x14ac:dyDescent="0.25">
      <c r="A215" s="6">
        <v>1.5629999999999999</v>
      </c>
      <c r="B215" s="2">
        <v>2.1671689000000001</v>
      </c>
      <c r="C215" s="2">
        <v>0.96972939999999996</v>
      </c>
      <c r="D215" s="2">
        <v>0.86466140000000002</v>
      </c>
      <c r="E215" s="12"/>
      <c r="F215" s="2"/>
      <c r="G215" s="13"/>
      <c r="H215" s="18"/>
      <c r="I215" s="8"/>
      <c r="J215" s="17"/>
      <c r="K215" s="12"/>
      <c r="L215" s="2"/>
      <c r="M215" s="17"/>
      <c r="N215" s="12"/>
      <c r="O215" s="2"/>
      <c r="P215" s="17"/>
      <c r="Q215" s="12"/>
      <c r="R215" s="2"/>
      <c r="S215" s="17"/>
      <c r="T215" s="12"/>
      <c r="U215" s="2"/>
      <c r="V215" s="17"/>
      <c r="W215" s="12"/>
      <c r="X215" s="2"/>
      <c r="Y215" s="17"/>
    </row>
    <row r="216" spans="1:25" hidden="1" x14ac:dyDescent="0.25">
      <c r="A216" s="6">
        <v>1.587</v>
      </c>
      <c r="B216" s="2">
        <v>2.1684524999999999</v>
      </c>
      <c r="C216" s="2">
        <v>0.97589009999999998</v>
      </c>
      <c r="D216" s="2">
        <v>0.86345649999999996</v>
      </c>
      <c r="E216" s="12"/>
      <c r="F216" s="2"/>
      <c r="G216" s="13"/>
      <c r="H216" s="18"/>
      <c r="I216" s="8"/>
      <c r="J216" s="17"/>
      <c r="K216" s="12"/>
      <c r="L216" s="2"/>
      <c r="M216" s="17"/>
      <c r="N216" s="12"/>
      <c r="O216" s="2"/>
      <c r="P216" s="17"/>
      <c r="Q216" s="12"/>
      <c r="R216" s="2"/>
      <c r="S216" s="17"/>
      <c r="T216" s="12"/>
      <c r="U216" s="2"/>
      <c r="V216" s="17"/>
      <c r="W216" s="12"/>
      <c r="X216" s="2"/>
      <c r="Y216" s="17"/>
    </row>
    <row r="217" spans="1:25" hidden="1" x14ac:dyDescent="0.25">
      <c r="A217" s="6">
        <v>1.613</v>
      </c>
      <c r="B217" s="2">
        <v>2.165143</v>
      </c>
      <c r="C217" s="2">
        <v>0.97975749999999995</v>
      </c>
      <c r="D217" s="2">
        <v>0.86484649999999996</v>
      </c>
      <c r="E217" s="12"/>
      <c r="F217" s="2"/>
      <c r="G217" s="13"/>
      <c r="H217" s="18"/>
      <c r="I217" s="8"/>
      <c r="J217" s="17"/>
      <c r="K217" s="12"/>
      <c r="L217" s="2"/>
      <c r="M217" s="17"/>
      <c r="N217" s="12"/>
      <c r="O217" s="2"/>
      <c r="P217" s="17"/>
      <c r="Q217" s="12"/>
      <c r="R217" s="2"/>
      <c r="S217" s="17"/>
      <c r="T217" s="12"/>
      <c r="U217" s="2"/>
      <c r="V217" s="17"/>
      <c r="W217" s="12"/>
      <c r="X217" s="2"/>
      <c r="Y217" s="17"/>
    </row>
    <row r="218" spans="1:25" hidden="1" x14ac:dyDescent="0.25">
      <c r="A218" s="6">
        <v>1.65</v>
      </c>
      <c r="B218" s="2">
        <v>2.1762269000000001</v>
      </c>
      <c r="C218" s="2">
        <v>0.98227949999999997</v>
      </c>
      <c r="D218" s="2">
        <v>0.86062989999999995</v>
      </c>
      <c r="E218" s="12"/>
      <c r="F218" s="2"/>
      <c r="G218" s="13"/>
      <c r="H218" s="18"/>
      <c r="I218" s="8"/>
      <c r="J218" s="17"/>
      <c r="K218" s="12"/>
      <c r="L218" s="2"/>
      <c r="M218" s="17"/>
      <c r="N218" s="12"/>
      <c r="O218" s="2"/>
      <c r="P218" s="17"/>
      <c r="Q218" s="12"/>
      <c r="R218" s="2"/>
      <c r="S218" s="17"/>
      <c r="T218" s="12"/>
      <c r="U218" s="2"/>
      <c r="V218" s="17"/>
      <c r="W218" s="12"/>
      <c r="X218" s="2"/>
      <c r="Y218" s="17"/>
    </row>
    <row r="219" spans="1:25" hidden="1" x14ac:dyDescent="0.25">
      <c r="A219" s="6">
        <v>1.68</v>
      </c>
      <c r="B219" s="2">
        <v>2.1878747999999999</v>
      </c>
      <c r="C219" s="2">
        <v>0.98344160000000003</v>
      </c>
      <c r="D219" s="2">
        <v>0.8564602</v>
      </c>
      <c r="E219" s="12"/>
      <c r="F219" s="2"/>
      <c r="G219" s="13"/>
      <c r="H219" s="18"/>
      <c r="I219" s="8"/>
      <c r="J219" s="17"/>
      <c r="K219" s="12"/>
      <c r="L219" s="2"/>
      <c r="M219" s="17"/>
      <c r="N219" s="12"/>
      <c r="O219" s="2"/>
      <c r="P219" s="17"/>
      <c r="Q219" s="12"/>
      <c r="R219" s="2"/>
      <c r="S219" s="17"/>
      <c r="T219" s="12"/>
      <c r="U219" s="2"/>
      <c r="V219" s="17"/>
      <c r="W219" s="12"/>
      <c r="X219" s="2"/>
      <c r="Y219" s="17"/>
    </row>
    <row r="220" spans="1:25" hidden="1" x14ac:dyDescent="0.25">
      <c r="A220" s="6">
        <v>1.7</v>
      </c>
      <c r="B220" s="2">
        <v>2.1837374999999999</v>
      </c>
      <c r="C220" s="2">
        <v>0.98564180000000001</v>
      </c>
      <c r="D220" s="2">
        <v>0.85852969999999995</v>
      </c>
      <c r="E220" s="12"/>
      <c r="F220" s="2"/>
      <c r="G220" s="13"/>
      <c r="H220" s="18"/>
      <c r="I220" s="8"/>
      <c r="J220" s="17"/>
      <c r="K220" s="12"/>
      <c r="L220" s="2"/>
      <c r="M220" s="17"/>
      <c r="N220" s="12"/>
      <c r="O220" s="2"/>
      <c r="P220" s="17"/>
      <c r="Q220" s="12"/>
      <c r="R220" s="2"/>
      <c r="S220" s="17"/>
      <c r="T220" s="12"/>
      <c r="U220" s="2"/>
      <c r="V220" s="17"/>
      <c r="W220" s="12"/>
      <c r="X220" s="2"/>
      <c r="Y220" s="17"/>
    </row>
    <row r="221" spans="1:25" hidden="1" x14ac:dyDescent="0.25">
      <c r="A221" s="6">
        <v>1.73</v>
      </c>
      <c r="B221" s="2">
        <v>2.1838967999999999</v>
      </c>
      <c r="C221" s="2">
        <v>0.98752050000000002</v>
      </c>
      <c r="D221" s="2">
        <v>0.85815589999999997</v>
      </c>
      <c r="E221" s="12"/>
      <c r="F221" s="2"/>
      <c r="G221" s="13"/>
      <c r="H221" s="18"/>
      <c r="I221" s="8"/>
      <c r="J221" s="17"/>
      <c r="K221" s="12"/>
      <c r="L221" s="2"/>
      <c r="M221" s="17"/>
      <c r="N221" s="12"/>
      <c r="O221" s="2"/>
      <c r="P221" s="17"/>
      <c r="Q221" s="12"/>
      <c r="R221" s="2"/>
      <c r="S221" s="17"/>
      <c r="T221" s="12"/>
      <c r="U221" s="2"/>
      <c r="V221" s="17"/>
      <c r="W221" s="12"/>
      <c r="X221" s="2"/>
      <c r="Y221" s="17"/>
    </row>
    <row r="222" spans="1:25" hidden="1" x14ac:dyDescent="0.25">
      <c r="A222" s="6">
        <v>1.76</v>
      </c>
      <c r="B222" s="2">
        <v>2.1820971999999998</v>
      </c>
      <c r="C222" s="2">
        <v>0.9890584</v>
      </c>
      <c r="D222" s="2">
        <v>0.86063529999999999</v>
      </c>
      <c r="E222" s="12"/>
      <c r="F222" s="2"/>
      <c r="G222" s="13"/>
      <c r="H222" s="18"/>
      <c r="I222" s="8"/>
      <c r="J222" s="17"/>
      <c r="K222" s="12"/>
      <c r="L222" s="2"/>
      <c r="M222" s="17"/>
      <c r="N222" s="12"/>
      <c r="O222" s="2"/>
      <c r="P222" s="17"/>
      <c r="Q222" s="12"/>
      <c r="R222" s="2"/>
      <c r="S222" s="17"/>
      <c r="T222" s="12"/>
      <c r="U222" s="2"/>
      <c r="V222" s="17"/>
      <c r="W222" s="12"/>
      <c r="X222" s="2"/>
      <c r="Y222" s="17"/>
    </row>
    <row r="223" spans="1:25" hidden="1" x14ac:dyDescent="0.25">
      <c r="A223" s="6">
        <v>1.8</v>
      </c>
      <c r="B223" s="2">
        <v>2.2015142000000001</v>
      </c>
      <c r="C223" s="2">
        <v>0.98979640000000002</v>
      </c>
      <c r="D223" s="2">
        <v>0.85173350000000003</v>
      </c>
      <c r="E223" s="12"/>
      <c r="F223" s="2"/>
      <c r="G223" s="13"/>
      <c r="H223" s="18"/>
      <c r="I223" s="8"/>
      <c r="J223" s="17"/>
      <c r="K223" s="12"/>
      <c r="L223" s="2"/>
      <c r="M223" s="17"/>
      <c r="N223" s="12"/>
      <c r="O223" s="2"/>
      <c r="P223" s="17"/>
      <c r="Q223" s="12"/>
      <c r="R223" s="2"/>
      <c r="S223" s="17"/>
      <c r="T223" s="12"/>
      <c r="U223" s="2"/>
      <c r="V223" s="17"/>
      <c r="W223" s="12"/>
      <c r="X223" s="2"/>
      <c r="Y223" s="17"/>
    </row>
    <row r="224" spans="1:25" hidden="1" x14ac:dyDescent="0.25">
      <c r="A224" s="6">
        <v>1.83</v>
      </c>
      <c r="B224" s="2">
        <v>2.1977742</v>
      </c>
      <c r="C224" s="2">
        <v>0.99118269999999997</v>
      </c>
      <c r="D224" s="2">
        <v>0.86247589999999996</v>
      </c>
      <c r="E224" s="12"/>
      <c r="F224" s="2"/>
      <c r="G224" s="13"/>
      <c r="H224" s="18"/>
      <c r="I224" s="8"/>
      <c r="J224" s="17"/>
      <c r="K224" s="12"/>
      <c r="L224" s="2"/>
      <c r="M224" s="17"/>
      <c r="N224" s="12"/>
      <c r="O224" s="2"/>
      <c r="P224" s="17"/>
      <c r="Q224" s="12"/>
      <c r="R224" s="2"/>
      <c r="S224" s="17"/>
      <c r="T224" s="12"/>
      <c r="U224" s="2"/>
      <c r="V224" s="17"/>
      <c r="W224" s="12"/>
      <c r="X224" s="2"/>
      <c r="Y224" s="17"/>
    </row>
    <row r="225" spans="1:25" hidden="1" x14ac:dyDescent="0.25">
      <c r="A225" s="6">
        <v>1.84</v>
      </c>
      <c r="B225" s="2">
        <v>2.2099614000000001</v>
      </c>
      <c r="C225" s="2">
        <v>0.99065190000000003</v>
      </c>
      <c r="D225" s="2">
        <v>0.84788989999999997</v>
      </c>
      <c r="E225" s="12"/>
      <c r="F225" s="2"/>
      <c r="G225" s="13"/>
      <c r="H225" s="18"/>
      <c r="I225" s="8"/>
      <c r="J225" s="17"/>
      <c r="K225" s="12"/>
      <c r="L225" s="2"/>
      <c r="M225" s="17"/>
      <c r="N225" s="12"/>
      <c r="O225" s="2"/>
      <c r="P225" s="17"/>
      <c r="Q225" s="12"/>
      <c r="R225" s="2"/>
      <c r="S225" s="17"/>
      <c r="T225" s="12"/>
      <c r="U225" s="2"/>
      <c r="V225" s="17"/>
      <c r="W225" s="12"/>
      <c r="X225" s="2"/>
      <c r="Y225" s="17"/>
    </row>
    <row r="226" spans="1:25" hidden="1" x14ac:dyDescent="0.25">
      <c r="A226" s="6">
        <v>1.85</v>
      </c>
      <c r="B226" s="2">
        <v>2.1641979</v>
      </c>
      <c r="C226" s="2">
        <v>0.99076339999999996</v>
      </c>
      <c r="D226" s="2">
        <v>0.86210279999999995</v>
      </c>
      <c r="E226" s="12"/>
      <c r="F226" s="2"/>
      <c r="G226" s="13"/>
      <c r="H226" s="18"/>
      <c r="I226" s="8"/>
      <c r="J226" s="17"/>
      <c r="K226" s="12"/>
      <c r="L226" s="2"/>
      <c r="M226" s="17"/>
      <c r="N226" s="12"/>
      <c r="O226" s="2"/>
      <c r="P226" s="17"/>
      <c r="Q226" s="12"/>
      <c r="R226" s="2"/>
      <c r="S226" s="17"/>
      <c r="T226" s="12"/>
      <c r="U226" s="2"/>
      <c r="V226" s="17"/>
      <c r="W226" s="12"/>
      <c r="X226" s="2"/>
      <c r="Y226" s="17"/>
    </row>
    <row r="227" spans="1:25" hidden="1" x14ac:dyDescent="0.25">
      <c r="A227" s="6">
        <v>1.855</v>
      </c>
      <c r="B227" s="2">
        <v>2.1705117</v>
      </c>
      <c r="C227" s="2">
        <v>0.99051250000000002</v>
      </c>
      <c r="D227" s="2">
        <v>0.86438550000000003</v>
      </c>
      <c r="E227" s="12"/>
      <c r="F227" s="2"/>
      <c r="G227" s="13"/>
      <c r="H227" s="18"/>
      <c r="I227" s="8"/>
      <c r="J227" s="17"/>
      <c r="K227" s="12"/>
      <c r="L227" s="2"/>
      <c r="M227" s="17"/>
      <c r="N227" s="12"/>
      <c r="O227" s="2"/>
      <c r="P227" s="17"/>
      <c r="Q227" s="12"/>
      <c r="R227" s="2"/>
      <c r="S227" s="17"/>
      <c r="T227" s="12"/>
      <c r="U227" s="2"/>
      <c r="V227" s="17"/>
      <c r="W227" s="12"/>
      <c r="X227" s="2"/>
      <c r="Y227" s="17"/>
    </row>
    <row r="228" spans="1:25" hidden="1" x14ac:dyDescent="0.25">
      <c r="A228" s="6">
        <v>1.86</v>
      </c>
      <c r="B228" s="2">
        <v>2.1956850999999999</v>
      </c>
      <c r="C228" s="2">
        <v>0.98945950000000005</v>
      </c>
      <c r="D228" s="2">
        <v>0.85873169999999999</v>
      </c>
      <c r="E228" s="12"/>
      <c r="F228" s="2"/>
      <c r="G228" s="13"/>
      <c r="H228" s="18"/>
      <c r="I228" s="8"/>
      <c r="J228" s="17"/>
      <c r="K228" s="12"/>
      <c r="L228" s="2"/>
      <c r="M228" s="17"/>
      <c r="N228" s="12"/>
      <c r="O228" s="2"/>
      <c r="P228" s="17"/>
      <c r="Q228" s="12"/>
      <c r="R228" s="2"/>
      <c r="S228" s="17"/>
      <c r="T228" s="12"/>
      <c r="U228" s="2"/>
      <c r="V228" s="17"/>
      <c r="W228" s="12"/>
      <c r="X228" s="2"/>
      <c r="Y228" s="17"/>
    </row>
    <row r="229" spans="1:25" hidden="1" x14ac:dyDescent="0.25">
      <c r="A229" s="6">
        <v>1.87</v>
      </c>
      <c r="B229" s="2">
        <v>2.1975842000000001</v>
      </c>
      <c r="C229" s="2">
        <v>0.98865020000000003</v>
      </c>
      <c r="D229" s="2">
        <v>0.86034739999999998</v>
      </c>
      <c r="E229" s="12"/>
      <c r="F229" s="2"/>
      <c r="G229" s="13"/>
      <c r="H229" s="18"/>
      <c r="I229" s="8"/>
      <c r="J229" s="17"/>
      <c r="K229" s="12"/>
      <c r="L229" s="2"/>
      <c r="M229" s="17"/>
      <c r="N229" s="12"/>
      <c r="O229" s="2"/>
      <c r="P229" s="17"/>
      <c r="Q229" s="12"/>
      <c r="R229" s="2"/>
      <c r="S229" s="17"/>
      <c r="T229" s="12"/>
      <c r="U229" s="2"/>
      <c r="V229" s="17"/>
      <c r="W229" s="12"/>
      <c r="X229" s="2"/>
      <c r="Y229" s="17"/>
    </row>
    <row r="230" spans="1:25" hidden="1" x14ac:dyDescent="0.25">
      <c r="A230" s="6">
        <v>1.89</v>
      </c>
      <c r="B230" s="2">
        <v>2.2223830000000002</v>
      </c>
      <c r="C230" s="2">
        <v>0.97972440000000005</v>
      </c>
      <c r="D230" s="2">
        <v>0.84930760000000005</v>
      </c>
      <c r="E230" s="12"/>
      <c r="F230" s="2"/>
      <c r="G230" s="13"/>
      <c r="H230" s="18"/>
      <c r="I230" s="8"/>
      <c r="J230" s="17"/>
      <c r="K230" s="12"/>
      <c r="L230" s="2"/>
      <c r="M230" s="17"/>
      <c r="N230" s="12"/>
      <c r="O230" s="2"/>
      <c r="P230" s="17"/>
      <c r="Q230" s="12"/>
      <c r="R230" s="2"/>
      <c r="S230" s="17"/>
      <c r="T230" s="12"/>
      <c r="U230" s="2"/>
      <c r="V230" s="17"/>
      <c r="W230" s="12"/>
      <c r="X230" s="2"/>
      <c r="Y230" s="17"/>
    </row>
    <row r="231" spans="1:25" hidden="1" x14ac:dyDescent="0.25">
      <c r="A231" s="6">
        <v>1.905</v>
      </c>
      <c r="B231" s="2">
        <v>2.2027511999999998</v>
      </c>
      <c r="C231" s="2">
        <v>0.97290160000000003</v>
      </c>
      <c r="D231" s="2">
        <v>0.86227989999999999</v>
      </c>
      <c r="E231" s="12"/>
      <c r="F231" s="2"/>
      <c r="G231" s="13"/>
      <c r="H231" s="18"/>
      <c r="I231" s="8"/>
      <c r="J231" s="17"/>
      <c r="K231" s="12"/>
      <c r="L231" s="2"/>
      <c r="M231" s="17"/>
      <c r="N231" s="12"/>
      <c r="O231" s="2"/>
      <c r="P231" s="17"/>
      <c r="Q231" s="12"/>
      <c r="R231" s="2"/>
      <c r="S231" s="17"/>
      <c r="T231" s="12"/>
      <c r="U231" s="2"/>
      <c r="V231" s="17"/>
      <c r="W231" s="12"/>
      <c r="X231" s="2"/>
      <c r="Y231" s="17"/>
    </row>
    <row r="232" spans="1:25" hidden="1" x14ac:dyDescent="0.25">
      <c r="A232" s="6">
        <v>1.923</v>
      </c>
      <c r="B232" s="2">
        <v>2.1819715</v>
      </c>
      <c r="C232" s="2">
        <v>0.95631500000000003</v>
      </c>
      <c r="D232" s="2">
        <v>0.86922010000000005</v>
      </c>
      <c r="E232" s="12"/>
      <c r="F232" s="2"/>
      <c r="G232" s="13"/>
      <c r="H232" s="18"/>
      <c r="I232" s="8"/>
      <c r="J232" s="17"/>
      <c r="K232" s="12"/>
      <c r="L232" s="2"/>
      <c r="M232" s="17"/>
      <c r="N232" s="12"/>
      <c r="O232" s="2"/>
      <c r="P232" s="17"/>
      <c r="Q232" s="12"/>
      <c r="R232" s="2"/>
      <c r="S232" s="17"/>
      <c r="T232" s="12"/>
      <c r="U232" s="2"/>
      <c r="V232" s="17"/>
      <c r="W232" s="12"/>
      <c r="X232" s="2"/>
      <c r="Y232" s="17"/>
    </row>
    <row r="233" spans="1:25" hidden="1" x14ac:dyDescent="0.25">
      <c r="A233" s="6">
        <v>1.9419999999999999</v>
      </c>
      <c r="B233" s="2">
        <v>2.1968641</v>
      </c>
      <c r="C233" s="2">
        <v>0.93334589999999995</v>
      </c>
      <c r="D233" s="2">
        <v>0.87067969999999995</v>
      </c>
      <c r="E233" s="12"/>
      <c r="F233" s="2"/>
      <c r="G233" s="13"/>
      <c r="H233" s="18"/>
      <c r="I233" s="8"/>
      <c r="J233" s="17"/>
      <c r="K233" s="12"/>
      <c r="L233" s="2"/>
      <c r="M233" s="17"/>
      <c r="N233" s="12"/>
      <c r="O233" s="2"/>
      <c r="P233" s="17"/>
      <c r="Q233" s="12"/>
      <c r="R233" s="2"/>
      <c r="S233" s="17"/>
      <c r="T233" s="12"/>
      <c r="U233" s="2"/>
      <c r="V233" s="17"/>
      <c r="W233" s="12"/>
      <c r="X233" s="2"/>
      <c r="Y233" s="17"/>
    </row>
    <row r="234" spans="1:25" hidden="1" x14ac:dyDescent="0.25">
      <c r="A234" s="6">
        <v>1.9610000000000001</v>
      </c>
      <c r="B234" s="2">
        <v>2.1975117000000002</v>
      </c>
      <c r="C234" s="2">
        <v>0.91651119999999997</v>
      </c>
      <c r="D234" s="2">
        <v>0.87386850000000005</v>
      </c>
      <c r="E234" s="12"/>
      <c r="F234" s="2"/>
      <c r="G234" s="13"/>
      <c r="H234" s="18"/>
      <c r="I234" s="8"/>
      <c r="J234" s="17"/>
      <c r="K234" s="12"/>
      <c r="L234" s="2"/>
      <c r="M234" s="17"/>
      <c r="N234" s="12"/>
      <c r="O234" s="2"/>
      <c r="P234" s="17"/>
      <c r="Q234" s="12"/>
      <c r="R234" s="2"/>
      <c r="S234" s="17"/>
      <c r="T234" s="12"/>
      <c r="U234" s="2"/>
      <c r="V234" s="17"/>
      <c r="W234" s="12"/>
      <c r="X234" s="2"/>
      <c r="Y234" s="17"/>
    </row>
    <row r="235" spans="1:25" hidden="1" x14ac:dyDescent="0.25">
      <c r="A235" s="6">
        <v>1.98</v>
      </c>
      <c r="B235" s="2">
        <v>2.2006421</v>
      </c>
      <c r="C235" s="2">
        <v>0.90842369999999995</v>
      </c>
      <c r="D235" s="2">
        <v>0.8749017</v>
      </c>
      <c r="E235" s="12"/>
      <c r="F235" s="2"/>
      <c r="G235" s="13"/>
      <c r="H235" s="18"/>
      <c r="I235" s="8"/>
      <c r="J235" s="17"/>
      <c r="K235" s="12"/>
      <c r="L235" s="2"/>
      <c r="M235" s="17"/>
      <c r="N235" s="12"/>
      <c r="O235" s="2"/>
      <c r="P235" s="17"/>
      <c r="Q235" s="12"/>
      <c r="R235" s="2"/>
      <c r="S235" s="17"/>
      <c r="T235" s="12"/>
      <c r="U235" s="2"/>
      <c r="V235" s="17"/>
      <c r="W235" s="12"/>
      <c r="X235" s="2"/>
      <c r="Y235" s="17"/>
    </row>
    <row r="236" spans="1:25" hidden="1" x14ac:dyDescent="0.25">
      <c r="A236" s="6">
        <v>2</v>
      </c>
      <c r="B236" s="2">
        <v>2.2007232000000001</v>
      </c>
      <c r="C236" s="2">
        <v>0.90792229999999996</v>
      </c>
      <c r="D236" s="2">
        <v>0.8754343</v>
      </c>
      <c r="E236" s="12"/>
      <c r="F236" s="2"/>
      <c r="G236" s="13"/>
      <c r="H236" s="18"/>
      <c r="I236" s="8"/>
      <c r="J236" s="17"/>
      <c r="K236" s="12"/>
      <c r="L236" s="2"/>
      <c r="M236" s="17"/>
      <c r="N236" s="12"/>
      <c r="O236" s="2"/>
      <c r="P236" s="17"/>
      <c r="Q236" s="12"/>
      <c r="R236" s="2"/>
      <c r="S236" s="17"/>
      <c r="T236" s="12"/>
      <c r="U236" s="2"/>
      <c r="V236" s="17"/>
      <c r="W236" s="12"/>
      <c r="X236" s="2"/>
      <c r="Y236" s="17"/>
    </row>
    <row r="237" spans="1:25" hidden="1" x14ac:dyDescent="0.25">
      <c r="A237" s="6">
        <v>2.02</v>
      </c>
      <c r="B237" s="2">
        <v>2.1964001999999998</v>
      </c>
      <c r="C237" s="2">
        <v>0.91313029999999995</v>
      </c>
      <c r="D237" s="2">
        <v>0.87594289999999997</v>
      </c>
      <c r="E237" s="12"/>
      <c r="F237" s="2"/>
      <c r="G237" s="13"/>
      <c r="H237" s="18"/>
      <c r="I237" s="8"/>
      <c r="J237" s="17"/>
      <c r="K237" s="12"/>
      <c r="L237" s="2"/>
      <c r="M237" s="17"/>
      <c r="N237" s="12"/>
      <c r="O237" s="2"/>
      <c r="P237" s="17"/>
      <c r="Q237" s="12"/>
      <c r="R237" s="2"/>
      <c r="S237" s="17"/>
      <c r="T237" s="12"/>
      <c r="U237" s="2"/>
      <c r="V237" s="17"/>
      <c r="W237" s="12"/>
      <c r="X237" s="2"/>
      <c r="Y237" s="17"/>
    </row>
    <row r="238" spans="1:25" hidden="1" x14ac:dyDescent="0.25">
      <c r="A238" s="6">
        <v>2.0409999999999999</v>
      </c>
      <c r="B238" s="2">
        <v>2.1991953999999998</v>
      </c>
      <c r="C238" s="2">
        <v>0.91919700000000004</v>
      </c>
      <c r="D238" s="2">
        <v>0.87434909999999999</v>
      </c>
      <c r="E238" s="12"/>
      <c r="F238" s="2"/>
      <c r="G238" s="13"/>
      <c r="H238" s="18"/>
      <c r="I238" s="8"/>
      <c r="J238" s="17"/>
      <c r="K238" s="12"/>
      <c r="L238" s="2"/>
      <c r="M238" s="17"/>
      <c r="N238" s="12"/>
      <c r="O238" s="2"/>
      <c r="P238" s="17"/>
      <c r="Q238" s="12"/>
      <c r="R238" s="2"/>
      <c r="S238" s="17"/>
      <c r="T238" s="12"/>
      <c r="U238" s="2"/>
      <c r="V238" s="17"/>
      <c r="W238" s="12"/>
      <c r="X238" s="2"/>
      <c r="Y238" s="17"/>
    </row>
    <row r="239" spans="1:25" hidden="1" x14ac:dyDescent="0.25">
      <c r="A239" s="6">
        <v>2.0619999999999998</v>
      </c>
      <c r="B239" s="2">
        <v>2.2075244999999999</v>
      </c>
      <c r="C239" s="2">
        <v>0.92804779999999998</v>
      </c>
      <c r="D239" s="2">
        <v>0.87090480000000003</v>
      </c>
      <c r="E239" s="12"/>
      <c r="F239" s="2"/>
      <c r="G239" s="13"/>
      <c r="H239" s="18"/>
      <c r="I239" s="8"/>
      <c r="J239" s="17"/>
      <c r="K239" s="12"/>
      <c r="L239" s="2"/>
      <c r="M239" s="17"/>
      <c r="N239" s="12"/>
      <c r="O239" s="2"/>
      <c r="P239" s="17"/>
      <c r="Q239" s="12"/>
      <c r="R239" s="2"/>
      <c r="S239" s="17"/>
      <c r="T239" s="12"/>
      <c r="U239" s="2"/>
      <c r="V239" s="17"/>
      <c r="W239" s="12"/>
      <c r="X239" s="2"/>
      <c r="Y239" s="17"/>
    </row>
    <row r="240" spans="1:25" hidden="1" x14ac:dyDescent="0.25">
      <c r="A240" s="6">
        <v>2.0830000000000002</v>
      </c>
      <c r="B240" s="2">
        <v>2.2007492000000002</v>
      </c>
      <c r="C240" s="2">
        <v>0.9421543</v>
      </c>
      <c r="D240" s="2">
        <v>0.86994959999999999</v>
      </c>
      <c r="E240" s="12"/>
      <c r="F240" s="2"/>
      <c r="G240" s="13"/>
      <c r="H240" s="18"/>
      <c r="I240" s="8"/>
      <c r="J240" s="17"/>
      <c r="K240" s="12"/>
      <c r="L240" s="2"/>
      <c r="M240" s="17"/>
      <c r="N240" s="12"/>
      <c r="O240" s="2"/>
      <c r="P240" s="17"/>
      <c r="Q240" s="12"/>
      <c r="R240" s="2"/>
      <c r="S240" s="17"/>
      <c r="T240" s="12"/>
      <c r="U240" s="2"/>
      <c r="V240" s="17"/>
      <c r="W240" s="12"/>
      <c r="X240" s="2"/>
      <c r="Y240" s="17"/>
    </row>
    <row r="241" spans="1:25" hidden="1" x14ac:dyDescent="0.25">
      <c r="A241" s="6">
        <v>2.105</v>
      </c>
      <c r="B241" s="2">
        <v>2.2149228999999999</v>
      </c>
      <c r="C241" s="2">
        <v>0.95514180000000004</v>
      </c>
      <c r="D241" s="2">
        <v>0.86332830000000005</v>
      </c>
      <c r="E241" s="12"/>
      <c r="F241" s="2"/>
      <c r="G241" s="13"/>
      <c r="H241" s="18"/>
      <c r="I241" s="8"/>
      <c r="J241" s="17"/>
      <c r="K241" s="12"/>
      <c r="L241" s="2"/>
      <c r="M241" s="17"/>
      <c r="N241" s="12"/>
      <c r="O241" s="2"/>
      <c r="P241" s="17"/>
      <c r="Q241" s="12"/>
      <c r="R241" s="2"/>
      <c r="S241" s="17"/>
      <c r="T241" s="12"/>
      <c r="U241" s="2"/>
      <c r="V241" s="17"/>
      <c r="W241" s="12"/>
      <c r="X241" s="2"/>
      <c r="Y241" s="17"/>
    </row>
    <row r="242" spans="1:25" hidden="1" x14ac:dyDescent="0.25">
      <c r="A242" s="6">
        <v>2.13</v>
      </c>
      <c r="B242" s="2">
        <v>2.2330971000000002</v>
      </c>
      <c r="C242" s="2">
        <v>0.96721270000000004</v>
      </c>
      <c r="D242" s="2">
        <v>0.85597219999999996</v>
      </c>
      <c r="E242" s="12"/>
      <c r="F242" s="2"/>
      <c r="G242" s="13"/>
      <c r="H242" s="18"/>
      <c r="I242" s="8"/>
      <c r="J242" s="17"/>
      <c r="K242" s="12"/>
      <c r="L242" s="2"/>
      <c r="M242" s="17"/>
      <c r="N242" s="12"/>
      <c r="O242" s="2"/>
      <c r="P242" s="17"/>
      <c r="Q242" s="12"/>
      <c r="R242" s="2"/>
      <c r="S242" s="17"/>
      <c r="T242" s="12"/>
      <c r="U242" s="2"/>
      <c r="V242" s="17"/>
      <c r="W242" s="12"/>
      <c r="X242" s="2"/>
      <c r="Y242" s="17"/>
    </row>
    <row r="243" spans="1:25" hidden="1" x14ac:dyDescent="0.25">
      <c r="A243" s="6">
        <v>2.15</v>
      </c>
      <c r="B243" s="2">
        <v>2.2319024000000001</v>
      </c>
      <c r="C243" s="2">
        <v>0.97437859999999998</v>
      </c>
      <c r="D243" s="2">
        <v>0.85751250000000001</v>
      </c>
      <c r="E243" s="12"/>
      <c r="F243" s="2"/>
      <c r="G243" s="13"/>
      <c r="H243" s="18"/>
      <c r="I243" s="8"/>
      <c r="J243" s="17"/>
      <c r="K243" s="12"/>
      <c r="L243" s="2"/>
      <c r="M243" s="17"/>
      <c r="N243" s="12"/>
      <c r="O243" s="2"/>
      <c r="P243" s="17"/>
      <c r="Q243" s="12"/>
      <c r="R243" s="2"/>
      <c r="S243" s="17"/>
      <c r="T243" s="12"/>
      <c r="U243" s="2"/>
      <c r="V243" s="17"/>
      <c r="W243" s="12"/>
      <c r="X243" s="2"/>
      <c r="Y243" s="17"/>
    </row>
    <row r="244" spans="1:25" hidden="1" x14ac:dyDescent="0.25">
      <c r="A244" s="6">
        <v>2.17</v>
      </c>
      <c r="B244" s="2">
        <v>2.2092915</v>
      </c>
      <c r="C244" s="2">
        <v>0.98027949999999997</v>
      </c>
      <c r="D244" s="2">
        <v>0.86310370000000003</v>
      </c>
      <c r="E244" s="12"/>
      <c r="F244" s="2"/>
      <c r="G244" s="13"/>
      <c r="H244" s="18"/>
      <c r="I244" s="8"/>
      <c r="J244" s="17"/>
      <c r="K244" s="12"/>
      <c r="L244" s="2"/>
      <c r="M244" s="17"/>
      <c r="N244" s="12"/>
      <c r="O244" s="2"/>
      <c r="P244" s="17"/>
      <c r="Q244" s="12"/>
      <c r="R244" s="2"/>
      <c r="S244" s="17"/>
      <c r="T244" s="12"/>
      <c r="U244" s="2"/>
      <c r="V244" s="17"/>
      <c r="W244" s="12"/>
      <c r="X244" s="2"/>
      <c r="Y244" s="17"/>
    </row>
    <row r="245" spans="1:25" hidden="1" x14ac:dyDescent="0.25">
      <c r="A245" s="6">
        <v>2.19</v>
      </c>
      <c r="B245" s="2">
        <v>2.2097851999999998</v>
      </c>
      <c r="C245" s="2">
        <v>0.98405679999999995</v>
      </c>
      <c r="D245" s="2">
        <v>0.86160910000000002</v>
      </c>
      <c r="E245" s="12"/>
      <c r="F245" s="2"/>
      <c r="G245" s="13"/>
      <c r="H245" s="18"/>
      <c r="I245" s="8"/>
      <c r="J245" s="17"/>
      <c r="K245" s="12"/>
      <c r="L245" s="2"/>
      <c r="M245" s="17"/>
      <c r="N245" s="12"/>
      <c r="O245" s="2"/>
      <c r="P245" s="17"/>
      <c r="Q245" s="12"/>
      <c r="R245" s="2"/>
      <c r="S245" s="17"/>
      <c r="T245" s="12"/>
      <c r="U245" s="2"/>
      <c r="V245" s="17"/>
      <c r="W245" s="12"/>
      <c r="X245" s="2"/>
      <c r="Y245" s="17"/>
    </row>
    <row r="246" spans="1:25" hidden="1" x14ac:dyDescent="0.25">
      <c r="A246" s="6">
        <v>2.2200000000000002</v>
      </c>
      <c r="B246" s="2">
        <v>2.2190875999999999</v>
      </c>
      <c r="C246" s="2">
        <v>0.98726579999999997</v>
      </c>
      <c r="D246" s="2">
        <v>0.86044790000000004</v>
      </c>
      <c r="E246" s="12"/>
      <c r="F246" s="2"/>
      <c r="G246" s="13"/>
      <c r="H246" s="18"/>
      <c r="I246" s="8"/>
      <c r="J246" s="17"/>
      <c r="K246" s="12"/>
      <c r="L246" s="2"/>
      <c r="M246" s="17"/>
      <c r="N246" s="12"/>
      <c r="O246" s="2"/>
      <c r="P246" s="17"/>
      <c r="Q246" s="12"/>
      <c r="R246" s="2"/>
      <c r="S246" s="17"/>
      <c r="T246" s="12"/>
      <c r="U246" s="2"/>
      <c r="V246" s="17"/>
      <c r="W246" s="12"/>
      <c r="X246" s="2"/>
      <c r="Y246" s="17"/>
    </row>
    <row r="247" spans="1:25" hidden="1" x14ac:dyDescent="0.25">
      <c r="A247" s="6">
        <v>2.2400000000000002</v>
      </c>
      <c r="B247" s="2">
        <v>2.2318796999999999</v>
      </c>
      <c r="C247" s="2">
        <v>0.98792930000000001</v>
      </c>
      <c r="D247" s="2">
        <v>0.85593580000000002</v>
      </c>
      <c r="E247" s="12"/>
      <c r="F247" s="2"/>
      <c r="G247" s="13"/>
      <c r="H247" s="18"/>
      <c r="I247" s="8"/>
      <c r="J247" s="17"/>
      <c r="K247" s="12"/>
      <c r="L247" s="2"/>
      <c r="M247" s="17"/>
      <c r="N247" s="12"/>
      <c r="O247" s="2"/>
      <c r="P247" s="17"/>
      <c r="Q247" s="12"/>
      <c r="R247" s="2"/>
      <c r="S247" s="17"/>
      <c r="T247" s="12"/>
      <c r="U247" s="2"/>
      <c r="V247" s="17"/>
      <c r="W247" s="12"/>
      <c r="X247" s="2"/>
      <c r="Y247" s="17"/>
    </row>
    <row r="248" spans="1:25" hidden="1" x14ac:dyDescent="0.25">
      <c r="A248" s="6">
        <v>2.2450000000000001</v>
      </c>
      <c r="B248" s="2">
        <v>2.2207238999999999</v>
      </c>
      <c r="C248" s="2">
        <v>0.98860389999999998</v>
      </c>
      <c r="D248" s="2">
        <v>0.85884510000000003</v>
      </c>
      <c r="E248" s="12"/>
      <c r="F248" s="2"/>
      <c r="G248" s="13"/>
      <c r="H248" s="18"/>
      <c r="I248" s="8"/>
      <c r="J248" s="17"/>
      <c r="K248" s="12"/>
      <c r="L248" s="2"/>
      <c r="M248" s="17"/>
      <c r="N248" s="12"/>
      <c r="O248" s="2"/>
      <c r="P248" s="17"/>
      <c r="Q248" s="12"/>
      <c r="R248" s="2"/>
      <c r="S248" s="17"/>
      <c r="T248" s="12"/>
      <c r="U248" s="2"/>
      <c r="V248" s="17"/>
      <c r="W248" s="12"/>
      <c r="X248" s="2"/>
      <c r="Y248" s="17"/>
    </row>
    <row r="249" spans="1:25" hidden="1" x14ac:dyDescent="0.25">
      <c r="A249" s="6">
        <v>2.25</v>
      </c>
      <c r="B249" s="2">
        <v>2.2130773000000001</v>
      </c>
      <c r="C249" s="2">
        <v>0.98865829999999999</v>
      </c>
      <c r="D249" s="2">
        <v>0.86218110000000003</v>
      </c>
      <c r="E249" s="12"/>
      <c r="F249" s="2"/>
      <c r="G249" s="13"/>
      <c r="H249" s="18"/>
      <c r="I249" s="8"/>
      <c r="J249" s="17"/>
      <c r="K249" s="12"/>
      <c r="L249" s="2"/>
      <c r="M249" s="17"/>
      <c r="N249" s="12"/>
      <c r="O249" s="2"/>
      <c r="P249" s="17"/>
      <c r="Q249" s="12"/>
      <c r="R249" s="2"/>
      <c r="S249" s="17"/>
      <c r="T249" s="12"/>
      <c r="U249" s="2"/>
      <c r="V249" s="17"/>
      <c r="W249" s="12"/>
      <c r="X249" s="2"/>
      <c r="Y249" s="17"/>
    </row>
    <row r="250" spans="1:25" hidden="1" x14ac:dyDescent="0.25">
      <c r="A250" s="6">
        <v>2.2599999999999998</v>
      </c>
      <c r="B250" s="2">
        <v>2.2232555999999999</v>
      </c>
      <c r="C250" s="2">
        <v>0.98836539999999995</v>
      </c>
      <c r="D250" s="2">
        <v>0.85905010000000004</v>
      </c>
      <c r="E250" s="12"/>
      <c r="F250" s="2"/>
      <c r="G250" s="13"/>
      <c r="H250" s="18"/>
      <c r="I250" s="8"/>
      <c r="J250" s="17"/>
      <c r="K250" s="12"/>
      <c r="L250" s="2"/>
      <c r="M250" s="17"/>
      <c r="N250" s="12"/>
      <c r="O250" s="2"/>
      <c r="P250" s="17"/>
      <c r="Q250" s="12"/>
      <c r="R250" s="2"/>
      <c r="S250" s="17"/>
      <c r="T250" s="12"/>
      <c r="U250" s="2"/>
      <c r="V250" s="17"/>
      <c r="W250" s="12"/>
      <c r="X250" s="2"/>
      <c r="Y250" s="17"/>
    </row>
    <row r="251" spans="1:25" hidden="1" x14ac:dyDescent="0.25">
      <c r="A251" s="6">
        <v>2.27</v>
      </c>
      <c r="B251" s="2">
        <v>2.2251865999999998</v>
      </c>
      <c r="C251" s="2">
        <v>0.98745919999999998</v>
      </c>
      <c r="D251" s="2">
        <v>0.85878969999999999</v>
      </c>
      <c r="E251" s="12"/>
      <c r="F251" s="2"/>
      <c r="G251" s="13"/>
      <c r="H251" s="18"/>
      <c r="I251" s="8"/>
      <c r="J251" s="17"/>
      <c r="K251" s="12"/>
      <c r="L251" s="2"/>
      <c r="M251" s="17"/>
      <c r="N251" s="12"/>
      <c r="O251" s="2"/>
      <c r="P251" s="17"/>
      <c r="Q251" s="12"/>
      <c r="R251" s="2"/>
      <c r="S251" s="17"/>
      <c r="T251" s="12"/>
      <c r="U251" s="2"/>
      <c r="V251" s="17"/>
      <c r="W251" s="12"/>
      <c r="X251" s="2"/>
      <c r="Y251" s="17"/>
    </row>
    <row r="252" spans="1:25" hidden="1" x14ac:dyDescent="0.25">
      <c r="A252" s="6">
        <v>2.29</v>
      </c>
      <c r="B252" s="2">
        <v>2.2305039999999998</v>
      </c>
      <c r="C252" s="2">
        <v>0.985815</v>
      </c>
      <c r="D252" s="2">
        <v>0.85817469999999996</v>
      </c>
      <c r="E252" s="12"/>
      <c r="F252" s="2"/>
      <c r="G252" s="13"/>
      <c r="H252" s="18"/>
      <c r="I252" s="8"/>
      <c r="J252" s="17"/>
      <c r="K252" s="12"/>
      <c r="L252" s="2"/>
      <c r="M252" s="17"/>
      <c r="N252" s="12"/>
      <c r="O252" s="2"/>
      <c r="P252" s="17"/>
      <c r="Q252" s="12"/>
      <c r="R252" s="2"/>
      <c r="S252" s="17"/>
      <c r="T252" s="12"/>
      <c r="U252" s="2"/>
      <c r="V252" s="17"/>
      <c r="W252" s="12"/>
      <c r="X252" s="2"/>
      <c r="Y252" s="17"/>
    </row>
    <row r="253" spans="1:25" hidden="1" x14ac:dyDescent="0.25">
      <c r="A253" s="6">
        <v>2.31</v>
      </c>
      <c r="B253" s="2">
        <v>2.2304754</v>
      </c>
      <c r="C253" s="2">
        <v>0.98275659999999998</v>
      </c>
      <c r="D253" s="2">
        <v>0.85745439999999995</v>
      </c>
      <c r="E253" s="12"/>
      <c r="F253" s="2"/>
      <c r="G253" s="13"/>
      <c r="H253" s="18"/>
      <c r="I253" s="8"/>
      <c r="J253" s="17"/>
      <c r="K253" s="12"/>
      <c r="L253" s="2"/>
      <c r="M253" s="17"/>
      <c r="N253" s="12"/>
      <c r="O253" s="2"/>
      <c r="P253" s="17"/>
      <c r="Q253" s="12"/>
      <c r="R253" s="2"/>
      <c r="S253" s="17"/>
      <c r="T253" s="12"/>
      <c r="U253" s="2"/>
      <c r="V253" s="17"/>
      <c r="W253" s="12"/>
      <c r="X253" s="2"/>
      <c r="Y253" s="17"/>
    </row>
    <row r="254" spans="1:25" hidden="1" x14ac:dyDescent="0.25">
      <c r="A254" s="6">
        <v>2.33</v>
      </c>
      <c r="B254" s="2">
        <v>2.2203946000000001</v>
      </c>
      <c r="C254" s="2">
        <v>0.97909489999999999</v>
      </c>
      <c r="D254" s="2">
        <v>0.86259090000000005</v>
      </c>
      <c r="E254" s="12"/>
      <c r="F254" s="2"/>
      <c r="G254" s="13"/>
      <c r="H254" s="18"/>
      <c r="I254" s="8"/>
      <c r="J254" s="17"/>
      <c r="K254" s="12"/>
      <c r="L254" s="2"/>
      <c r="M254" s="17"/>
      <c r="N254" s="12"/>
      <c r="O254" s="2"/>
      <c r="P254" s="17"/>
      <c r="Q254" s="12"/>
      <c r="R254" s="2"/>
      <c r="S254" s="17"/>
      <c r="T254" s="12"/>
      <c r="U254" s="2"/>
      <c r="V254" s="17"/>
      <c r="W254" s="12"/>
      <c r="X254" s="2"/>
      <c r="Y254" s="17"/>
    </row>
    <row r="255" spans="1:25" hidden="1" x14ac:dyDescent="0.25">
      <c r="A255" s="6">
        <v>2.35</v>
      </c>
      <c r="B255" s="2">
        <v>2.2292999999999998</v>
      </c>
      <c r="C255" s="2">
        <v>0.97627759999999997</v>
      </c>
      <c r="D255" s="2">
        <v>0.86716740000000003</v>
      </c>
      <c r="E255" s="12"/>
      <c r="F255" s="2"/>
      <c r="G255" s="13"/>
      <c r="H255" s="18"/>
      <c r="I255" s="8"/>
      <c r="J255" s="17"/>
      <c r="K255" s="12"/>
      <c r="L255" s="2"/>
      <c r="M255" s="17"/>
      <c r="N255" s="12"/>
      <c r="O255" s="2"/>
      <c r="P255" s="17"/>
      <c r="Q255" s="12"/>
      <c r="R255" s="2"/>
      <c r="S255" s="17"/>
      <c r="T255" s="12"/>
      <c r="U255" s="2"/>
      <c r="V255" s="17"/>
      <c r="W255" s="12"/>
      <c r="X255" s="2"/>
      <c r="Y255" s="17"/>
    </row>
    <row r="256" spans="1:25" hidden="1" x14ac:dyDescent="0.25">
      <c r="A256" s="6">
        <v>2.37</v>
      </c>
      <c r="B256" s="2">
        <v>2.2515209</v>
      </c>
      <c r="C256" s="2">
        <v>0.97294320000000001</v>
      </c>
      <c r="D256" s="2">
        <v>0.85209599999999996</v>
      </c>
      <c r="E256" s="12"/>
      <c r="F256" s="2"/>
      <c r="G256" s="13"/>
      <c r="H256" s="18"/>
      <c r="I256" s="8"/>
      <c r="J256" s="17"/>
      <c r="K256" s="12"/>
      <c r="L256" s="2"/>
      <c r="M256" s="17"/>
      <c r="N256" s="12"/>
      <c r="O256" s="2"/>
      <c r="P256" s="17"/>
      <c r="Q256" s="12"/>
      <c r="R256" s="2"/>
      <c r="S256" s="17"/>
      <c r="T256" s="12"/>
      <c r="U256" s="2"/>
      <c r="V256" s="17"/>
      <c r="W256" s="12"/>
      <c r="X256" s="2"/>
      <c r="Y256" s="17"/>
    </row>
    <row r="257" spans="1:25" hidden="1" x14ac:dyDescent="0.25">
      <c r="A257" s="6">
        <v>2.39</v>
      </c>
      <c r="B257" s="2">
        <v>2.2222179999999998</v>
      </c>
      <c r="C257" s="2">
        <v>0.97070409999999996</v>
      </c>
      <c r="D257" s="2">
        <v>0.86066010000000004</v>
      </c>
      <c r="E257" s="12"/>
      <c r="F257" s="2"/>
      <c r="G257" s="13"/>
      <c r="H257" s="18"/>
      <c r="I257" s="8"/>
      <c r="J257" s="17"/>
      <c r="K257" s="12"/>
      <c r="L257" s="2"/>
      <c r="M257" s="17"/>
      <c r="N257" s="12"/>
      <c r="O257" s="2"/>
      <c r="P257" s="17"/>
      <c r="Q257" s="12"/>
      <c r="R257" s="2"/>
      <c r="S257" s="17"/>
      <c r="T257" s="12"/>
      <c r="U257" s="2"/>
      <c r="V257" s="17"/>
      <c r="W257" s="12"/>
      <c r="X257" s="2"/>
      <c r="Y257" s="17"/>
    </row>
    <row r="258" spans="1:25" hidden="1" x14ac:dyDescent="0.25">
      <c r="A258" s="6">
        <v>2.41</v>
      </c>
      <c r="B258" s="2">
        <v>2.2000082000000001</v>
      </c>
      <c r="C258" s="2">
        <v>0.97108969999999994</v>
      </c>
      <c r="D258" s="2">
        <v>0.87534029999999996</v>
      </c>
      <c r="E258" s="12"/>
      <c r="F258" s="2"/>
      <c r="G258" s="13"/>
      <c r="H258" s="18"/>
      <c r="I258" s="8"/>
      <c r="J258" s="17"/>
      <c r="K258" s="12"/>
      <c r="L258" s="2"/>
      <c r="M258" s="17"/>
      <c r="N258" s="12"/>
      <c r="O258" s="2"/>
      <c r="P258" s="17"/>
      <c r="Q258" s="12"/>
      <c r="R258" s="2"/>
      <c r="S258" s="17"/>
      <c r="T258" s="12"/>
      <c r="U258" s="2"/>
      <c r="V258" s="17"/>
      <c r="W258" s="12"/>
      <c r="X258" s="2"/>
      <c r="Y258" s="17"/>
    </row>
    <row r="259" spans="1:25" hidden="1" x14ac:dyDescent="0.25">
      <c r="A259" s="6">
        <v>2.4300000000000002</v>
      </c>
      <c r="B259" s="2">
        <v>2.258991</v>
      </c>
      <c r="C259" s="2">
        <v>0.96873330000000002</v>
      </c>
      <c r="D259" s="2">
        <v>0.85691649999999997</v>
      </c>
      <c r="E259" s="12"/>
      <c r="F259" s="2"/>
      <c r="G259" s="13"/>
      <c r="H259" s="18"/>
      <c r="I259" s="8"/>
      <c r="J259" s="17"/>
      <c r="K259" s="12"/>
      <c r="L259" s="2"/>
      <c r="M259" s="17"/>
      <c r="N259" s="12"/>
      <c r="O259" s="2"/>
      <c r="P259" s="17"/>
      <c r="Q259" s="12"/>
      <c r="R259" s="2"/>
      <c r="S259" s="17"/>
      <c r="T259" s="12"/>
      <c r="U259" s="2"/>
      <c r="V259" s="17"/>
      <c r="W259" s="12"/>
      <c r="X259" s="2"/>
      <c r="Y259" s="17"/>
    </row>
    <row r="260" spans="1:25" hidden="1" x14ac:dyDescent="0.25">
      <c r="A260" s="6">
        <v>2.46</v>
      </c>
      <c r="B260" s="2">
        <v>2.1988530000000002</v>
      </c>
      <c r="C260" s="2">
        <v>0.96769400000000005</v>
      </c>
      <c r="D260" s="2">
        <v>0.8703554</v>
      </c>
      <c r="E260" s="12"/>
      <c r="F260" s="2"/>
      <c r="G260" s="13"/>
      <c r="H260" s="18"/>
      <c r="I260" s="8"/>
      <c r="J260" s="17"/>
      <c r="K260" s="12"/>
      <c r="L260" s="2"/>
      <c r="M260" s="17"/>
      <c r="N260" s="12"/>
      <c r="O260" s="2"/>
      <c r="P260" s="17"/>
      <c r="Q260" s="12"/>
      <c r="R260" s="2"/>
      <c r="S260" s="17"/>
      <c r="T260" s="12"/>
      <c r="U260" s="2"/>
      <c r="V260" s="17"/>
      <c r="W260" s="12"/>
      <c r="X260" s="2"/>
      <c r="Y260" s="17"/>
    </row>
    <row r="261" spans="1:25" hidden="1" x14ac:dyDescent="0.25">
      <c r="A261" s="6">
        <v>2.5</v>
      </c>
      <c r="B261" s="2">
        <v>2.2495425</v>
      </c>
      <c r="C261" s="2">
        <v>0.96447919999999998</v>
      </c>
      <c r="D261" s="2">
        <v>0.86124350000000005</v>
      </c>
      <c r="E261" s="12"/>
      <c r="F261" s="2"/>
      <c r="G261" s="13"/>
      <c r="H261" s="18"/>
      <c r="I261" s="8"/>
      <c r="J261" s="17"/>
      <c r="K261" s="12"/>
      <c r="L261" s="2"/>
      <c r="M261" s="17"/>
      <c r="N261" s="12"/>
      <c r="O261" s="2"/>
      <c r="P261" s="17"/>
      <c r="Q261" s="12"/>
      <c r="R261" s="2"/>
      <c r="S261" s="17"/>
      <c r="T261" s="12"/>
      <c r="U261" s="2"/>
      <c r="V261" s="17"/>
      <c r="W261" s="12"/>
      <c r="X261" s="2"/>
      <c r="Y261" s="17"/>
    </row>
    <row r="262" spans="1:25" hidden="1" x14ac:dyDescent="0.25">
      <c r="A262" s="6">
        <v>2.52</v>
      </c>
      <c r="B262" s="2">
        <v>2.2383126999999998</v>
      </c>
      <c r="C262" s="2">
        <v>0.96437189999999995</v>
      </c>
      <c r="D262" s="2">
        <v>0.86523899999999998</v>
      </c>
      <c r="E262" s="12"/>
      <c r="F262" s="2"/>
      <c r="G262" s="13"/>
      <c r="H262" s="18"/>
      <c r="I262" s="8"/>
      <c r="J262" s="17"/>
      <c r="K262" s="12"/>
      <c r="L262" s="2"/>
      <c r="M262" s="17"/>
      <c r="N262" s="12"/>
      <c r="O262" s="2"/>
      <c r="P262" s="17"/>
      <c r="Q262" s="12"/>
      <c r="R262" s="2"/>
      <c r="S262" s="17"/>
      <c r="T262" s="12"/>
      <c r="U262" s="2"/>
      <c r="V262" s="17"/>
      <c r="W262" s="12"/>
      <c r="X262" s="2"/>
      <c r="Y262" s="17"/>
    </row>
    <row r="263" spans="1:25" hidden="1" x14ac:dyDescent="0.25">
      <c r="A263" s="6">
        <v>2.5499999999999998</v>
      </c>
      <c r="B263" s="2">
        <v>2.2530451</v>
      </c>
      <c r="C263" s="2">
        <v>0.96525179999999999</v>
      </c>
      <c r="D263" s="2">
        <v>0.86482479999999995</v>
      </c>
      <c r="E263" s="12"/>
      <c r="F263" s="2"/>
      <c r="G263" s="13"/>
      <c r="H263" s="18"/>
      <c r="I263" s="8"/>
      <c r="J263" s="17"/>
      <c r="K263" s="12"/>
      <c r="L263" s="2"/>
      <c r="M263" s="17"/>
      <c r="N263" s="12"/>
      <c r="O263" s="2"/>
      <c r="P263" s="17"/>
      <c r="Q263" s="12"/>
      <c r="R263" s="2"/>
      <c r="S263" s="17"/>
      <c r="T263" s="12"/>
      <c r="U263" s="2"/>
      <c r="V263" s="17"/>
      <c r="W263" s="12"/>
      <c r="X263" s="2"/>
      <c r="Y263" s="17"/>
    </row>
    <row r="264" spans="1:25" hidden="1" x14ac:dyDescent="0.25">
      <c r="A264" s="6">
        <v>2.5649999999999999</v>
      </c>
      <c r="B264" s="2">
        <v>2.2561767000000001</v>
      </c>
      <c r="C264" s="2">
        <v>0.96642510000000004</v>
      </c>
      <c r="D264" s="2">
        <v>0.86615249999999999</v>
      </c>
      <c r="E264" s="12"/>
      <c r="F264" s="2"/>
      <c r="G264" s="13"/>
      <c r="H264" s="18"/>
      <c r="I264" s="8"/>
      <c r="J264" s="17"/>
      <c r="K264" s="12"/>
      <c r="L264" s="2"/>
      <c r="M264" s="17"/>
      <c r="N264" s="12"/>
      <c r="O264" s="2"/>
      <c r="P264" s="17"/>
      <c r="Q264" s="12"/>
      <c r="R264" s="2"/>
      <c r="S264" s="17"/>
      <c r="T264" s="12"/>
      <c r="U264" s="2"/>
      <c r="V264" s="17"/>
      <c r="W264" s="12"/>
      <c r="X264" s="2"/>
      <c r="Y264" s="17"/>
    </row>
    <row r="265" spans="1:25" hidden="1" x14ac:dyDescent="0.25">
      <c r="A265" s="6">
        <v>2.58</v>
      </c>
      <c r="B265" s="2">
        <v>2.2624545</v>
      </c>
      <c r="C265" s="2">
        <v>0.96720450000000002</v>
      </c>
      <c r="D265" s="2">
        <v>0.86730620000000003</v>
      </c>
      <c r="E265" s="12"/>
      <c r="F265" s="2"/>
      <c r="G265" s="13"/>
      <c r="H265" s="18"/>
      <c r="I265" s="8"/>
      <c r="J265" s="17"/>
      <c r="K265" s="12"/>
      <c r="L265" s="2"/>
      <c r="M265" s="17"/>
      <c r="N265" s="12"/>
      <c r="O265" s="2"/>
      <c r="P265" s="17"/>
      <c r="Q265" s="12"/>
      <c r="R265" s="2"/>
      <c r="S265" s="17"/>
      <c r="T265" s="12"/>
      <c r="U265" s="2"/>
      <c r="V265" s="17"/>
      <c r="W265" s="12"/>
      <c r="X265" s="2"/>
      <c r="Y265" s="17"/>
    </row>
    <row r="266" spans="1:25" hidden="1" x14ac:dyDescent="0.25">
      <c r="A266" s="6">
        <v>2.59</v>
      </c>
      <c r="B266" s="2">
        <v>2.2668054</v>
      </c>
      <c r="C266" s="2">
        <v>0.96731089999999997</v>
      </c>
      <c r="D266" s="2">
        <v>0.86818059999999997</v>
      </c>
      <c r="E266" s="12"/>
      <c r="F266" s="2"/>
      <c r="G266" s="13"/>
      <c r="H266" s="18"/>
      <c r="I266" s="8"/>
      <c r="J266" s="17"/>
      <c r="K266" s="12"/>
      <c r="L266" s="2"/>
      <c r="M266" s="17"/>
      <c r="N266" s="12"/>
      <c r="O266" s="2"/>
      <c r="P266" s="17"/>
      <c r="Q266" s="12"/>
      <c r="R266" s="2"/>
      <c r="S266" s="17"/>
      <c r="T266" s="12"/>
      <c r="U266" s="2"/>
      <c r="V266" s="17"/>
      <c r="W266" s="12"/>
      <c r="X266" s="2"/>
      <c r="Y266" s="17"/>
    </row>
    <row r="267" spans="1:25" hidden="1" x14ac:dyDescent="0.25">
      <c r="A267" s="6">
        <v>2.6</v>
      </c>
      <c r="B267" s="2">
        <v>2.2704935000000002</v>
      </c>
      <c r="C267" s="2">
        <v>0.96717569999999997</v>
      </c>
      <c r="D267" s="2">
        <v>0.86941820000000003</v>
      </c>
      <c r="E267" s="12"/>
      <c r="F267" s="2"/>
      <c r="G267" s="13"/>
      <c r="H267" s="18"/>
      <c r="I267" s="8"/>
      <c r="J267" s="17"/>
      <c r="K267" s="12"/>
      <c r="L267" s="2"/>
      <c r="M267" s="17"/>
      <c r="N267" s="12"/>
      <c r="O267" s="2"/>
      <c r="P267" s="17"/>
      <c r="Q267" s="12"/>
      <c r="R267" s="2"/>
      <c r="S267" s="17"/>
      <c r="T267" s="12"/>
      <c r="U267" s="2"/>
      <c r="V267" s="17"/>
      <c r="W267" s="12"/>
      <c r="X267" s="2"/>
      <c r="Y267" s="17"/>
    </row>
    <row r="268" spans="1:25" hidden="1" x14ac:dyDescent="0.25">
      <c r="A268" s="6">
        <v>2.62</v>
      </c>
      <c r="B268" s="2">
        <v>2.2761404999999999</v>
      </c>
      <c r="C268" s="2">
        <v>0.96566220000000003</v>
      </c>
      <c r="D268" s="2">
        <v>0.87256149999999999</v>
      </c>
      <c r="E268" s="12"/>
      <c r="F268" s="2"/>
      <c r="G268" s="13"/>
      <c r="H268" s="18"/>
      <c r="I268" s="8"/>
      <c r="J268" s="17"/>
      <c r="K268" s="12"/>
      <c r="L268" s="2"/>
      <c r="M268" s="17"/>
      <c r="N268" s="12"/>
      <c r="O268" s="2"/>
      <c r="P268" s="17"/>
      <c r="Q268" s="12"/>
      <c r="R268" s="2"/>
      <c r="S268" s="17"/>
      <c r="T268" s="12"/>
      <c r="U268" s="2"/>
      <c r="V268" s="17"/>
      <c r="W268" s="12"/>
      <c r="X268" s="2"/>
      <c r="Y268" s="17"/>
    </row>
    <row r="269" spans="1:25" hidden="1" x14ac:dyDescent="0.25">
      <c r="A269" s="6">
        <v>2.6749999999999998</v>
      </c>
      <c r="B269" s="2">
        <v>2.2565466999999999</v>
      </c>
      <c r="C269" s="2">
        <v>0.94565500000000002</v>
      </c>
      <c r="D269" s="2">
        <v>0.88768100000000005</v>
      </c>
      <c r="E269" s="12"/>
      <c r="F269" s="2"/>
      <c r="G269" s="13"/>
      <c r="H269" s="18"/>
      <c r="I269" s="8"/>
      <c r="J269" s="17"/>
      <c r="K269" s="12"/>
      <c r="L269" s="2"/>
      <c r="M269" s="17"/>
      <c r="N269" s="12"/>
      <c r="O269" s="2"/>
      <c r="P269" s="17"/>
      <c r="Q269" s="12"/>
      <c r="R269" s="2"/>
      <c r="S269" s="17"/>
      <c r="T269" s="12"/>
      <c r="U269" s="2"/>
      <c r="V269" s="17"/>
      <c r="W269" s="12"/>
      <c r="X269" s="2"/>
      <c r="Y269" s="17"/>
    </row>
    <row r="270" spans="1:25" hidden="1" x14ac:dyDescent="0.25">
      <c r="A270" s="6">
        <v>2.7250000000000001</v>
      </c>
      <c r="B270" s="2">
        <v>2.1913013000000001</v>
      </c>
      <c r="C270" s="2">
        <v>0.87631060000000005</v>
      </c>
      <c r="D270" s="2">
        <v>0.91595579999999999</v>
      </c>
      <c r="E270" s="12"/>
      <c r="F270" s="2"/>
      <c r="G270" s="13"/>
      <c r="H270" s="18"/>
      <c r="I270" s="8"/>
      <c r="J270" s="17"/>
      <c r="K270" s="12"/>
      <c r="L270" s="2"/>
      <c r="M270" s="17"/>
      <c r="N270" s="12"/>
      <c r="O270" s="2"/>
      <c r="P270" s="17"/>
      <c r="Q270" s="12"/>
      <c r="R270" s="2"/>
      <c r="S270" s="17"/>
      <c r="T270" s="12"/>
      <c r="U270" s="2"/>
      <c r="V270" s="17"/>
      <c r="W270" s="12"/>
      <c r="X270" s="2"/>
      <c r="Y270" s="17"/>
    </row>
    <row r="271" spans="1:25" hidden="1" x14ac:dyDescent="0.25">
      <c r="A271" s="6">
        <v>2.778</v>
      </c>
      <c r="B271" s="2">
        <v>2.5381870000000002</v>
      </c>
      <c r="C271" s="2">
        <v>0.73441869999999998</v>
      </c>
      <c r="D271" s="2">
        <v>0.97095710000000002</v>
      </c>
      <c r="E271" s="12"/>
      <c r="F271" s="2"/>
      <c r="G271" s="13"/>
      <c r="H271" s="18"/>
      <c r="I271" s="8"/>
      <c r="J271" s="17"/>
      <c r="K271" s="12"/>
      <c r="L271" s="2"/>
      <c r="M271" s="17"/>
      <c r="N271" s="12"/>
      <c r="O271" s="2"/>
      <c r="P271" s="17"/>
      <c r="Q271" s="12"/>
      <c r="R271" s="2"/>
      <c r="S271" s="17"/>
      <c r="T271" s="12"/>
      <c r="U271" s="2"/>
      <c r="V271" s="17"/>
      <c r="W271" s="12"/>
      <c r="X271" s="2"/>
      <c r="Y271" s="17"/>
    </row>
    <row r="272" spans="1:25" hidden="1" x14ac:dyDescent="0.25">
      <c r="A272" s="6">
        <v>2.8170000000000002</v>
      </c>
      <c r="B272" s="2">
        <v>2.2014274999999999</v>
      </c>
      <c r="C272" s="2">
        <v>0.58215209999999995</v>
      </c>
      <c r="D272" s="2">
        <v>0.98864920000000001</v>
      </c>
      <c r="E272" s="12"/>
      <c r="F272" s="2"/>
      <c r="G272" s="13"/>
      <c r="H272" s="18"/>
      <c r="I272" s="8"/>
      <c r="J272" s="17"/>
      <c r="K272" s="12"/>
      <c r="L272" s="2"/>
      <c r="M272" s="17"/>
      <c r="N272" s="12"/>
      <c r="O272" s="2"/>
      <c r="P272" s="17"/>
      <c r="Q272" s="12"/>
      <c r="R272" s="2"/>
      <c r="S272" s="17"/>
      <c r="T272" s="12"/>
      <c r="U272" s="2"/>
      <c r="V272" s="17"/>
      <c r="W272" s="12"/>
      <c r="X272" s="2"/>
      <c r="Y272" s="17"/>
    </row>
    <row r="273" spans="1:25" hidden="1" x14ac:dyDescent="0.25">
      <c r="A273" s="6">
        <v>2.8330000000000002</v>
      </c>
      <c r="B273" s="2">
        <v>1.8753952</v>
      </c>
      <c r="C273" s="2">
        <v>0.483371</v>
      </c>
      <c r="D273" s="2">
        <v>0.99013289999999998</v>
      </c>
      <c r="E273" s="12"/>
      <c r="F273" s="2"/>
      <c r="G273" s="13"/>
      <c r="H273" s="18"/>
      <c r="I273" s="8"/>
      <c r="J273" s="17"/>
      <c r="K273" s="12"/>
      <c r="L273" s="2"/>
      <c r="M273" s="17"/>
      <c r="N273" s="12"/>
      <c r="O273" s="2"/>
      <c r="P273" s="17"/>
      <c r="Q273" s="12"/>
      <c r="R273" s="2"/>
      <c r="S273" s="17"/>
      <c r="T273" s="12"/>
      <c r="U273" s="2"/>
      <c r="V273" s="17"/>
      <c r="W273" s="12"/>
      <c r="X273" s="2"/>
      <c r="Y273" s="17"/>
    </row>
    <row r="274" spans="1:25" hidden="1" x14ac:dyDescent="0.25">
      <c r="A274" s="6">
        <v>2.8490000000000002</v>
      </c>
      <c r="B274" s="2">
        <v>1.7469775999999999</v>
      </c>
      <c r="C274" s="2">
        <v>0.4333456</v>
      </c>
      <c r="D274" s="2">
        <v>0.98956949999999999</v>
      </c>
      <c r="E274" s="12"/>
      <c r="F274" s="2"/>
      <c r="G274" s="13"/>
      <c r="H274" s="18"/>
      <c r="I274" s="8"/>
      <c r="J274" s="17"/>
      <c r="K274" s="12"/>
      <c r="L274" s="2"/>
      <c r="M274" s="17"/>
      <c r="N274" s="12"/>
      <c r="O274" s="2"/>
      <c r="P274" s="17"/>
      <c r="Q274" s="12"/>
      <c r="R274" s="2"/>
      <c r="S274" s="17"/>
      <c r="T274" s="12"/>
      <c r="U274" s="2"/>
      <c r="V274" s="17"/>
      <c r="W274" s="12"/>
      <c r="X274" s="2"/>
      <c r="Y274" s="17"/>
    </row>
    <row r="275" spans="1:25" hidden="1" x14ac:dyDescent="0.25">
      <c r="A275" s="6">
        <v>2.8650000000000002</v>
      </c>
      <c r="B275" s="2">
        <v>1.7982119000000001</v>
      </c>
      <c r="C275" s="2">
        <v>0.44694610000000001</v>
      </c>
      <c r="D275" s="2">
        <v>0.98694309999999996</v>
      </c>
      <c r="E275" s="12"/>
      <c r="F275" s="2"/>
      <c r="G275" s="13"/>
      <c r="H275" s="18"/>
      <c r="I275" s="8"/>
      <c r="J275" s="17"/>
      <c r="K275" s="12"/>
      <c r="L275" s="2"/>
      <c r="M275" s="17"/>
      <c r="N275" s="12"/>
      <c r="O275" s="2"/>
      <c r="P275" s="17"/>
      <c r="Q275" s="12"/>
      <c r="R275" s="2"/>
      <c r="S275" s="17"/>
      <c r="T275" s="12"/>
      <c r="U275" s="2"/>
      <c r="V275" s="17"/>
      <c r="W275" s="12"/>
      <c r="X275" s="2"/>
      <c r="Y275" s="17"/>
    </row>
    <row r="276" spans="1:25" hidden="1" x14ac:dyDescent="0.25">
      <c r="A276" s="6">
        <v>2.8820000000000001</v>
      </c>
      <c r="B276" s="2">
        <v>1.9078405000000001</v>
      </c>
      <c r="C276" s="2">
        <v>0.4799137</v>
      </c>
      <c r="D276" s="2">
        <v>0.98116740000000002</v>
      </c>
      <c r="E276" s="12"/>
      <c r="F276" s="2"/>
      <c r="G276" s="13"/>
      <c r="H276" s="18"/>
      <c r="I276" s="8"/>
      <c r="J276" s="17"/>
      <c r="K276" s="12"/>
      <c r="L276" s="2"/>
      <c r="M276" s="17"/>
      <c r="N276" s="12"/>
      <c r="O276" s="2"/>
      <c r="P276" s="17"/>
      <c r="Q276" s="12"/>
      <c r="R276" s="2"/>
      <c r="S276" s="17"/>
      <c r="T276" s="12"/>
      <c r="U276" s="2"/>
      <c r="V276" s="17"/>
      <c r="W276" s="12"/>
      <c r="X276" s="2"/>
      <c r="Y276" s="17"/>
    </row>
    <row r="277" spans="1:25" hidden="1" x14ac:dyDescent="0.25">
      <c r="A277" s="6">
        <v>2.899</v>
      </c>
      <c r="B277" s="2">
        <v>1.9901519000000001</v>
      </c>
      <c r="C277" s="2">
        <v>0.50205449999999996</v>
      </c>
      <c r="D277" s="2">
        <v>0.97252079999999996</v>
      </c>
      <c r="E277" s="12"/>
      <c r="F277" s="2"/>
      <c r="G277" s="13"/>
      <c r="H277" s="18"/>
      <c r="I277" s="8"/>
      <c r="J277" s="17"/>
      <c r="K277" s="12"/>
      <c r="L277" s="2"/>
      <c r="M277" s="17"/>
      <c r="N277" s="12"/>
      <c r="O277" s="2"/>
      <c r="P277" s="17"/>
      <c r="Q277" s="12"/>
      <c r="R277" s="2"/>
      <c r="S277" s="17"/>
      <c r="T277" s="12"/>
      <c r="U277" s="2"/>
      <c r="V277" s="17"/>
      <c r="W277" s="12"/>
      <c r="X277" s="2"/>
      <c r="Y277" s="17"/>
    </row>
    <row r="278" spans="1:25" hidden="1" x14ac:dyDescent="0.25">
      <c r="A278" s="6">
        <v>2.915</v>
      </c>
      <c r="B278" s="2">
        <v>2.0396122999999999</v>
      </c>
      <c r="C278" s="2">
        <v>0.51303149999999997</v>
      </c>
      <c r="D278" s="2">
        <v>0.96437859999999997</v>
      </c>
      <c r="E278" s="12"/>
      <c r="F278" s="2"/>
      <c r="G278" s="13"/>
      <c r="H278" s="18"/>
      <c r="I278" s="8"/>
      <c r="J278" s="17"/>
      <c r="K278" s="12"/>
      <c r="L278" s="2"/>
      <c r="M278" s="17"/>
      <c r="N278" s="12"/>
      <c r="O278" s="2"/>
      <c r="P278" s="17"/>
      <c r="Q278" s="12"/>
      <c r="R278" s="2"/>
      <c r="S278" s="17"/>
      <c r="T278" s="12"/>
      <c r="U278" s="2"/>
      <c r="V278" s="17"/>
      <c r="W278" s="12"/>
      <c r="X278" s="2"/>
      <c r="Y278" s="17"/>
    </row>
    <row r="279" spans="1:25" hidden="1" x14ac:dyDescent="0.25">
      <c r="A279" s="6">
        <v>2.9329999999999998</v>
      </c>
      <c r="B279" s="2">
        <v>2.0778026999999999</v>
      </c>
      <c r="C279" s="2">
        <v>0.51952520000000002</v>
      </c>
      <c r="D279" s="2">
        <v>0.95685549999999997</v>
      </c>
      <c r="E279" s="12"/>
      <c r="F279" s="2"/>
      <c r="G279" s="13"/>
      <c r="H279" s="18"/>
      <c r="I279" s="8"/>
      <c r="J279" s="17"/>
      <c r="K279" s="12"/>
      <c r="L279" s="2"/>
      <c r="M279" s="17"/>
      <c r="N279" s="12"/>
      <c r="O279" s="2"/>
      <c r="P279" s="17"/>
      <c r="Q279" s="12"/>
      <c r="R279" s="2"/>
      <c r="S279" s="17"/>
      <c r="T279" s="12"/>
      <c r="U279" s="2"/>
      <c r="V279" s="17"/>
      <c r="W279" s="12"/>
      <c r="X279" s="2"/>
      <c r="Y279" s="17"/>
    </row>
    <row r="280" spans="1:25" hidden="1" x14ac:dyDescent="0.25">
      <c r="A280" s="6">
        <v>2.95</v>
      </c>
      <c r="B280" s="2">
        <v>2.0995178000000001</v>
      </c>
      <c r="C280" s="2">
        <v>0.52217899999999995</v>
      </c>
      <c r="D280" s="2">
        <v>0.95238339999999999</v>
      </c>
      <c r="E280" s="12"/>
      <c r="F280" s="2"/>
      <c r="G280" s="13"/>
      <c r="H280" s="18"/>
      <c r="I280" s="8"/>
      <c r="J280" s="17"/>
      <c r="K280" s="12"/>
      <c r="L280" s="2"/>
      <c r="M280" s="17"/>
      <c r="N280" s="12"/>
      <c r="O280" s="2"/>
      <c r="P280" s="17"/>
      <c r="Q280" s="12"/>
      <c r="R280" s="2"/>
      <c r="S280" s="17"/>
      <c r="T280" s="12"/>
      <c r="U280" s="2"/>
      <c r="V280" s="17"/>
      <c r="W280" s="12"/>
      <c r="X280" s="2"/>
      <c r="Y280" s="17"/>
    </row>
    <row r="281" spans="1:25" hidden="1" x14ac:dyDescent="0.25">
      <c r="A281" s="6">
        <v>2.9670000000000001</v>
      </c>
      <c r="B281" s="2">
        <v>2.1168759000000001</v>
      </c>
      <c r="C281" s="2">
        <v>0.52573320000000001</v>
      </c>
      <c r="D281" s="2">
        <v>0.94742510000000002</v>
      </c>
      <c r="E281" s="12"/>
      <c r="F281" s="2"/>
      <c r="G281" s="13"/>
      <c r="H281" s="18"/>
      <c r="I281" s="8"/>
      <c r="J281" s="17"/>
      <c r="K281" s="12"/>
      <c r="L281" s="2"/>
      <c r="M281" s="17"/>
      <c r="N281" s="12"/>
      <c r="O281" s="2"/>
      <c r="P281" s="17"/>
      <c r="Q281" s="12"/>
      <c r="R281" s="2"/>
      <c r="S281" s="17"/>
      <c r="T281" s="12"/>
      <c r="U281" s="2"/>
      <c r="V281" s="17"/>
      <c r="W281" s="12"/>
      <c r="X281" s="2"/>
      <c r="Y281" s="17"/>
    </row>
    <row r="282" spans="1:25" hidden="1" x14ac:dyDescent="0.25">
      <c r="A282" s="6">
        <v>2.9849999999999999</v>
      </c>
      <c r="B282" s="2">
        <v>2.1337214000000002</v>
      </c>
      <c r="C282" s="2">
        <v>0.53034829999999999</v>
      </c>
      <c r="D282" s="2">
        <v>0.94120269999999995</v>
      </c>
      <c r="E282" s="12"/>
      <c r="F282" s="2"/>
      <c r="G282" s="13"/>
      <c r="H282" s="18"/>
      <c r="I282" s="8"/>
      <c r="J282" s="17"/>
      <c r="K282" s="12"/>
      <c r="L282" s="2"/>
      <c r="M282" s="17"/>
      <c r="N282" s="12"/>
      <c r="O282" s="2"/>
      <c r="P282" s="17"/>
      <c r="Q282" s="12"/>
      <c r="R282" s="2"/>
      <c r="S282" s="17"/>
      <c r="T282" s="12"/>
      <c r="U282" s="2"/>
      <c r="V282" s="17"/>
      <c r="W282" s="12"/>
      <c r="X282" s="2"/>
      <c r="Y282" s="17"/>
    </row>
    <row r="283" spans="1:25" hidden="1" x14ac:dyDescent="0.25">
      <c r="A283" s="6">
        <v>3.0030000000000001</v>
      </c>
      <c r="B283" s="2">
        <v>2.1514167999999998</v>
      </c>
      <c r="C283" s="2">
        <v>0.53577229999999998</v>
      </c>
      <c r="D283" s="2">
        <v>0.93348790000000004</v>
      </c>
      <c r="E283" s="12"/>
      <c r="F283" s="2"/>
      <c r="G283" s="13"/>
      <c r="H283" s="18"/>
      <c r="I283" s="8"/>
      <c r="J283" s="17"/>
      <c r="K283" s="12"/>
      <c r="L283" s="2"/>
      <c r="M283" s="17"/>
      <c r="N283" s="12"/>
      <c r="O283" s="2"/>
      <c r="P283" s="17"/>
      <c r="Q283" s="12"/>
      <c r="R283" s="2"/>
      <c r="S283" s="17"/>
      <c r="T283" s="12"/>
      <c r="U283" s="2"/>
      <c r="V283" s="17"/>
      <c r="W283" s="12"/>
      <c r="X283" s="2"/>
      <c r="Y283" s="17"/>
    </row>
    <row r="284" spans="1:25" hidden="1" x14ac:dyDescent="0.25">
      <c r="A284" s="6">
        <v>3.0209999999999999</v>
      </c>
      <c r="B284" s="2">
        <v>2.1693134000000001</v>
      </c>
      <c r="C284" s="2">
        <v>0.54089339999999997</v>
      </c>
      <c r="D284" s="2">
        <v>0.92519839999999998</v>
      </c>
      <c r="E284" s="12"/>
      <c r="F284" s="2"/>
      <c r="G284" s="13"/>
      <c r="H284" s="18"/>
      <c r="I284" s="8"/>
      <c r="J284" s="17"/>
      <c r="K284" s="12"/>
      <c r="L284" s="2"/>
      <c r="M284" s="17"/>
      <c r="N284" s="12"/>
      <c r="O284" s="2"/>
      <c r="P284" s="17"/>
      <c r="Q284" s="12"/>
      <c r="R284" s="2"/>
      <c r="S284" s="17"/>
      <c r="T284" s="12"/>
      <c r="U284" s="2"/>
      <c r="V284" s="17"/>
      <c r="W284" s="12"/>
      <c r="X284" s="2"/>
      <c r="Y284" s="17"/>
    </row>
    <row r="285" spans="1:25" hidden="1" x14ac:dyDescent="0.25">
      <c r="A285" s="6">
        <v>3.04</v>
      </c>
      <c r="B285" s="2">
        <v>2.1881691999999999</v>
      </c>
      <c r="C285" s="2">
        <v>0.54569199999999995</v>
      </c>
      <c r="D285" s="2">
        <v>0.91618060000000001</v>
      </c>
      <c r="E285" s="12"/>
      <c r="F285" s="2"/>
      <c r="G285" s="13"/>
      <c r="H285" s="18"/>
      <c r="I285" s="8"/>
      <c r="J285" s="17"/>
      <c r="K285" s="12"/>
      <c r="L285" s="2"/>
      <c r="M285" s="17"/>
      <c r="N285" s="12"/>
      <c r="O285" s="2"/>
      <c r="P285" s="17"/>
      <c r="Q285" s="12"/>
      <c r="R285" s="2"/>
      <c r="S285" s="17"/>
      <c r="T285" s="12"/>
      <c r="U285" s="2"/>
      <c r="V285" s="17"/>
      <c r="W285" s="12"/>
      <c r="X285" s="2"/>
      <c r="Y285" s="17"/>
    </row>
    <row r="286" spans="1:25" hidden="1" x14ac:dyDescent="0.25">
      <c r="A286" s="6">
        <v>3.0579999999999998</v>
      </c>
      <c r="B286" s="2">
        <v>2.2066431</v>
      </c>
      <c r="C286" s="2">
        <v>0.54936839999999998</v>
      </c>
      <c r="D286" s="2">
        <v>0.90752100000000002</v>
      </c>
      <c r="E286" s="12"/>
      <c r="F286" s="2"/>
      <c r="G286" s="13"/>
      <c r="H286" s="18"/>
      <c r="I286" s="8"/>
      <c r="J286" s="17"/>
      <c r="K286" s="12"/>
      <c r="L286" s="2"/>
      <c r="M286" s="17"/>
      <c r="N286" s="12"/>
      <c r="O286" s="2"/>
      <c r="P286" s="17"/>
      <c r="Q286" s="12"/>
      <c r="R286" s="2"/>
      <c r="S286" s="17"/>
      <c r="T286" s="12"/>
      <c r="U286" s="2"/>
      <c r="V286" s="17"/>
      <c r="W286" s="12"/>
      <c r="X286" s="2"/>
      <c r="Y286" s="17"/>
    </row>
    <row r="287" spans="1:25" hidden="1" x14ac:dyDescent="0.25">
      <c r="A287" s="6">
        <v>3.077</v>
      </c>
      <c r="B287" s="2">
        <v>2.2200551000000002</v>
      </c>
      <c r="C287" s="2">
        <v>0.54833010000000004</v>
      </c>
      <c r="D287" s="2">
        <v>0.90449049999999998</v>
      </c>
      <c r="E287" s="12"/>
      <c r="F287" s="2"/>
      <c r="G287" s="13"/>
      <c r="H287" s="18"/>
      <c r="I287" s="8"/>
      <c r="J287" s="17"/>
      <c r="K287" s="12"/>
      <c r="L287" s="2"/>
      <c r="M287" s="17"/>
      <c r="N287" s="12"/>
      <c r="O287" s="2"/>
      <c r="P287" s="17"/>
      <c r="Q287" s="12"/>
      <c r="R287" s="2"/>
      <c r="S287" s="17"/>
      <c r="T287" s="12"/>
      <c r="U287" s="2"/>
      <c r="V287" s="17"/>
      <c r="W287" s="12"/>
      <c r="X287" s="2"/>
      <c r="Y287" s="17"/>
    </row>
    <row r="288" spans="1:25" hidden="1" x14ac:dyDescent="0.25">
      <c r="A288" s="6">
        <v>3.0960000000000001</v>
      </c>
      <c r="B288" s="2">
        <v>2.2275130999999999</v>
      </c>
      <c r="C288" s="2">
        <v>0.54494690000000001</v>
      </c>
      <c r="D288" s="2">
        <v>0.90568570000000004</v>
      </c>
      <c r="E288" s="12"/>
      <c r="F288" s="2"/>
      <c r="G288" s="13"/>
      <c r="H288" s="18"/>
      <c r="I288" s="8"/>
      <c r="J288" s="17"/>
      <c r="K288" s="12"/>
      <c r="L288" s="2"/>
      <c r="M288" s="17"/>
      <c r="N288" s="12"/>
      <c r="O288" s="2"/>
      <c r="P288" s="17"/>
      <c r="Q288" s="12"/>
      <c r="R288" s="2"/>
      <c r="S288" s="17"/>
      <c r="T288" s="12"/>
      <c r="U288" s="2"/>
      <c r="V288" s="17"/>
      <c r="W288" s="12"/>
      <c r="X288" s="2"/>
      <c r="Y288" s="17"/>
    </row>
    <row r="289" spans="1:25" hidden="1" x14ac:dyDescent="0.25">
      <c r="A289" s="6">
        <v>3.1150000000000002</v>
      </c>
      <c r="B289" s="2">
        <v>2.2315198999999999</v>
      </c>
      <c r="C289" s="2">
        <v>0.54110210000000003</v>
      </c>
      <c r="D289" s="2">
        <v>0.90872869999999994</v>
      </c>
      <c r="E289" s="12"/>
      <c r="F289" s="2"/>
      <c r="G289" s="13"/>
      <c r="H289" s="18"/>
      <c r="I289" s="8"/>
      <c r="J289" s="17"/>
      <c r="K289" s="12"/>
      <c r="L289" s="2"/>
      <c r="M289" s="17"/>
      <c r="N289" s="12"/>
      <c r="O289" s="2"/>
      <c r="P289" s="17"/>
      <c r="Q289" s="12"/>
      <c r="R289" s="2"/>
      <c r="S289" s="17"/>
      <c r="T289" s="12"/>
      <c r="U289" s="2"/>
      <c r="V289" s="17"/>
      <c r="W289" s="12"/>
      <c r="X289" s="2"/>
      <c r="Y289" s="17"/>
    </row>
    <row r="290" spans="1:25" hidden="1" x14ac:dyDescent="0.25">
      <c r="A290" s="6">
        <v>3.1349999999999998</v>
      </c>
      <c r="B290" s="2">
        <v>2.2351162000000002</v>
      </c>
      <c r="C290" s="2">
        <v>0.53872819999999999</v>
      </c>
      <c r="D290" s="2">
        <v>0.91039639999999999</v>
      </c>
      <c r="E290" s="12"/>
      <c r="F290" s="2"/>
      <c r="G290" s="13"/>
      <c r="H290" s="18"/>
      <c r="I290" s="8"/>
      <c r="J290" s="17"/>
      <c r="K290" s="12"/>
      <c r="L290" s="2"/>
      <c r="M290" s="17"/>
      <c r="N290" s="12"/>
      <c r="O290" s="2"/>
      <c r="P290" s="17"/>
      <c r="Q290" s="12"/>
      <c r="R290" s="2"/>
      <c r="S290" s="17"/>
      <c r="T290" s="12"/>
      <c r="U290" s="2"/>
      <c r="V290" s="17"/>
      <c r="W290" s="12"/>
      <c r="X290" s="2"/>
      <c r="Y290" s="17"/>
    </row>
    <row r="291" spans="1:25" hidden="1" x14ac:dyDescent="0.25">
      <c r="A291" s="6">
        <v>3.1549999999999998</v>
      </c>
      <c r="B291" s="2">
        <v>2.2385818999999998</v>
      </c>
      <c r="C291" s="2">
        <v>0.53678530000000002</v>
      </c>
      <c r="D291" s="2">
        <v>0.91174140000000004</v>
      </c>
      <c r="E291" s="12"/>
      <c r="F291" s="2"/>
      <c r="G291" s="13"/>
      <c r="H291" s="18"/>
      <c r="I291" s="8"/>
      <c r="J291" s="17"/>
      <c r="K291" s="12"/>
      <c r="L291" s="2"/>
      <c r="M291" s="17"/>
      <c r="N291" s="12"/>
      <c r="O291" s="2"/>
      <c r="P291" s="17"/>
      <c r="Q291" s="12"/>
      <c r="R291" s="2"/>
      <c r="S291" s="17"/>
      <c r="T291" s="12"/>
      <c r="U291" s="2"/>
      <c r="V291" s="17"/>
      <c r="W291" s="12"/>
      <c r="X291" s="2"/>
      <c r="Y291" s="17"/>
    </row>
    <row r="292" spans="1:25" hidden="1" x14ac:dyDescent="0.25">
      <c r="A292" s="6">
        <v>3.1749999999999998</v>
      </c>
      <c r="B292" s="2">
        <v>2.2416673</v>
      </c>
      <c r="C292" s="2">
        <v>0.53433509999999995</v>
      </c>
      <c r="D292" s="2">
        <v>0.91410049999999998</v>
      </c>
      <c r="E292" s="12"/>
      <c r="F292" s="2"/>
      <c r="G292" s="13"/>
      <c r="H292" s="18"/>
      <c r="I292" s="8"/>
      <c r="J292" s="17"/>
      <c r="K292" s="12"/>
      <c r="L292" s="2"/>
      <c r="M292" s="17"/>
      <c r="N292" s="12"/>
      <c r="O292" s="2"/>
      <c r="P292" s="17"/>
      <c r="Q292" s="12"/>
      <c r="R292" s="2"/>
      <c r="S292" s="17"/>
      <c r="T292" s="12"/>
      <c r="U292" s="2"/>
      <c r="V292" s="17"/>
      <c r="W292" s="12"/>
      <c r="X292" s="2"/>
      <c r="Y292" s="17"/>
    </row>
    <row r="293" spans="1:25" hidden="1" x14ac:dyDescent="0.25">
      <c r="A293" s="6">
        <v>3.1949999999999998</v>
      </c>
      <c r="B293" s="2">
        <v>2.2444704</v>
      </c>
      <c r="C293" s="2">
        <v>0.53118359999999998</v>
      </c>
      <c r="D293" s="2">
        <v>0.91782220000000003</v>
      </c>
      <c r="E293" s="12"/>
      <c r="F293" s="2"/>
      <c r="G293" s="13"/>
      <c r="H293" s="18"/>
      <c r="I293" s="8"/>
      <c r="J293" s="17"/>
      <c r="K293" s="12"/>
      <c r="L293" s="2"/>
      <c r="M293" s="17"/>
      <c r="N293" s="12"/>
      <c r="O293" s="2"/>
      <c r="P293" s="17"/>
      <c r="Q293" s="12"/>
      <c r="R293" s="2"/>
      <c r="S293" s="17"/>
      <c r="T293" s="12"/>
      <c r="U293" s="2"/>
      <c r="V293" s="17"/>
      <c r="W293" s="12"/>
      <c r="X293" s="2"/>
      <c r="Y293" s="17"/>
    </row>
    <row r="294" spans="1:25" hidden="1" x14ac:dyDescent="0.25">
      <c r="A294" s="6">
        <v>3.2149999999999999</v>
      </c>
      <c r="B294" s="2">
        <v>2.2471535</v>
      </c>
      <c r="C294" s="2">
        <v>0.5278178</v>
      </c>
      <c r="D294" s="2">
        <v>0.92213710000000004</v>
      </c>
      <c r="E294" s="12"/>
      <c r="F294" s="2"/>
      <c r="G294" s="13"/>
      <c r="H294" s="18"/>
      <c r="I294" s="8"/>
      <c r="J294" s="17"/>
      <c r="K294" s="12"/>
      <c r="L294" s="2"/>
      <c r="M294" s="17"/>
      <c r="N294" s="12"/>
      <c r="O294" s="2"/>
      <c r="P294" s="17"/>
      <c r="Q294" s="12"/>
      <c r="R294" s="2"/>
      <c r="S294" s="17"/>
      <c r="T294" s="12"/>
      <c r="U294" s="2"/>
      <c r="V294" s="17"/>
      <c r="W294" s="12"/>
      <c r="X294" s="2"/>
      <c r="Y294" s="17"/>
    </row>
    <row r="295" spans="1:25" hidden="1" x14ac:dyDescent="0.25">
      <c r="A295" s="6">
        <v>3.2360000000000002</v>
      </c>
      <c r="B295" s="2">
        <v>2.2497995</v>
      </c>
      <c r="C295" s="2">
        <v>0.52489200000000003</v>
      </c>
      <c r="D295" s="2">
        <v>0.925925</v>
      </c>
      <c r="E295" s="12"/>
      <c r="F295" s="2"/>
      <c r="G295" s="13"/>
      <c r="H295" s="18"/>
      <c r="I295" s="8"/>
      <c r="J295" s="17"/>
      <c r="K295" s="12"/>
      <c r="L295" s="2"/>
      <c r="M295" s="17"/>
      <c r="N295" s="12"/>
      <c r="O295" s="2"/>
      <c r="P295" s="17"/>
      <c r="Q295" s="12"/>
      <c r="R295" s="2"/>
      <c r="S295" s="17"/>
      <c r="T295" s="12"/>
      <c r="U295" s="2"/>
      <c r="V295" s="17"/>
      <c r="W295" s="12"/>
      <c r="X295" s="2"/>
      <c r="Y295" s="17"/>
    </row>
    <row r="296" spans="1:25" hidden="1" x14ac:dyDescent="0.25">
      <c r="A296" s="6">
        <v>3.2570000000000001</v>
      </c>
      <c r="B296" s="2">
        <v>2.2525637000000001</v>
      </c>
      <c r="C296" s="2">
        <v>0.52265399999999995</v>
      </c>
      <c r="D296" s="2">
        <v>0.92876879999999995</v>
      </c>
      <c r="E296" s="12"/>
      <c r="F296" s="2"/>
      <c r="G296" s="13"/>
      <c r="H296" s="18"/>
      <c r="I296" s="8"/>
      <c r="J296" s="17"/>
      <c r="K296" s="12"/>
      <c r="L296" s="2"/>
      <c r="M296" s="17"/>
      <c r="N296" s="12"/>
      <c r="O296" s="2"/>
      <c r="P296" s="17"/>
      <c r="Q296" s="12"/>
      <c r="R296" s="2"/>
      <c r="S296" s="17"/>
      <c r="T296" s="12"/>
      <c r="U296" s="2"/>
      <c r="V296" s="17"/>
      <c r="W296" s="12"/>
      <c r="X296" s="2"/>
      <c r="Y296" s="17"/>
    </row>
    <row r="297" spans="1:25" hidden="1" x14ac:dyDescent="0.25">
      <c r="A297" s="6">
        <v>3.2789999999999999</v>
      </c>
      <c r="B297" s="2">
        <v>2.2559781000000001</v>
      </c>
      <c r="C297" s="2">
        <v>0.52029650000000005</v>
      </c>
      <c r="D297" s="2">
        <v>0.93192419999999998</v>
      </c>
      <c r="E297" s="12"/>
      <c r="F297" s="2"/>
      <c r="G297" s="13"/>
      <c r="H297" s="18"/>
      <c r="I297" s="8"/>
      <c r="J297" s="17"/>
      <c r="K297" s="12"/>
      <c r="L297" s="2"/>
      <c r="M297" s="17"/>
      <c r="N297" s="12"/>
      <c r="O297" s="2"/>
      <c r="P297" s="17"/>
      <c r="Q297" s="12"/>
      <c r="R297" s="2"/>
      <c r="S297" s="17"/>
      <c r="T297" s="12"/>
      <c r="U297" s="2"/>
      <c r="V297" s="17"/>
      <c r="W297" s="12"/>
      <c r="X297" s="2"/>
      <c r="Y297" s="17"/>
    </row>
    <row r="298" spans="1:25" hidden="1" x14ac:dyDescent="0.25">
      <c r="A298" s="6">
        <v>3.3</v>
      </c>
      <c r="B298" s="2">
        <v>2.2584209</v>
      </c>
      <c r="C298" s="2">
        <v>0.51878060000000004</v>
      </c>
      <c r="D298" s="2">
        <v>0.93404240000000005</v>
      </c>
      <c r="E298" s="12"/>
      <c r="F298" s="2"/>
      <c r="G298" s="13"/>
      <c r="H298" s="18"/>
      <c r="I298" s="8"/>
      <c r="J298" s="17"/>
      <c r="K298" s="12"/>
      <c r="L298" s="2"/>
      <c r="M298" s="17"/>
      <c r="N298" s="12"/>
      <c r="O298" s="2"/>
      <c r="P298" s="17"/>
      <c r="Q298" s="12"/>
      <c r="R298" s="2"/>
      <c r="S298" s="17"/>
      <c r="T298" s="12"/>
      <c r="U298" s="2"/>
      <c r="V298" s="17"/>
      <c r="W298" s="12"/>
      <c r="X298" s="2"/>
      <c r="Y298" s="17"/>
    </row>
    <row r="299" spans="1:25" hidden="1" x14ac:dyDescent="0.25">
      <c r="A299" s="6">
        <v>3.3220000000000001</v>
      </c>
      <c r="B299" s="2">
        <v>2.2613496999999998</v>
      </c>
      <c r="C299" s="2">
        <v>0.51861219999999997</v>
      </c>
      <c r="D299" s="2">
        <v>0.93495950000000005</v>
      </c>
      <c r="E299" s="12"/>
      <c r="F299" s="2"/>
      <c r="G299" s="13"/>
      <c r="H299" s="18"/>
      <c r="I299" s="8"/>
      <c r="J299" s="17"/>
      <c r="K299" s="12"/>
      <c r="L299" s="2"/>
      <c r="M299" s="17"/>
      <c r="N299" s="12"/>
      <c r="O299" s="2"/>
      <c r="P299" s="17"/>
      <c r="Q299" s="12"/>
      <c r="R299" s="2"/>
      <c r="S299" s="17"/>
      <c r="T299" s="12"/>
      <c r="U299" s="2"/>
      <c r="V299" s="17"/>
      <c r="W299" s="12"/>
      <c r="X299" s="2"/>
      <c r="Y299" s="17"/>
    </row>
    <row r="300" spans="1:25" hidden="1" x14ac:dyDescent="0.25">
      <c r="A300" s="6">
        <v>3.3450000000000002</v>
      </c>
      <c r="B300" s="2">
        <v>2.2643806999999998</v>
      </c>
      <c r="C300" s="2">
        <v>0.52070939999999999</v>
      </c>
      <c r="D300" s="2">
        <v>0.93438980000000005</v>
      </c>
      <c r="E300" s="12"/>
      <c r="F300" s="2"/>
      <c r="G300" s="13"/>
      <c r="H300" s="18"/>
      <c r="I300" s="8"/>
      <c r="J300" s="17"/>
      <c r="K300" s="12"/>
      <c r="L300" s="2"/>
      <c r="M300" s="17"/>
      <c r="N300" s="12"/>
      <c r="O300" s="2"/>
      <c r="P300" s="17"/>
      <c r="Q300" s="12"/>
      <c r="R300" s="2"/>
      <c r="S300" s="17"/>
      <c r="T300" s="12"/>
      <c r="U300" s="2"/>
      <c r="V300" s="17"/>
      <c r="W300" s="12"/>
      <c r="X300" s="2"/>
      <c r="Y300" s="17"/>
    </row>
    <row r="301" spans="1:25" hidden="1" x14ac:dyDescent="0.25">
      <c r="A301" s="6">
        <v>3.367</v>
      </c>
      <c r="B301" s="2">
        <v>2.2673299</v>
      </c>
      <c r="C301" s="2">
        <v>0.52689629999999998</v>
      </c>
      <c r="D301" s="2">
        <v>0.93138089999999996</v>
      </c>
      <c r="E301" s="12"/>
      <c r="F301" s="2"/>
      <c r="G301" s="13"/>
      <c r="H301" s="18"/>
      <c r="I301" s="8"/>
      <c r="J301" s="17"/>
      <c r="K301" s="12"/>
      <c r="L301" s="2"/>
      <c r="M301" s="17"/>
      <c r="N301" s="12"/>
      <c r="O301" s="2"/>
      <c r="P301" s="17"/>
      <c r="Q301" s="12"/>
      <c r="R301" s="2"/>
      <c r="S301" s="17"/>
      <c r="T301" s="12"/>
      <c r="U301" s="2"/>
      <c r="V301" s="17"/>
      <c r="W301" s="12"/>
      <c r="X301" s="2"/>
      <c r="Y301" s="17"/>
    </row>
    <row r="302" spans="1:25" hidden="1" x14ac:dyDescent="0.25">
      <c r="A302" s="6">
        <v>3.39</v>
      </c>
      <c r="B302" s="2">
        <v>2.2701528</v>
      </c>
      <c r="C302" s="2">
        <v>0.53782479999999999</v>
      </c>
      <c r="D302" s="2">
        <v>0.92602649999999997</v>
      </c>
      <c r="E302" s="12"/>
      <c r="F302" s="2"/>
      <c r="G302" s="13"/>
      <c r="H302" s="18"/>
      <c r="I302" s="8"/>
      <c r="J302" s="17"/>
      <c r="K302" s="12"/>
      <c r="L302" s="2"/>
      <c r="M302" s="17"/>
      <c r="N302" s="12"/>
      <c r="O302" s="2"/>
      <c r="P302" s="17"/>
      <c r="Q302" s="12"/>
      <c r="R302" s="2"/>
      <c r="S302" s="17"/>
      <c r="T302" s="12"/>
      <c r="U302" s="2"/>
      <c r="V302" s="17"/>
      <c r="W302" s="12"/>
      <c r="X302" s="2"/>
      <c r="Y302" s="17"/>
    </row>
    <row r="303" spans="1:25" hidden="1" x14ac:dyDescent="0.25">
      <c r="A303" s="6">
        <v>3.4129999999999998</v>
      </c>
      <c r="B303" s="2">
        <v>2.2728844000000001</v>
      </c>
      <c r="C303" s="2">
        <v>0.55325389999999997</v>
      </c>
      <c r="D303" s="2">
        <v>0.91883510000000002</v>
      </c>
      <c r="E303" s="12"/>
      <c r="F303" s="2"/>
      <c r="G303" s="13"/>
      <c r="H303" s="18"/>
      <c r="I303" s="8"/>
      <c r="J303" s="17"/>
      <c r="K303" s="12"/>
      <c r="L303" s="2"/>
      <c r="M303" s="17"/>
      <c r="N303" s="12"/>
      <c r="O303" s="2"/>
      <c r="P303" s="17"/>
      <c r="Q303" s="12"/>
      <c r="R303" s="2"/>
      <c r="S303" s="17"/>
      <c r="T303" s="12"/>
      <c r="U303" s="2"/>
      <c r="V303" s="17"/>
      <c r="W303" s="12"/>
      <c r="X303" s="2"/>
      <c r="Y303" s="17"/>
    </row>
    <row r="304" spans="1:25" hidden="1" x14ac:dyDescent="0.25">
      <c r="A304" s="6">
        <v>3.4359999999999999</v>
      </c>
      <c r="B304" s="2">
        <v>2.2755067000000002</v>
      </c>
      <c r="C304" s="2">
        <v>0.57454369999999999</v>
      </c>
      <c r="D304" s="2">
        <v>0.90940370000000004</v>
      </c>
      <c r="E304" s="12"/>
      <c r="F304" s="2"/>
      <c r="G304" s="13"/>
      <c r="H304" s="18"/>
      <c r="I304" s="8"/>
      <c r="J304" s="17"/>
      <c r="K304" s="12"/>
      <c r="L304" s="2"/>
      <c r="M304" s="17"/>
      <c r="N304" s="12"/>
      <c r="O304" s="2"/>
      <c r="P304" s="17"/>
      <c r="Q304" s="12"/>
      <c r="R304" s="2"/>
      <c r="S304" s="17"/>
      <c r="T304" s="12"/>
      <c r="U304" s="2"/>
      <c r="V304" s="17"/>
      <c r="W304" s="12"/>
      <c r="X304" s="2"/>
      <c r="Y304" s="17"/>
    </row>
    <row r="305" spans="1:25" hidden="1" x14ac:dyDescent="0.25">
      <c r="A305" s="6">
        <v>3.46</v>
      </c>
      <c r="B305" s="2">
        <v>2.2780003999999998</v>
      </c>
      <c r="C305" s="2">
        <v>0.60199210000000003</v>
      </c>
      <c r="D305" s="2">
        <v>0.89815400000000001</v>
      </c>
      <c r="E305" s="12"/>
      <c r="F305" s="2"/>
      <c r="G305" s="13"/>
      <c r="H305" s="18"/>
      <c r="I305" s="8"/>
      <c r="J305" s="17"/>
      <c r="K305" s="12"/>
      <c r="L305" s="2"/>
      <c r="M305" s="17"/>
      <c r="N305" s="12"/>
      <c r="O305" s="2"/>
      <c r="P305" s="17"/>
      <c r="Q305" s="12"/>
      <c r="R305" s="2"/>
      <c r="S305" s="17"/>
      <c r="T305" s="12"/>
      <c r="U305" s="2"/>
      <c r="V305" s="17"/>
      <c r="W305" s="12"/>
      <c r="X305" s="2"/>
      <c r="Y305" s="17"/>
    </row>
    <row r="306" spans="1:25" hidden="1" x14ac:dyDescent="0.25">
      <c r="A306" s="6">
        <v>3.484</v>
      </c>
      <c r="B306" s="2">
        <v>2.2803716999999999</v>
      </c>
      <c r="C306" s="2">
        <v>0.63308719999999996</v>
      </c>
      <c r="D306" s="2">
        <v>0.88659770000000004</v>
      </c>
      <c r="E306" s="12"/>
      <c r="F306" s="2"/>
      <c r="G306" s="13"/>
      <c r="H306" s="18"/>
      <c r="I306" s="8"/>
      <c r="J306" s="17"/>
      <c r="K306" s="12"/>
      <c r="L306" s="2"/>
      <c r="M306" s="17"/>
      <c r="N306" s="12"/>
      <c r="O306" s="2"/>
      <c r="P306" s="17"/>
      <c r="Q306" s="12"/>
      <c r="R306" s="2"/>
      <c r="S306" s="17"/>
      <c r="T306" s="12"/>
      <c r="U306" s="2"/>
      <c r="V306" s="17"/>
      <c r="W306" s="12"/>
      <c r="X306" s="2"/>
      <c r="Y306" s="17"/>
    </row>
    <row r="307" spans="1:25" hidden="1" x14ac:dyDescent="0.25">
      <c r="A307" s="6">
        <v>3.5089999999999999</v>
      </c>
      <c r="B307" s="2">
        <v>2.2832591999999998</v>
      </c>
      <c r="C307" s="2">
        <v>0.6653365</v>
      </c>
      <c r="D307" s="2">
        <v>0.87550170000000005</v>
      </c>
      <c r="E307" s="12"/>
      <c r="F307" s="2"/>
      <c r="G307" s="13"/>
      <c r="H307" s="18"/>
      <c r="I307" s="8"/>
      <c r="J307" s="17"/>
      <c r="K307" s="12"/>
      <c r="L307" s="2"/>
      <c r="M307" s="17"/>
      <c r="N307" s="12"/>
      <c r="O307" s="2"/>
      <c r="P307" s="17"/>
      <c r="Q307" s="12"/>
      <c r="R307" s="2"/>
      <c r="S307" s="17"/>
      <c r="T307" s="12"/>
      <c r="U307" s="2"/>
      <c r="V307" s="17"/>
      <c r="W307" s="12"/>
      <c r="X307" s="2"/>
      <c r="Y307" s="17"/>
    </row>
    <row r="308" spans="1:25" hidden="1" x14ac:dyDescent="0.25">
      <c r="A308" s="6">
        <v>3.5339999999999998</v>
      </c>
      <c r="B308" s="2">
        <v>2.2856314000000002</v>
      </c>
      <c r="C308" s="2">
        <v>0.69644419999999996</v>
      </c>
      <c r="D308" s="2">
        <v>0.8657395</v>
      </c>
      <c r="E308" s="12"/>
      <c r="F308" s="2"/>
      <c r="G308" s="13"/>
      <c r="H308" s="18"/>
      <c r="I308" s="8"/>
      <c r="J308" s="17"/>
      <c r="K308" s="12"/>
      <c r="L308" s="2"/>
      <c r="M308" s="17"/>
      <c r="N308" s="12"/>
      <c r="O308" s="2"/>
      <c r="P308" s="17"/>
      <c r="Q308" s="12"/>
      <c r="R308" s="2"/>
      <c r="S308" s="17"/>
      <c r="T308" s="12"/>
      <c r="U308" s="2"/>
      <c r="V308" s="17"/>
      <c r="W308" s="12"/>
      <c r="X308" s="2"/>
      <c r="Y308" s="17"/>
    </row>
    <row r="309" spans="1:25" hidden="1" x14ac:dyDescent="0.25">
      <c r="A309" s="6">
        <v>3.5590000000000002</v>
      </c>
      <c r="B309" s="2">
        <v>2.2875412000000002</v>
      </c>
      <c r="C309" s="2">
        <v>0.72449359999999996</v>
      </c>
      <c r="D309" s="2">
        <v>0.85783399999999999</v>
      </c>
      <c r="E309" s="12"/>
      <c r="F309" s="2"/>
      <c r="G309" s="13"/>
      <c r="H309" s="18"/>
      <c r="I309" s="8"/>
      <c r="J309" s="17"/>
      <c r="K309" s="12"/>
      <c r="L309" s="2"/>
      <c r="M309" s="17"/>
      <c r="N309" s="12"/>
      <c r="O309" s="2"/>
      <c r="P309" s="17"/>
      <c r="Q309" s="12"/>
      <c r="R309" s="2"/>
      <c r="S309" s="17"/>
      <c r="T309" s="12"/>
      <c r="U309" s="2"/>
      <c r="V309" s="17"/>
      <c r="W309" s="12"/>
      <c r="X309" s="2"/>
      <c r="Y309" s="17"/>
    </row>
    <row r="310" spans="1:25" hidden="1" x14ac:dyDescent="0.25">
      <c r="A310" s="6">
        <v>3.6240000000000001</v>
      </c>
      <c r="B310" s="2">
        <v>2.2920020000000001</v>
      </c>
      <c r="C310" s="2">
        <v>0.77955090000000005</v>
      </c>
      <c r="D310" s="2">
        <v>0.84505470000000005</v>
      </c>
      <c r="E310" s="12"/>
      <c r="F310" s="2"/>
      <c r="G310" s="13"/>
      <c r="H310" s="18"/>
      <c r="I310" s="8"/>
      <c r="J310" s="17"/>
      <c r="K310" s="12"/>
      <c r="L310" s="2"/>
      <c r="M310" s="17"/>
      <c r="N310" s="12"/>
      <c r="O310" s="2"/>
      <c r="P310" s="17"/>
      <c r="Q310" s="12"/>
      <c r="R310" s="2"/>
      <c r="S310" s="17"/>
      <c r="T310" s="12"/>
      <c r="U310" s="2"/>
      <c r="V310" s="17"/>
      <c r="W310" s="12"/>
      <c r="X310" s="2"/>
      <c r="Y310" s="17"/>
    </row>
    <row r="311" spans="1:25" hidden="1" x14ac:dyDescent="0.25">
      <c r="A311" s="6">
        <v>3.7320000000000002</v>
      </c>
      <c r="B311" s="2">
        <v>2.3034530000000002</v>
      </c>
      <c r="C311" s="2">
        <v>0.81167920000000005</v>
      </c>
      <c r="D311" s="2">
        <v>0.83288289999999998</v>
      </c>
      <c r="E311" s="12"/>
      <c r="F311" s="2"/>
      <c r="G311" s="13"/>
      <c r="H311" s="18"/>
      <c r="I311" s="8"/>
      <c r="J311" s="17"/>
      <c r="K311" s="12"/>
      <c r="L311" s="2"/>
      <c r="M311" s="17"/>
      <c r="N311" s="12"/>
      <c r="O311" s="2"/>
      <c r="P311" s="17"/>
      <c r="Q311" s="12"/>
      <c r="R311" s="2"/>
      <c r="S311" s="17"/>
      <c r="T311" s="12"/>
      <c r="U311" s="2"/>
      <c r="V311" s="17"/>
      <c r="W311" s="12"/>
      <c r="X311" s="2"/>
      <c r="Y311" s="17"/>
    </row>
    <row r="312" spans="1:25" hidden="1" x14ac:dyDescent="0.25">
      <c r="A312" s="6">
        <v>3.7749999999999999</v>
      </c>
      <c r="B312" s="2">
        <v>2.3034463000000001</v>
      </c>
      <c r="C312" s="2">
        <v>0.80839890000000003</v>
      </c>
      <c r="D312" s="2">
        <v>0.84229560000000003</v>
      </c>
      <c r="E312" s="12"/>
      <c r="F312" s="2"/>
      <c r="G312" s="13"/>
      <c r="H312" s="18"/>
      <c r="I312" s="8"/>
      <c r="J312" s="17"/>
      <c r="K312" s="12"/>
      <c r="L312" s="2"/>
      <c r="M312" s="17"/>
      <c r="N312" s="12"/>
      <c r="O312" s="2"/>
      <c r="P312" s="17"/>
      <c r="Q312" s="12"/>
      <c r="R312" s="2"/>
      <c r="S312" s="17"/>
      <c r="T312" s="12"/>
      <c r="U312" s="2"/>
      <c r="V312" s="17"/>
      <c r="W312" s="12"/>
      <c r="X312" s="2"/>
      <c r="Y312" s="17"/>
    </row>
    <row r="313" spans="1:25" hidden="1" x14ac:dyDescent="0.25">
      <c r="A313" s="6">
        <v>3.847</v>
      </c>
      <c r="B313" s="2">
        <v>2.3098730999999999</v>
      </c>
      <c r="C313" s="2">
        <v>0.78829930000000004</v>
      </c>
      <c r="D313" s="2">
        <v>0.84515010000000002</v>
      </c>
      <c r="E313" s="12"/>
      <c r="F313" s="2"/>
      <c r="G313" s="13"/>
      <c r="H313" s="18"/>
      <c r="I313" s="8"/>
      <c r="J313" s="17"/>
      <c r="K313" s="12"/>
      <c r="L313" s="2"/>
      <c r="M313" s="17"/>
      <c r="N313" s="12"/>
      <c r="O313" s="2"/>
      <c r="P313" s="17"/>
      <c r="Q313" s="12"/>
      <c r="R313" s="2"/>
      <c r="S313" s="17"/>
      <c r="T313" s="12"/>
      <c r="U313" s="2"/>
      <c r="V313" s="17"/>
      <c r="W313" s="12"/>
      <c r="X313" s="2"/>
      <c r="Y313" s="17"/>
    </row>
    <row r="314" spans="1:25" hidden="1" x14ac:dyDescent="0.25">
      <c r="A314" s="6">
        <v>3.9689999999999999</v>
      </c>
      <c r="B314" s="2">
        <v>2.2906761000000002</v>
      </c>
      <c r="C314" s="2">
        <v>0.74588960000000004</v>
      </c>
      <c r="D314" s="2">
        <v>0.85839129999999997</v>
      </c>
      <c r="E314" s="12"/>
      <c r="F314" s="2"/>
      <c r="G314" s="13"/>
      <c r="H314" s="18"/>
      <c r="I314" s="8"/>
      <c r="J314" s="17"/>
      <c r="K314" s="12"/>
      <c r="L314" s="2"/>
      <c r="M314" s="17"/>
      <c r="N314" s="12"/>
      <c r="O314" s="2"/>
      <c r="P314" s="17"/>
      <c r="Q314" s="12"/>
      <c r="R314" s="2"/>
      <c r="S314" s="17"/>
      <c r="T314" s="12"/>
      <c r="U314" s="2"/>
      <c r="V314" s="17"/>
      <c r="W314" s="12"/>
      <c r="X314" s="2"/>
      <c r="Y314" s="17"/>
    </row>
    <row r="315" spans="1:25" hidden="1" x14ac:dyDescent="0.25">
      <c r="A315" s="6">
        <v>4.0990000000000002</v>
      </c>
      <c r="B315" s="2">
        <v>2.3287944999999999</v>
      </c>
      <c r="C315" s="2">
        <v>0.70262069999999999</v>
      </c>
      <c r="D315" s="2">
        <v>0.86630879999999999</v>
      </c>
      <c r="E315" s="12"/>
      <c r="F315" s="2"/>
      <c r="G315" s="13"/>
      <c r="H315" s="18"/>
      <c r="I315" s="8"/>
      <c r="J315" s="17"/>
      <c r="K315" s="12"/>
      <c r="L315" s="2"/>
      <c r="M315" s="17"/>
      <c r="N315" s="12"/>
      <c r="O315" s="2"/>
      <c r="P315" s="17"/>
      <c r="Q315" s="12"/>
      <c r="R315" s="2"/>
      <c r="S315" s="17"/>
      <c r="T315" s="12"/>
      <c r="U315" s="2"/>
      <c r="V315" s="17"/>
      <c r="W315" s="12"/>
      <c r="X315" s="2"/>
      <c r="Y315" s="17"/>
    </row>
    <row r="316" spans="1:25" hidden="1" x14ac:dyDescent="0.25">
      <c r="A316" s="6">
        <v>4.2389999999999999</v>
      </c>
      <c r="B316" s="2">
        <v>2.3406853999999999</v>
      </c>
      <c r="C316" s="2">
        <v>0.66747190000000001</v>
      </c>
      <c r="D316" s="2">
        <v>0.87543340000000003</v>
      </c>
      <c r="E316" s="12"/>
      <c r="F316" s="2"/>
      <c r="G316" s="13"/>
      <c r="H316" s="18"/>
      <c r="I316" s="8"/>
      <c r="J316" s="17"/>
      <c r="K316" s="12"/>
      <c r="L316" s="2"/>
      <c r="M316" s="17"/>
      <c r="N316" s="12"/>
      <c r="O316" s="2"/>
      <c r="P316" s="17"/>
      <c r="Q316" s="12"/>
      <c r="R316" s="2"/>
      <c r="S316" s="17"/>
      <c r="T316" s="12"/>
      <c r="U316" s="2"/>
      <c r="V316" s="17"/>
      <c r="W316" s="12"/>
      <c r="X316" s="2"/>
      <c r="Y316" s="17"/>
    </row>
    <row r="317" spans="1:25" hidden="1" x14ac:dyDescent="0.25">
      <c r="A317" s="6">
        <v>4.3479999999999999</v>
      </c>
      <c r="B317" s="2">
        <v>2.3455167000000001</v>
      </c>
      <c r="C317" s="2">
        <v>0.62792899999999996</v>
      </c>
      <c r="D317" s="2">
        <v>0.88700959999999995</v>
      </c>
      <c r="E317" s="12"/>
      <c r="F317" s="2"/>
      <c r="G317" s="13"/>
      <c r="H317" s="18"/>
      <c r="I317" s="8"/>
      <c r="J317" s="17"/>
      <c r="K317" s="12"/>
      <c r="L317" s="2"/>
      <c r="M317" s="17"/>
      <c r="N317" s="12"/>
      <c r="O317" s="2"/>
      <c r="P317" s="17"/>
      <c r="Q317" s="12"/>
      <c r="R317" s="2"/>
      <c r="S317" s="17"/>
      <c r="T317" s="12"/>
      <c r="U317" s="2"/>
      <c r="V317" s="17"/>
      <c r="W317" s="12"/>
      <c r="X317" s="2"/>
      <c r="Y317" s="17"/>
    </row>
    <row r="318" spans="1:25" hidden="1" x14ac:dyDescent="0.25">
      <c r="A318" s="6">
        <v>4.3869999999999996</v>
      </c>
      <c r="B318" s="2">
        <v>2.3462436000000002</v>
      </c>
      <c r="C318" s="2">
        <v>0.61324129999999999</v>
      </c>
      <c r="D318" s="2">
        <v>0.89166570000000001</v>
      </c>
      <c r="E318" s="12"/>
      <c r="F318" s="2"/>
      <c r="G318" s="13"/>
      <c r="H318" s="18"/>
      <c r="I318" s="8"/>
      <c r="J318" s="17"/>
      <c r="K318" s="12"/>
      <c r="L318" s="2"/>
      <c r="M318" s="17"/>
      <c r="N318" s="12"/>
      <c r="O318" s="2"/>
      <c r="P318" s="17"/>
      <c r="Q318" s="12"/>
      <c r="R318" s="2"/>
      <c r="S318" s="17"/>
      <c r="T318" s="12"/>
      <c r="U318" s="2"/>
      <c r="V318" s="17"/>
      <c r="W318" s="12"/>
      <c r="X318" s="2"/>
      <c r="Y318" s="17"/>
    </row>
    <row r="319" spans="1:25" hidden="1" x14ac:dyDescent="0.25">
      <c r="A319" s="6">
        <v>4.444</v>
      </c>
      <c r="B319" s="2">
        <v>2.3471017000000001</v>
      </c>
      <c r="C319" s="2">
        <v>0.59609389999999995</v>
      </c>
      <c r="D319" s="2">
        <v>0.89713960000000004</v>
      </c>
      <c r="E319" s="12"/>
      <c r="F319" s="2"/>
      <c r="G319" s="13"/>
      <c r="H319" s="18"/>
      <c r="I319" s="8"/>
      <c r="J319" s="17"/>
      <c r="K319" s="12"/>
      <c r="L319" s="2"/>
      <c r="M319" s="17"/>
      <c r="N319" s="12"/>
      <c r="O319" s="2"/>
      <c r="P319" s="17"/>
      <c r="Q319" s="12"/>
      <c r="R319" s="2"/>
      <c r="S319" s="17"/>
      <c r="T319" s="12"/>
      <c r="U319" s="2"/>
      <c r="V319" s="17"/>
      <c r="W319" s="12"/>
      <c r="X319" s="2"/>
      <c r="Y319" s="17"/>
    </row>
    <row r="320" spans="1:25" hidden="1" x14ac:dyDescent="0.25">
      <c r="A320" s="6">
        <v>4.5049999999999999</v>
      </c>
      <c r="B320" s="2">
        <v>2.3490137999999998</v>
      </c>
      <c r="C320" s="2">
        <v>0.58835360000000003</v>
      </c>
      <c r="D320" s="2">
        <v>0.89899229999999997</v>
      </c>
      <c r="E320" s="12"/>
      <c r="F320" s="2"/>
      <c r="G320" s="13"/>
      <c r="H320" s="18"/>
      <c r="I320" s="8"/>
      <c r="J320" s="17"/>
      <c r="K320" s="12"/>
      <c r="L320" s="2"/>
      <c r="M320" s="17"/>
      <c r="N320" s="12"/>
      <c r="O320" s="2"/>
      <c r="P320" s="17"/>
      <c r="Q320" s="12"/>
      <c r="R320" s="2"/>
      <c r="S320" s="17"/>
      <c r="T320" s="12"/>
      <c r="U320" s="2"/>
      <c r="V320" s="17"/>
      <c r="W320" s="12"/>
      <c r="X320" s="2"/>
      <c r="Y320" s="17"/>
    </row>
    <row r="321" spans="1:25" hidden="1" x14ac:dyDescent="0.25">
      <c r="A321" s="6">
        <v>4.5469999999999997</v>
      </c>
      <c r="B321" s="2">
        <v>2.3517632000000002</v>
      </c>
      <c r="C321" s="2">
        <v>0.59378160000000002</v>
      </c>
      <c r="D321" s="2">
        <v>0.89586809999999995</v>
      </c>
      <c r="E321" s="12"/>
      <c r="F321" s="2"/>
      <c r="G321" s="13"/>
      <c r="H321" s="18"/>
      <c r="I321" s="8"/>
      <c r="J321" s="17"/>
      <c r="K321" s="12"/>
      <c r="L321" s="2"/>
      <c r="M321" s="17"/>
      <c r="N321" s="12"/>
      <c r="O321" s="2"/>
      <c r="P321" s="17"/>
      <c r="Q321" s="12"/>
      <c r="R321" s="2"/>
      <c r="S321" s="17"/>
      <c r="T321" s="12"/>
      <c r="U321" s="2"/>
      <c r="V321" s="17"/>
      <c r="W321" s="12"/>
      <c r="X321" s="2"/>
      <c r="Y321" s="17"/>
    </row>
    <row r="322" spans="1:25" hidden="1" x14ac:dyDescent="0.25">
      <c r="A322" s="6">
        <v>4.5599999999999996</v>
      </c>
      <c r="B322" s="2">
        <v>2.3529735000000001</v>
      </c>
      <c r="C322" s="2">
        <v>0.59836319999999998</v>
      </c>
      <c r="D322" s="2">
        <v>0.89373250000000004</v>
      </c>
      <c r="E322" s="12"/>
      <c r="F322" s="2"/>
      <c r="G322" s="13"/>
      <c r="H322" s="18"/>
      <c r="I322" s="8"/>
      <c r="J322" s="17"/>
      <c r="K322" s="12"/>
      <c r="L322" s="2"/>
      <c r="M322" s="17"/>
      <c r="N322" s="12"/>
      <c r="O322" s="2"/>
      <c r="P322" s="17"/>
      <c r="Q322" s="12"/>
      <c r="R322" s="2"/>
      <c r="S322" s="17"/>
      <c r="T322" s="12"/>
      <c r="U322" s="2"/>
      <c r="V322" s="17"/>
      <c r="W322" s="12"/>
      <c r="X322" s="2"/>
      <c r="Y322" s="17"/>
    </row>
    <row r="323" spans="1:25" hidden="1" x14ac:dyDescent="0.25">
      <c r="A323" s="6">
        <v>4.58</v>
      </c>
      <c r="B323" s="2">
        <v>2.3548418999999998</v>
      </c>
      <c r="C323" s="2">
        <v>0.60560650000000005</v>
      </c>
      <c r="D323" s="2">
        <v>0.89041760000000003</v>
      </c>
      <c r="E323" s="12"/>
      <c r="F323" s="2"/>
      <c r="G323" s="13"/>
      <c r="H323" s="18"/>
      <c r="I323" s="8"/>
      <c r="J323" s="17"/>
      <c r="K323" s="12"/>
      <c r="L323" s="2"/>
      <c r="M323" s="17"/>
      <c r="N323" s="12"/>
      <c r="O323" s="2"/>
      <c r="P323" s="17"/>
      <c r="Q323" s="12"/>
      <c r="R323" s="2"/>
      <c r="S323" s="17"/>
      <c r="T323" s="12"/>
      <c r="U323" s="2"/>
      <c r="V323" s="17"/>
      <c r="W323" s="12"/>
      <c r="X323" s="2"/>
      <c r="Y323" s="17"/>
    </row>
    <row r="324" spans="1:25" hidden="1" x14ac:dyDescent="0.25">
      <c r="A324" s="6">
        <v>4.7190000000000003</v>
      </c>
      <c r="B324" s="2">
        <v>2.3686501999999998</v>
      </c>
      <c r="C324" s="2">
        <v>0.6781471</v>
      </c>
      <c r="D324" s="2">
        <v>0.8609059</v>
      </c>
      <c r="E324" s="12"/>
      <c r="F324" s="2"/>
      <c r="G324" s="13"/>
      <c r="H324" s="18"/>
      <c r="I324" s="8"/>
      <c r="J324" s="17"/>
      <c r="K324" s="12"/>
      <c r="L324" s="2"/>
      <c r="M324" s="17"/>
      <c r="N324" s="12"/>
      <c r="O324" s="2"/>
      <c r="P324" s="17"/>
      <c r="Q324" s="12"/>
      <c r="R324" s="2"/>
      <c r="S324" s="17"/>
      <c r="T324" s="12"/>
      <c r="U324" s="2"/>
      <c r="V324" s="17"/>
      <c r="W324" s="12"/>
      <c r="X324" s="2"/>
      <c r="Y324" s="17"/>
    </row>
    <row r="325" spans="1:25" hidden="1" x14ac:dyDescent="0.25">
      <c r="A325" s="6">
        <v>4.9039999999999999</v>
      </c>
      <c r="B325" s="2">
        <v>2.3739123000000002</v>
      </c>
      <c r="C325" s="2">
        <v>0.74814309999999995</v>
      </c>
      <c r="D325" s="2">
        <v>0.83374510000000002</v>
      </c>
      <c r="E325" s="12"/>
      <c r="F325" s="2"/>
      <c r="G325" s="13"/>
      <c r="H325" s="18"/>
      <c r="I325" s="8"/>
      <c r="J325" s="17"/>
      <c r="K325" s="12"/>
      <c r="L325" s="2"/>
      <c r="M325" s="17"/>
      <c r="N325" s="12"/>
      <c r="O325" s="2"/>
      <c r="P325" s="17"/>
      <c r="Q325" s="12"/>
      <c r="R325" s="2"/>
      <c r="S325" s="17"/>
      <c r="T325" s="12"/>
      <c r="U325" s="2"/>
      <c r="V325" s="17"/>
      <c r="W325" s="12"/>
      <c r="X325" s="2"/>
      <c r="Y325" s="17"/>
    </row>
    <row r="326" spans="1:25" hidden="1" x14ac:dyDescent="0.25">
      <c r="A326" s="6">
        <v>5</v>
      </c>
      <c r="B326" s="2">
        <v>2.3672000999999998</v>
      </c>
      <c r="C326" s="2">
        <v>0.7650768</v>
      </c>
      <c r="D326" s="2">
        <v>0.82612220000000003</v>
      </c>
      <c r="E326" s="12"/>
      <c r="F326" s="2"/>
      <c r="G326" s="13"/>
      <c r="H326" s="18"/>
      <c r="I326" s="8"/>
      <c r="J326" s="17"/>
      <c r="K326" s="12"/>
      <c r="L326" s="2"/>
      <c r="M326" s="17"/>
      <c r="N326" s="12"/>
      <c r="O326" s="2"/>
      <c r="P326" s="17"/>
      <c r="Q326" s="12"/>
      <c r="R326" s="2"/>
      <c r="S326" s="17"/>
      <c r="T326" s="12"/>
      <c r="U326" s="2"/>
      <c r="V326" s="17"/>
      <c r="W326" s="12"/>
      <c r="X326" s="2"/>
      <c r="Y326" s="17"/>
    </row>
    <row r="327" spans="1:25" hidden="1" x14ac:dyDescent="0.25">
      <c r="A327" s="6">
        <v>5.0999999999999996</v>
      </c>
      <c r="B327" s="2">
        <v>2.3562074000000002</v>
      </c>
      <c r="C327" s="2">
        <v>0.77022760000000001</v>
      </c>
      <c r="D327" s="2">
        <v>0.82268669999999999</v>
      </c>
      <c r="E327" s="12"/>
      <c r="F327" s="2"/>
      <c r="G327" s="13"/>
      <c r="H327" s="18"/>
      <c r="I327" s="8"/>
      <c r="J327" s="17"/>
      <c r="K327" s="12"/>
      <c r="L327" s="2"/>
      <c r="M327" s="17"/>
      <c r="N327" s="12"/>
      <c r="O327" s="2"/>
      <c r="P327" s="17"/>
      <c r="Q327" s="12"/>
      <c r="R327" s="2"/>
      <c r="S327" s="17"/>
      <c r="T327" s="12"/>
      <c r="U327" s="2"/>
      <c r="V327" s="17"/>
      <c r="W327" s="12"/>
      <c r="X327" s="2"/>
      <c r="Y327" s="17"/>
    </row>
    <row r="328" spans="1:25" hidden="1" x14ac:dyDescent="0.25">
      <c r="A328" s="6">
        <v>5.2</v>
      </c>
      <c r="B328" s="2">
        <v>2.3483546</v>
      </c>
      <c r="C328" s="2">
        <v>0.76203920000000003</v>
      </c>
      <c r="D328" s="2">
        <v>0.82317649999999998</v>
      </c>
      <c r="E328" s="12"/>
      <c r="F328" s="2"/>
      <c r="G328" s="13"/>
      <c r="H328" s="18"/>
      <c r="I328" s="8"/>
      <c r="J328" s="17"/>
      <c r="K328" s="12"/>
      <c r="L328" s="2"/>
      <c r="M328" s="17"/>
      <c r="N328" s="12"/>
      <c r="O328" s="2"/>
      <c r="P328" s="17"/>
      <c r="Q328" s="12"/>
      <c r="R328" s="2"/>
      <c r="S328" s="17"/>
      <c r="T328" s="12"/>
      <c r="U328" s="2"/>
      <c r="V328" s="17"/>
      <c r="W328" s="12"/>
      <c r="X328" s="2"/>
      <c r="Y328" s="17"/>
    </row>
    <row r="329" spans="1:25" hidden="1" x14ac:dyDescent="0.25">
      <c r="A329" s="6">
        <v>5.2629999999999999</v>
      </c>
      <c r="B329" s="2">
        <v>2.3434417000000001</v>
      </c>
      <c r="C329" s="2">
        <v>0.75428340000000005</v>
      </c>
      <c r="D329" s="2">
        <v>0.82403479999999996</v>
      </c>
      <c r="E329" s="12"/>
      <c r="F329" s="2"/>
      <c r="G329" s="13"/>
      <c r="H329" s="18"/>
      <c r="I329" s="8"/>
      <c r="J329" s="17"/>
      <c r="K329" s="12"/>
      <c r="L329" s="2"/>
      <c r="M329" s="17"/>
      <c r="N329" s="12"/>
      <c r="O329" s="2"/>
      <c r="P329" s="17"/>
      <c r="Q329" s="12"/>
      <c r="R329" s="2"/>
      <c r="S329" s="17"/>
      <c r="T329" s="12"/>
      <c r="U329" s="2"/>
      <c r="V329" s="17"/>
      <c r="W329" s="12"/>
      <c r="X329" s="2"/>
      <c r="Y329" s="17"/>
    </row>
    <row r="330" spans="1:25" hidden="1" x14ac:dyDescent="0.25">
      <c r="A330" s="6">
        <v>5.4</v>
      </c>
      <c r="B330" s="2">
        <v>2.3410852000000002</v>
      </c>
      <c r="C330" s="2">
        <v>0.72547569999999995</v>
      </c>
      <c r="D330" s="2">
        <v>0.83167709999999995</v>
      </c>
      <c r="E330" s="12"/>
      <c r="F330" s="2"/>
      <c r="G330" s="13"/>
      <c r="H330" s="18"/>
      <c r="I330" s="8"/>
      <c r="J330" s="17"/>
      <c r="K330" s="12"/>
      <c r="L330" s="2"/>
      <c r="M330" s="17"/>
      <c r="N330" s="12"/>
      <c r="O330" s="2"/>
      <c r="P330" s="17"/>
      <c r="Q330" s="12"/>
      <c r="R330" s="2"/>
      <c r="S330" s="17"/>
      <c r="T330" s="12"/>
      <c r="U330" s="2"/>
      <c r="V330" s="17"/>
      <c r="W330" s="12"/>
      <c r="X330" s="2"/>
      <c r="Y330" s="17"/>
    </row>
    <row r="331" spans="1:25" hidden="1" x14ac:dyDescent="0.25">
      <c r="A331" s="6">
        <v>5.556</v>
      </c>
      <c r="B331" s="2">
        <v>2.3600449999999999</v>
      </c>
      <c r="C331" s="2">
        <v>0.6834131</v>
      </c>
      <c r="D331" s="2">
        <v>0.84994919999999996</v>
      </c>
      <c r="E331" s="12"/>
      <c r="F331" s="2"/>
      <c r="G331" s="13"/>
      <c r="H331" s="18"/>
      <c r="I331" s="8"/>
      <c r="J331" s="17"/>
      <c r="K331" s="12"/>
      <c r="L331" s="2"/>
      <c r="M331" s="17"/>
      <c r="N331" s="12"/>
      <c r="O331" s="2"/>
      <c r="P331" s="17"/>
      <c r="Q331" s="12"/>
      <c r="R331" s="2"/>
      <c r="S331" s="17"/>
      <c r="T331" s="12"/>
      <c r="U331" s="2"/>
      <c r="V331" s="17"/>
      <c r="W331" s="12"/>
      <c r="X331" s="2"/>
      <c r="Y331" s="17"/>
    </row>
    <row r="332" spans="1:25" hidden="1" x14ac:dyDescent="0.25">
      <c r="A332" s="6">
        <v>5.7140000000000004</v>
      </c>
      <c r="B332" s="2">
        <v>2.4033717999999999</v>
      </c>
      <c r="C332" s="2">
        <v>0.62919099999999994</v>
      </c>
      <c r="D332" s="2">
        <v>0.87644690000000003</v>
      </c>
      <c r="E332" s="12"/>
      <c r="F332" s="2"/>
      <c r="G332" s="13"/>
      <c r="H332" s="18"/>
      <c r="I332" s="8"/>
      <c r="J332" s="17"/>
      <c r="K332" s="12"/>
      <c r="L332" s="2"/>
      <c r="M332" s="17"/>
      <c r="N332" s="12"/>
      <c r="O332" s="2"/>
      <c r="P332" s="17"/>
      <c r="Q332" s="12"/>
      <c r="R332" s="2"/>
      <c r="S332" s="17"/>
      <c r="T332" s="12"/>
      <c r="U332" s="2"/>
      <c r="V332" s="17"/>
      <c r="W332" s="12"/>
      <c r="X332" s="2"/>
      <c r="Y332" s="17"/>
    </row>
    <row r="333" spans="1:25" hidden="1" x14ac:dyDescent="0.25">
      <c r="A333" s="6">
        <v>5.7469999999999999</v>
      </c>
      <c r="B333" s="2">
        <v>2.4137301</v>
      </c>
      <c r="C333" s="2">
        <v>0.61813370000000001</v>
      </c>
      <c r="D333" s="2">
        <v>0.88242129999999996</v>
      </c>
      <c r="E333" s="12"/>
      <c r="F333" s="2"/>
      <c r="G333" s="13"/>
      <c r="H333" s="18"/>
      <c r="I333" s="8"/>
      <c r="J333" s="17"/>
      <c r="K333" s="12"/>
      <c r="L333" s="2"/>
      <c r="M333" s="17"/>
      <c r="N333" s="12"/>
      <c r="O333" s="2"/>
      <c r="P333" s="17"/>
      <c r="Q333" s="12"/>
      <c r="R333" s="2"/>
      <c r="S333" s="17"/>
      <c r="T333" s="12"/>
      <c r="U333" s="2"/>
      <c r="V333" s="17"/>
      <c r="W333" s="12"/>
      <c r="X333" s="2"/>
      <c r="Y333" s="17"/>
    </row>
    <row r="334" spans="1:25" hidden="1" x14ac:dyDescent="0.25">
      <c r="A334" s="6">
        <v>5.78</v>
      </c>
      <c r="B334" s="2">
        <v>2.4229994000000001</v>
      </c>
      <c r="C334" s="2">
        <v>0.60578200000000004</v>
      </c>
      <c r="D334" s="2">
        <v>0.88873740000000001</v>
      </c>
      <c r="E334" s="12"/>
      <c r="F334" s="2"/>
      <c r="G334" s="13"/>
      <c r="H334" s="18"/>
      <c r="I334" s="8"/>
      <c r="J334" s="17"/>
      <c r="K334" s="12"/>
      <c r="L334" s="2"/>
      <c r="M334" s="17"/>
      <c r="N334" s="12"/>
      <c r="O334" s="2"/>
      <c r="P334" s="17"/>
      <c r="Q334" s="12"/>
      <c r="R334" s="2"/>
      <c r="S334" s="17"/>
      <c r="T334" s="12"/>
      <c r="U334" s="2"/>
      <c r="V334" s="17"/>
      <c r="W334" s="12"/>
      <c r="X334" s="2"/>
      <c r="Y334" s="17"/>
    </row>
    <row r="335" spans="1:25" hidden="1" x14ac:dyDescent="0.25">
      <c r="A335" s="6">
        <v>5.8140000000000001</v>
      </c>
      <c r="B335" s="2">
        <v>2.4302353999999999</v>
      </c>
      <c r="C335" s="2">
        <v>0.59331860000000003</v>
      </c>
      <c r="D335" s="2">
        <v>0.89477689999999999</v>
      </c>
      <c r="E335" s="12"/>
      <c r="F335" s="2"/>
      <c r="G335" s="13"/>
      <c r="H335" s="18"/>
      <c r="I335" s="8"/>
      <c r="J335" s="17"/>
      <c r="K335" s="12"/>
      <c r="L335" s="2"/>
      <c r="M335" s="17"/>
      <c r="N335" s="12"/>
      <c r="O335" s="2"/>
      <c r="P335" s="17"/>
      <c r="Q335" s="12"/>
      <c r="R335" s="2"/>
      <c r="S335" s="17"/>
      <c r="T335" s="12"/>
      <c r="U335" s="2"/>
      <c r="V335" s="17"/>
      <c r="W335" s="12"/>
      <c r="X335" s="2"/>
      <c r="Y335" s="17"/>
    </row>
    <row r="336" spans="1:25" hidden="1" x14ac:dyDescent="0.25">
      <c r="A336" s="6">
        <v>5.8479999999999999</v>
      </c>
      <c r="B336" s="2">
        <v>2.4352356999999998</v>
      </c>
      <c r="C336" s="2">
        <v>0.58273770000000003</v>
      </c>
      <c r="D336" s="2">
        <v>0.89972540000000001</v>
      </c>
      <c r="E336" s="12"/>
      <c r="F336" s="2"/>
      <c r="G336" s="13"/>
      <c r="H336" s="18"/>
      <c r="I336" s="8"/>
      <c r="J336" s="17"/>
      <c r="K336" s="12"/>
      <c r="L336" s="2"/>
      <c r="M336" s="17"/>
      <c r="N336" s="12"/>
      <c r="O336" s="2"/>
      <c r="P336" s="17"/>
      <c r="Q336" s="12"/>
      <c r="R336" s="2"/>
      <c r="S336" s="17"/>
      <c r="T336" s="12"/>
      <c r="U336" s="2"/>
      <c r="V336" s="17"/>
      <c r="W336" s="12"/>
      <c r="X336" s="2"/>
      <c r="Y336" s="17"/>
    </row>
    <row r="337" spans="1:25" hidden="1" x14ac:dyDescent="0.25">
      <c r="A337" s="6">
        <v>5.8819999999999997</v>
      </c>
      <c r="B337" s="2">
        <v>2.4376376</v>
      </c>
      <c r="C337" s="2">
        <v>0.57228760000000001</v>
      </c>
      <c r="D337" s="2">
        <v>0.90415979999999996</v>
      </c>
      <c r="E337" s="12"/>
      <c r="F337" s="2"/>
      <c r="G337" s="13"/>
      <c r="H337" s="18"/>
      <c r="I337" s="8"/>
      <c r="J337" s="17"/>
      <c r="K337" s="12"/>
      <c r="L337" s="2"/>
      <c r="M337" s="17"/>
      <c r="N337" s="12"/>
      <c r="O337" s="2"/>
      <c r="P337" s="17"/>
      <c r="Q337" s="12"/>
      <c r="R337" s="2"/>
      <c r="S337" s="17"/>
      <c r="T337" s="12"/>
      <c r="U337" s="2"/>
      <c r="V337" s="17"/>
      <c r="W337" s="12"/>
      <c r="X337" s="2"/>
      <c r="Y337" s="17"/>
    </row>
    <row r="338" spans="1:25" hidden="1" x14ac:dyDescent="0.25">
      <c r="A338" s="6">
        <v>6.0609999999999999</v>
      </c>
      <c r="B338" s="2">
        <v>2.4395380000000002</v>
      </c>
      <c r="C338" s="2">
        <v>0.54464449999999998</v>
      </c>
      <c r="D338" s="2">
        <v>0.91363369999999999</v>
      </c>
      <c r="E338" s="12"/>
      <c r="F338" s="2"/>
      <c r="G338" s="13"/>
      <c r="H338" s="18"/>
      <c r="I338" s="8"/>
      <c r="J338" s="17"/>
      <c r="K338" s="12"/>
      <c r="L338" s="2"/>
      <c r="M338" s="17"/>
      <c r="N338" s="12"/>
      <c r="O338" s="2"/>
      <c r="P338" s="17"/>
      <c r="Q338" s="12"/>
      <c r="R338" s="2"/>
      <c r="S338" s="17"/>
      <c r="T338" s="12"/>
      <c r="U338" s="2"/>
      <c r="V338" s="17"/>
      <c r="W338" s="12"/>
      <c r="X338" s="2"/>
      <c r="Y338" s="17"/>
    </row>
    <row r="339" spans="1:25" hidden="1" x14ac:dyDescent="0.25">
      <c r="A339" s="6">
        <v>6.1349999999999998</v>
      </c>
      <c r="B339" s="2">
        <v>2.4381769000000002</v>
      </c>
      <c r="C339" s="2">
        <v>0.54201560000000004</v>
      </c>
      <c r="D339" s="2">
        <v>0.91194109999999995</v>
      </c>
      <c r="E339" s="12"/>
      <c r="F339" s="2"/>
      <c r="G339" s="13"/>
      <c r="H339" s="18"/>
      <c r="I339" s="8"/>
      <c r="J339" s="17"/>
      <c r="K339" s="12"/>
      <c r="L339" s="2"/>
      <c r="M339" s="17"/>
      <c r="N339" s="12"/>
      <c r="O339" s="2"/>
      <c r="P339" s="17"/>
      <c r="Q339" s="12"/>
      <c r="R339" s="2"/>
      <c r="S339" s="17"/>
      <c r="T339" s="12"/>
      <c r="U339" s="2"/>
      <c r="V339" s="17"/>
      <c r="W339" s="12"/>
      <c r="X339" s="2"/>
      <c r="Y339" s="17"/>
    </row>
    <row r="340" spans="1:25" hidden="1" x14ac:dyDescent="0.25">
      <c r="A340" s="6">
        <v>6.25</v>
      </c>
      <c r="B340" s="2">
        <v>2.4424337999999999</v>
      </c>
      <c r="C340" s="2">
        <v>0.54601690000000003</v>
      </c>
      <c r="D340" s="2">
        <v>0.90676809999999997</v>
      </c>
      <c r="E340" s="12"/>
      <c r="F340" s="2"/>
      <c r="G340" s="13"/>
      <c r="H340" s="18"/>
      <c r="I340" s="8"/>
      <c r="J340" s="17"/>
      <c r="K340" s="12"/>
      <c r="L340" s="2"/>
      <c r="M340" s="17"/>
      <c r="N340" s="12"/>
      <c r="O340" s="2"/>
      <c r="P340" s="17"/>
      <c r="Q340" s="12"/>
      <c r="R340" s="2"/>
      <c r="S340" s="17"/>
      <c r="T340" s="12"/>
      <c r="U340" s="2"/>
      <c r="V340" s="17"/>
      <c r="W340" s="12"/>
      <c r="X340" s="2"/>
      <c r="Y340" s="17"/>
    </row>
    <row r="341" spans="1:25" hidden="1" x14ac:dyDescent="0.25">
      <c r="A341" s="6">
        <v>6.2889999999999997</v>
      </c>
      <c r="B341" s="2">
        <v>2.4449505999999999</v>
      </c>
      <c r="C341" s="2">
        <v>0.54830570000000001</v>
      </c>
      <c r="D341" s="2">
        <v>0.90493299999999999</v>
      </c>
      <c r="E341" s="12"/>
      <c r="F341" s="2"/>
      <c r="G341" s="13"/>
      <c r="H341" s="18"/>
      <c r="I341" s="8"/>
      <c r="J341" s="17"/>
      <c r="K341" s="12"/>
      <c r="L341" s="2"/>
      <c r="M341" s="17"/>
      <c r="N341" s="12"/>
      <c r="O341" s="2"/>
      <c r="P341" s="17"/>
      <c r="Q341" s="12"/>
      <c r="R341" s="2"/>
      <c r="S341" s="17"/>
      <c r="T341" s="12"/>
      <c r="U341" s="2"/>
      <c r="V341" s="17"/>
      <c r="W341" s="12"/>
      <c r="X341" s="2"/>
      <c r="Y341" s="17"/>
    </row>
    <row r="342" spans="1:25" hidden="1" x14ac:dyDescent="0.25">
      <c r="A342" s="6">
        <v>6.3289999999999997</v>
      </c>
      <c r="B342" s="2">
        <v>2.4480879</v>
      </c>
      <c r="C342" s="2">
        <v>0.55089370000000004</v>
      </c>
      <c r="D342" s="2">
        <v>0.90318010000000004</v>
      </c>
      <c r="E342" s="12"/>
      <c r="F342" s="2"/>
      <c r="G342" s="13"/>
      <c r="H342" s="18"/>
      <c r="I342" s="8"/>
      <c r="J342" s="17"/>
      <c r="K342" s="12"/>
      <c r="L342" s="2"/>
      <c r="M342" s="17"/>
      <c r="N342" s="12"/>
      <c r="O342" s="2"/>
      <c r="P342" s="17"/>
      <c r="Q342" s="12"/>
      <c r="R342" s="2"/>
      <c r="S342" s="17"/>
      <c r="T342" s="12"/>
      <c r="U342" s="2"/>
      <c r="V342" s="17"/>
      <c r="W342" s="12"/>
      <c r="X342" s="2"/>
      <c r="Y342" s="17"/>
    </row>
    <row r="343" spans="1:25" hidden="1" x14ac:dyDescent="0.25">
      <c r="A343" s="6">
        <v>6.3689999999999998</v>
      </c>
      <c r="B343" s="2">
        <v>2.4514526999999999</v>
      </c>
      <c r="C343" s="2">
        <v>0.55317110000000003</v>
      </c>
      <c r="D343" s="2">
        <v>0.90175000000000005</v>
      </c>
      <c r="E343" s="12"/>
      <c r="F343" s="2"/>
      <c r="G343" s="13"/>
      <c r="H343" s="18"/>
      <c r="I343" s="8"/>
      <c r="J343" s="17"/>
      <c r="K343" s="12"/>
      <c r="L343" s="2"/>
      <c r="M343" s="17"/>
      <c r="N343" s="12"/>
      <c r="O343" s="2"/>
      <c r="P343" s="17"/>
      <c r="Q343" s="12"/>
      <c r="R343" s="2"/>
      <c r="S343" s="17"/>
      <c r="T343" s="12"/>
      <c r="U343" s="2"/>
      <c r="V343" s="17"/>
      <c r="W343" s="12"/>
      <c r="X343" s="2"/>
      <c r="Y343" s="17"/>
    </row>
    <row r="344" spans="1:25" hidden="1" x14ac:dyDescent="0.25">
      <c r="A344" s="6">
        <v>6.41</v>
      </c>
      <c r="B344" s="2">
        <v>2.4552974999999999</v>
      </c>
      <c r="C344" s="2">
        <v>0.555674</v>
      </c>
      <c r="D344" s="2">
        <v>0.90036510000000003</v>
      </c>
      <c r="E344" s="12"/>
      <c r="F344" s="2"/>
      <c r="G344" s="13"/>
      <c r="H344" s="18"/>
      <c r="I344" s="8"/>
      <c r="J344" s="17"/>
      <c r="K344" s="12"/>
      <c r="L344" s="2"/>
      <c r="M344" s="17"/>
      <c r="N344" s="12"/>
      <c r="O344" s="2"/>
      <c r="P344" s="17"/>
      <c r="Q344" s="12"/>
      <c r="R344" s="2"/>
      <c r="S344" s="17"/>
      <c r="T344" s="12"/>
      <c r="U344" s="2"/>
      <c r="V344" s="17"/>
      <c r="W344" s="12"/>
      <c r="X344" s="2"/>
      <c r="Y344" s="17"/>
    </row>
    <row r="345" spans="1:25" hidden="1" x14ac:dyDescent="0.25">
      <c r="A345" s="6">
        <v>6.452</v>
      </c>
      <c r="B345" s="2">
        <v>2.4594008999999999</v>
      </c>
      <c r="C345" s="2">
        <v>0.55823250000000002</v>
      </c>
      <c r="D345" s="2">
        <v>0.89900769999999997</v>
      </c>
      <c r="E345" s="12"/>
      <c r="F345" s="2"/>
      <c r="G345" s="13"/>
      <c r="H345" s="18"/>
      <c r="I345" s="8"/>
      <c r="J345" s="17"/>
      <c r="K345" s="12"/>
      <c r="L345" s="2"/>
      <c r="M345" s="17"/>
      <c r="N345" s="12"/>
      <c r="O345" s="2"/>
      <c r="P345" s="17"/>
      <c r="Q345" s="12"/>
      <c r="R345" s="2"/>
      <c r="S345" s="17"/>
      <c r="T345" s="12"/>
      <c r="U345" s="2"/>
      <c r="V345" s="17"/>
      <c r="W345" s="12"/>
      <c r="X345" s="2"/>
      <c r="Y345" s="17"/>
    </row>
    <row r="346" spans="1:25" hidden="1" x14ac:dyDescent="0.25">
      <c r="A346" s="6">
        <v>6.4939999999999998</v>
      </c>
      <c r="B346" s="2">
        <v>2.4638960000000001</v>
      </c>
      <c r="C346" s="2">
        <v>0.56086780000000003</v>
      </c>
      <c r="D346" s="2">
        <v>0.89770939999999999</v>
      </c>
      <c r="E346" s="12"/>
      <c r="F346" s="2"/>
      <c r="G346" s="13"/>
      <c r="H346" s="18"/>
      <c r="I346" s="8"/>
      <c r="J346" s="17"/>
      <c r="K346" s="12"/>
      <c r="L346" s="2"/>
      <c r="M346" s="17"/>
      <c r="N346" s="12"/>
      <c r="O346" s="2"/>
      <c r="P346" s="17"/>
      <c r="Q346" s="12"/>
      <c r="R346" s="2"/>
      <c r="S346" s="17"/>
      <c r="T346" s="12"/>
      <c r="U346" s="2"/>
      <c r="V346" s="17"/>
      <c r="W346" s="12"/>
      <c r="X346" s="2"/>
      <c r="Y346" s="17"/>
    </row>
    <row r="347" spans="1:25" hidden="1" x14ac:dyDescent="0.25">
      <c r="A347" s="6">
        <v>6.5789999999999997</v>
      </c>
      <c r="B347" s="2">
        <v>2.474828</v>
      </c>
      <c r="C347" s="2">
        <v>0.566326</v>
      </c>
      <c r="D347" s="2">
        <v>0.89538090000000004</v>
      </c>
      <c r="E347" s="12"/>
      <c r="F347" s="2"/>
      <c r="G347" s="13"/>
      <c r="H347" s="18"/>
      <c r="I347" s="8"/>
      <c r="J347" s="17"/>
      <c r="K347" s="12"/>
      <c r="L347" s="2"/>
      <c r="M347" s="17"/>
      <c r="N347" s="12"/>
      <c r="O347" s="2"/>
      <c r="P347" s="17"/>
      <c r="Q347" s="12"/>
      <c r="R347" s="2"/>
      <c r="S347" s="17"/>
      <c r="T347" s="12"/>
      <c r="U347" s="2"/>
      <c r="V347" s="17"/>
      <c r="W347" s="12"/>
      <c r="X347" s="2"/>
      <c r="Y347" s="17"/>
    </row>
    <row r="348" spans="1:25" hidden="1" x14ac:dyDescent="0.25">
      <c r="A348" s="6">
        <v>6.6669999999999998</v>
      </c>
      <c r="B348" s="2">
        <v>2.4874263000000001</v>
      </c>
      <c r="C348" s="2">
        <v>0.57113250000000004</v>
      </c>
      <c r="D348" s="2">
        <v>0.89341839999999995</v>
      </c>
      <c r="E348" s="12"/>
      <c r="F348" s="2"/>
      <c r="G348" s="13"/>
      <c r="H348" s="18"/>
      <c r="I348" s="8"/>
      <c r="J348" s="17"/>
      <c r="K348" s="12"/>
      <c r="L348" s="2"/>
      <c r="M348" s="17"/>
      <c r="N348" s="12"/>
      <c r="O348" s="2"/>
      <c r="P348" s="17"/>
      <c r="Q348" s="12"/>
      <c r="R348" s="2"/>
      <c r="S348" s="17"/>
      <c r="T348" s="12"/>
      <c r="U348" s="2"/>
      <c r="V348" s="17"/>
      <c r="W348" s="12"/>
      <c r="X348" s="2"/>
      <c r="Y348" s="17"/>
    </row>
    <row r="349" spans="1:25" hidden="1" x14ac:dyDescent="0.25">
      <c r="A349" s="6">
        <v>6.7569999999999997</v>
      </c>
      <c r="B349" s="2">
        <v>2.4983487000000002</v>
      </c>
      <c r="C349" s="2">
        <v>0.57427609999999996</v>
      </c>
      <c r="D349" s="2">
        <v>0.89175570000000004</v>
      </c>
      <c r="E349" s="12"/>
      <c r="F349" s="2"/>
      <c r="G349" s="13"/>
      <c r="H349" s="18"/>
      <c r="I349" s="8"/>
      <c r="J349" s="17"/>
      <c r="K349" s="12"/>
      <c r="L349" s="2"/>
      <c r="M349" s="17"/>
      <c r="N349" s="12"/>
      <c r="O349" s="2"/>
      <c r="P349" s="17"/>
      <c r="Q349" s="12"/>
      <c r="R349" s="2"/>
      <c r="S349" s="17"/>
      <c r="T349" s="12"/>
      <c r="U349" s="2"/>
      <c r="V349" s="17"/>
      <c r="W349" s="12"/>
      <c r="X349" s="2"/>
      <c r="Y349" s="17"/>
    </row>
    <row r="350" spans="1:25" hidden="1" x14ac:dyDescent="0.25">
      <c r="A350" s="6">
        <v>6.8970000000000002</v>
      </c>
      <c r="B350" s="2">
        <v>2.5131120999999998</v>
      </c>
      <c r="C350" s="2">
        <v>0.58539580000000002</v>
      </c>
      <c r="D350" s="2">
        <v>0.88661540000000005</v>
      </c>
      <c r="E350" s="12"/>
      <c r="F350" s="2"/>
      <c r="G350" s="13"/>
      <c r="H350" s="18"/>
      <c r="I350" s="8"/>
      <c r="J350" s="17"/>
      <c r="K350" s="12"/>
      <c r="L350" s="2"/>
      <c r="M350" s="17"/>
      <c r="N350" s="12"/>
      <c r="O350" s="2"/>
      <c r="P350" s="17"/>
      <c r="Q350" s="12"/>
      <c r="R350" s="2"/>
      <c r="S350" s="17"/>
      <c r="T350" s="12"/>
      <c r="U350" s="2"/>
      <c r="V350" s="17"/>
      <c r="W350" s="12"/>
      <c r="X350" s="2"/>
      <c r="Y350" s="17"/>
    </row>
    <row r="351" spans="1:25" hidden="1" x14ac:dyDescent="0.25">
      <c r="A351" s="6">
        <v>7.0419999999999998</v>
      </c>
      <c r="B351" s="2">
        <v>2.5340166000000002</v>
      </c>
      <c r="C351" s="2">
        <v>0.59983500000000001</v>
      </c>
      <c r="D351" s="2">
        <v>0.88294779999999995</v>
      </c>
      <c r="E351" s="12"/>
      <c r="F351" s="2"/>
      <c r="G351" s="13"/>
      <c r="H351" s="18"/>
      <c r="I351" s="8"/>
      <c r="J351" s="17"/>
      <c r="K351" s="12"/>
      <c r="L351" s="2"/>
      <c r="M351" s="17"/>
      <c r="N351" s="12"/>
      <c r="O351" s="2"/>
      <c r="P351" s="17"/>
      <c r="Q351" s="12"/>
      <c r="R351" s="2"/>
      <c r="S351" s="17"/>
      <c r="T351" s="12"/>
      <c r="U351" s="2"/>
      <c r="V351" s="17"/>
      <c r="W351" s="12"/>
      <c r="X351" s="2"/>
      <c r="Y351" s="17"/>
    </row>
    <row r="352" spans="1:25" hidden="1" x14ac:dyDescent="0.25">
      <c r="A352" s="6">
        <v>7.1429999999999998</v>
      </c>
      <c r="B352" s="2">
        <v>2.5610940000000002</v>
      </c>
      <c r="C352" s="2">
        <v>0.61201439999999996</v>
      </c>
      <c r="D352" s="2">
        <v>0.88113839999999999</v>
      </c>
      <c r="E352" s="12"/>
      <c r="F352" s="2"/>
      <c r="G352" s="13"/>
      <c r="H352" s="18"/>
      <c r="I352" s="8"/>
      <c r="J352" s="17"/>
      <c r="K352" s="12"/>
      <c r="L352" s="2"/>
      <c r="M352" s="17"/>
      <c r="N352" s="12"/>
      <c r="O352" s="2"/>
      <c r="P352" s="17"/>
      <c r="Q352" s="12"/>
      <c r="R352" s="2"/>
      <c r="S352" s="17"/>
      <c r="T352" s="12"/>
      <c r="U352" s="2"/>
      <c r="V352" s="17"/>
      <c r="W352" s="12"/>
      <c r="X352" s="2"/>
      <c r="Y352" s="17"/>
    </row>
    <row r="353" spans="1:25" hidden="1" x14ac:dyDescent="0.25">
      <c r="A353" s="6">
        <v>7.2460000000000004</v>
      </c>
      <c r="B353" s="2">
        <v>2.5914378</v>
      </c>
      <c r="C353" s="2">
        <v>0.61984189999999995</v>
      </c>
      <c r="D353" s="2">
        <v>0.88041720000000001</v>
      </c>
      <c r="E353" s="12"/>
      <c r="F353" s="2"/>
      <c r="G353" s="13"/>
      <c r="H353" s="18"/>
      <c r="I353" s="8"/>
      <c r="J353" s="17"/>
      <c r="K353" s="12"/>
      <c r="L353" s="2"/>
      <c r="M353" s="17"/>
      <c r="N353" s="12"/>
      <c r="O353" s="2"/>
      <c r="P353" s="17"/>
      <c r="Q353" s="12"/>
      <c r="R353" s="2"/>
      <c r="S353" s="17"/>
      <c r="T353" s="12"/>
      <c r="U353" s="2"/>
      <c r="V353" s="17"/>
      <c r="W353" s="12"/>
      <c r="X353" s="2"/>
      <c r="Y353" s="17"/>
    </row>
    <row r="354" spans="1:25" hidden="1" x14ac:dyDescent="0.25">
      <c r="A354" s="6">
        <v>7.3529999999999998</v>
      </c>
      <c r="B354" s="2">
        <v>2.6203303</v>
      </c>
      <c r="C354" s="2">
        <v>0.63266869999999997</v>
      </c>
      <c r="D354" s="2">
        <v>0.87719639999999999</v>
      </c>
      <c r="E354" s="12"/>
      <c r="F354" s="2"/>
      <c r="G354" s="13"/>
      <c r="H354" s="18"/>
      <c r="I354" s="8"/>
      <c r="J354" s="17"/>
      <c r="K354" s="12"/>
      <c r="L354" s="2"/>
      <c r="M354" s="17"/>
      <c r="N354" s="12"/>
      <c r="O354" s="2"/>
      <c r="P354" s="17"/>
      <c r="Q354" s="12"/>
      <c r="R354" s="2"/>
      <c r="S354" s="17"/>
      <c r="T354" s="12"/>
      <c r="U354" s="2"/>
      <c r="V354" s="17"/>
      <c r="W354" s="12"/>
      <c r="X354" s="2"/>
      <c r="Y354" s="17"/>
    </row>
    <row r="355" spans="1:25" hidden="1" x14ac:dyDescent="0.25">
      <c r="A355" s="6">
        <v>7.4630000000000001</v>
      </c>
      <c r="B355" s="2">
        <v>2.6406421999999998</v>
      </c>
      <c r="C355" s="2">
        <v>0.64460150000000005</v>
      </c>
      <c r="D355" s="2">
        <v>0.8752238</v>
      </c>
      <c r="E355" s="12"/>
      <c r="F355" s="2"/>
      <c r="G355" s="13"/>
      <c r="H355" s="18"/>
      <c r="I355" s="8"/>
      <c r="J355" s="17"/>
      <c r="K355" s="12"/>
      <c r="L355" s="2"/>
      <c r="M355" s="17"/>
      <c r="N355" s="12"/>
      <c r="O355" s="2"/>
      <c r="P355" s="17"/>
      <c r="Q355" s="12"/>
      <c r="R355" s="2"/>
      <c r="S355" s="17"/>
      <c r="T355" s="12"/>
      <c r="U355" s="2"/>
      <c r="V355" s="17"/>
      <c r="W355" s="12"/>
      <c r="X355" s="2"/>
      <c r="Y355" s="17"/>
    </row>
    <row r="356" spans="1:25" hidden="1" x14ac:dyDescent="0.25">
      <c r="A356" s="6">
        <v>7.5759999999999996</v>
      </c>
      <c r="B356" s="2">
        <v>2.6626829999999999</v>
      </c>
      <c r="C356" s="2">
        <v>0.65774379999999999</v>
      </c>
      <c r="D356" s="2">
        <v>0.87443119999999996</v>
      </c>
      <c r="E356" s="12"/>
      <c r="F356" s="2"/>
      <c r="G356" s="13"/>
      <c r="H356" s="18"/>
      <c r="I356" s="8"/>
      <c r="J356" s="17"/>
      <c r="K356" s="12"/>
      <c r="L356" s="2"/>
      <c r="M356" s="17"/>
      <c r="N356" s="12"/>
      <c r="O356" s="2"/>
      <c r="P356" s="17"/>
      <c r="Q356" s="12"/>
      <c r="R356" s="2"/>
      <c r="S356" s="17"/>
      <c r="T356" s="12"/>
      <c r="U356" s="2"/>
      <c r="V356" s="17"/>
      <c r="W356" s="12"/>
      <c r="X356" s="2"/>
      <c r="Y356" s="17"/>
    </row>
    <row r="357" spans="1:25" hidden="1" x14ac:dyDescent="0.25">
      <c r="A357" s="6">
        <v>7.6920000000000002</v>
      </c>
      <c r="B357" s="2">
        <v>2.7052953</v>
      </c>
      <c r="C357" s="2">
        <v>0.67602839999999997</v>
      </c>
      <c r="D357" s="2">
        <v>0.8741641</v>
      </c>
      <c r="E357" s="12"/>
      <c r="F357" s="2"/>
      <c r="G357" s="13"/>
      <c r="H357" s="18"/>
      <c r="I357" s="8"/>
      <c r="J357" s="17"/>
      <c r="K357" s="12"/>
      <c r="L357" s="2"/>
      <c r="M357" s="17"/>
      <c r="N357" s="12"/>
      <c r="O357" s="2"/>
      <c r="P357" s="17"/>
      <c r="Q357" s="12"/>
      <c r="R357" s="2"/>
      <c r="S357" s="17"/>
      <c r="T357" s="12"/>
      <c r="U357" s="2"/>
      <c r="V357" s="17"/>
      <c r="W357" s="12"/>
      <c r="X357" s="2"/>
      <c r="Y357" s="17"/>
    </row>
    <row r="358" spans="1:25" hidden="1" x14ac:dyDescent="0.25">
      <c r="A358" s="6">
        <v>7.8120000000000003</v>
      </c>
      <c r="B358" s="2">
        <v>2.7607491</v>
      </c>
      <c r="C358" s="2">
        <v>0.6893783</v>
      </c>
      <c r="D358" s="2">
        <v>0.87629310000000005</v>
      </c>
      <c r="E358" s="12"/>
      <c r="F358" s="2"/>
      <c r="G358" s="13"/>
      <c r="H358" s="18"/>
      <c r="I358" s="8"/>
      <c r="J358" s="17"/>
      <c r="K358" s="12"/>
      <c r="L358" s="2"/>
      <c r="M358" s="17"/>
      <c r="N358" s="12"/>
      <c r="O358" s="2"/>
      <c r="P358" s="17"/>
      <c r="Q358" s="12"/>
      <c r="R358" s="2"/>
      <c r="S358" s="17"/>
      <c r="T358" s="12"/>
      <c r="U358" s="2"/>
      <c r="V358" s="17"/>
      <c r="W358" s="12"/>
      <c r="X358" s="2"/>
      <c r="Y358" s="17"/>
    </row>
    <row r="359" spans="1:25" hidden="1" x14ac:dyDescent="0.25">
      <c r="A359" s="6">
        <v>7.9370000000000003</v>
      </c>
      <c r="B359" s="2">
        <v>2.8098996000000001</v>
      </c>
      <c r="C359" s="2">
        <v>0.70075670000000001</v>
      </c>
      <c r="D359" s="2">
        <v>0.87840090000000004</v>
      </c>
      <c r="E359" s="12"/>
      <c r="F359" s="2"/>
      <c r="G359" s="13"/>
      <c r="H359" s="18"/>
      <c r="I359" s="8"/>
      <c r="J359" s="17"/>
      <c r="K359" s="12"/>
      <c r="L359" s="2"/>
      <c r="M359" s="17"/>
      <c r="N359" s="12"/>
      <c r="O359" s="2"/>
      <c r="P359" s="17"/>
      <c r="Q359" s="12"/>
      <c r="R359" s="2"/>
      <c r="S359" s="17"/>
      <c r="T359" s="12"/>
      <c r="U359" s="2"/>
      <c r="V359" s="17"/>
      <c r="W359" s="12"/>
      <c r="X359" s="2"/>
      <c r="Y359" s="17"/>
    </row>
    <row r="360" spans="1:25" hidden="1" x14ac:dyDescent="0.25">
      <c r="A360" s="6">
        <v>8.0649999999999995</v>
      </c>
      <c r="B360" s="2">
        <v>2.8484128000000002</v>
      </c>
      <c r="C360" s="2">
        <v>0.71110399999999996</v>
      </c>
      <c r="D360" s="2">
        <v>0.8809131</v>
      </c>
      <c r="E360" s="12"/>
      <c r="F360" s="2"/>
      <c r="G360" s="13"/>
      <c r="H360" s="18"/>
      <c r="I360" s="8"/>
      <c r="J360" s="17"/>
      <c r="K360" s="12"/>
      <c r="L360" s="2"/>
      <c r="M360" s="17"/>
      <c r="N360" s="12"/>
      <c r="O360" s="2"/>
      <c r="P360" s="17"/>
      <c r="Q360" s="12"/>
      <c r="R360" s="2"/>
      <c r="S360" s="17"/>
      <c r="T360" s="12"/>
      <c r="U360" s="2"/>
      <c r="V360" s="17"/>
      <c r="W360" s="12"/>
      <c r="X360" s="2"/>
      <c r="Y360" s="17"/>
    </row>
    <row r="361" spans="1:25" hidden="1" x14ac:dyDescent="0.25">
      <c r="A361" s="6">
        <v>8.1969999999999992</v>
      </c>
      <c r="B361" s="2">
        <v>2.8862109</v>
      </c>
      <c r="C361" s="2">
        <v>0.72055689999999994</v>
      </c>
      <c r="D361" s="2">
        <v>0.8840652</v>
      </c>
      <c r="E361" s="12"/>
      <c r="F361" s="2"/>
      <c r="G361" s="13"/>
      <c r="H361" s="18"/>
      <c r="I361" s="8"/>
      <c r="J361" s="17"/>
      <c r="K361" s="12"/>
      <c r="L361" s="2"/>
      <c r="M361" s="17"/>
      <c r="N361" s="12"/>
      <c r="O361" s="2"/>
      <c r="P361" s="17"/>
      <c r="Q361" s="12"/>
      <c r="R361" s="2"/>
      <c r="S361" s="17"/>
      <c r="T361" s="12"/>
      <c r="U361" s="2"/>
      <c r="V361" s="17"/>
      <c r="W361" s="12"/>
      <c r="X361" s="2"/>
      <c r="Y361" s="17"/>
    </row>
    <row r="362" spans="1:25" hidden="1" x14ac:dyDescent="0.25">
      <c r="A362" s="6">
        <v>8.3330000000000002</v>
      </c>
      <c r="B362" s="2">
        <v>2.9272985</v>
      </c>
      <c r="C362" s="2">
        <v>0.72904740000000001</v>
      </c>
      <c r="D362" s="2">
        <v>0.88762099999999999</v>
      </c>
      <c r="E362" s="12"/>
      <c r="F362" s="2"/>
      <c r="G362" s="13"/>
      <c r="H362" s="18"/>
      <c r="I362" s="8"/>
      <c r="J362" s="17"/>
      <c r="K362" s="12"/>
      <c r="L362" s="2"/>
      <c r="M362" s="17"/>
      <c r="N362" s="12"/>
      <c r="O362" s="2"/>
      <c r="P362" s="17"/>
      <c r="Q362" s="12"/>
      <c r="R362" s="2"/>
      <c r="S362" s="17"/>
      <c r="T362" s="12"/>
      <c r="U362" s="2"/>
      <c r="V362" s="17"/>
      <c r="W362" s="12"/>
      <c r="X362" s="2"/>
      <c r="Y362" s="17"/>
    </row>
    <row r="363" spans="1:25" hidden="1" x14ac:dyDescent="0.25">
      <c r="A363" s="6">
        <v>8.4749999999999996</v>
      </c>
      <c r="B363" s="2">
        <v>2.9666131</v>
      </c>
      <c r="C363" s="2">
        <v>0.73702049999999997</v>
      </c>
      <c r="D363" s="2">
        <v>0.89121689999999998</v>
      </c>
      <c r="E363" s="12"/>
      <c r="F363" s="2"/>
      <c r="G363" s="13"/>
      <c r="H363" s="18"/>
      <c r="I363" s="8"/>
      <c r="J363" s="17"/>
      <c r="K363" s="12"/>
      <c r="L363" s="2"/>
      <c r="M363" s="17"/>
      <c r="N363" s="12"/>
      <c r="O363" s="2"/>
      <c r="P363" s="17"/>
      <c r="Q363" s="12"/>
      <c r="R363" s="2"/>
      <c r="S363" s="17"/>
      <c r="T363" s="12"/>
      <c r="U363" s="2"/>
      <c r="V363" s="17"/>
      <c r="W363" s="12"/>
      <c r="X363" s="2"/>
      <c r="Y363" s="17"/>
    </row>
    <row r="364" spans="1:25" hidden="1" x14ac:dyDescent="0.25">
      <c r="A364" s="6">
        <v>8.6959999999999997</v>
      </c>
      <c r="B364" s="2">
        <v>3.0115240000000001</v>
      </c>
      <c r="C364" s="2">
        <v>0.74773610000000001</v>
      </c>
      <c r="D364" s="2">
        <v>0.89689660000000004</v>
      </c>
      <c r="E364" s="12"/>
      <c r="F364" s="2"/>
      <c r="G364" s="13"/>
      <c r="H364" s="18"/>
      <c r="I364" s="8"/>
      <c r="J364" s="17"/>
      <c r="K364" s="12"/>
      <c r="L364" s="2"/>
      <c r="M364" s="17"/>
      <c r="N364" s="12"/>
      <c r="O364" s="2"/>
      <c r="P364" s="17"/>
      <c r="Q364" s="12"/>
      <c r="R364" s="2"/>
      <c r="S364" s="17"/>
      <c r="T364" s="12"/>
      <c r="U364" s="2"/>
      <c r="V364" s="17"/>
      <c r="W364" s="12"/>
      <c r="X364" s="2"/>
      <c r="Y364" s="17"/>
    </row>
    <row r="365" spans="1:25" hidden="1" x14ac:dyDescent="0.25">
      <c r="A365" s="6">
        <v>8.9290000000000003</v>
      </c>
      <c r="B365" s="2">
        <v>3.0333256999999998</v>
      </c>
      <c r="C365" s="2">
        <v>0.75566580000000005</v>
      </c>
      <c r="D365" s="2">
        <v>0.90315710000000005</v>
      </c>
      <c r="E365" s="12"/>
      <c r="F365" s="2"/>
      <c r="G365" s="13"/>
      <c r="H365" s="18"/>
      <c r="I365" s="8"/>
      <c r="J365" s="17"/>
      <c r="K365" s="12"/>
      <c r="L365" s="2"/>
      <c r="M365" s="17"/>
      <c r="N365" s="12"/>
      <c r="O365" s="2"/>
      <c r="P365" s="17"/>
      <c r="Q365" s="12"/>
      <c r="R365" s="2"/>
      <c r="S365" s="17"/>
      <c r="T365" s="12"/>
      <c r="U365" s="2"/>
      <c r="V365" s="17"/>
      <c r="W365" s="12"/>
      <c r="X365" s="2"/>
      <c r="Y365" s="17"/>
    </row>
    <row r="366" spans="1:25" hidden="1" x14ac:dyDescent="0.25">
      <c r="A366" s="6">
        <v>9.0909999999999993</v>
      </c>
      <c r="B366" s="2">
        <v>3.0265626999999999</v>
      </c>
      <c r="C366" s="2">
        <v>0.75818819999999998</v>
      </c>
      <c r="D366" s="2">
        <v>0.9076729</v>
      </c>
      <c r="E366" s="12"/>
      <c r="F366" s="2"/>
      <c r="G366" s="13"/>
      <c r="H366" s="18"/>
      <c r="I366" s="8"/>
      <c r="J366" s="17"/>
      <c r="K366" s="12"/>
      <c r="L366" s="2"/>
      <c r="M366" s="17"/>
      <c r="N366" s="12"/>
      <c r="O366" s="2"/>
      <c r="P366" s="17"/>
      <c r="Q366" s="12"/>
      <c r="R366" s="2"/>
      <c r="S366" s="17"/>
      <c r="T366" s="12"/>
      <c r="U366" s="2"/>
      <c r="V366" s="17"/>
      <c r="W366" s="12"/>
      <c r="X366" s="2"/>
      <c r="Y366" s="17"/>
    </row>
    <row r="367" spans="1:25" hidden="1" x14ac:dyDescent="0.25">
      <c r="A367" s="6">
        <v>9.2590000000000003</v>
      </c>
      <c r="B367" s="2">
        <v>2.9938977000000002</v>
      </c>
      <c r="C367" s="2">
        <v>0.75753919999999997</v>
      </c>
      <c r="D367" s="2">
        <v>0.91244829999999999</v>
      </c>
      <c r="E367" s="12"/>
      <c r="F367" s="2"/>
      <c r="G367" s="13"/>
      <c r="H367" s="18"/>
      <c r="I367" s="8"/>
      <c r="J367" s="17"/>
      <c r="K367" s="12"/>
      <c r="L367" s="2"/>
      <c r="M367" s="17"/>
      <c r="N367" s="12"/>
      <c r="O367" s="2"/>
      <c r="P367" s="17"/>
      <c r="Q367" s="12"/>
      <c r="R367" s="2"/>
      <c r="S367" s="17"/>
      <c r="T367" s="12"/>
      <c r="U367" s="2"/>
      <c r="V367" s="17"/>
      <c r="W367" s="12"/>
      <c r="X367" s="2"/>
      <c r="Y367" s="17"/>
    </row>
    <row r="368" spans="1:25" hidden="1" x14ac:dyDescent="0.25">
      <c r="A368" s="6">
        <v>9.5239999999999991</v>
      </c>
      <c r="B368" s="2">
        <v>2.8759481999999998</v>
      </c>
      <c r="C368" s="2">
        <v>0.74770029999999998</v>
      </c>
      <c r="D368" s="2">
        <v>0.91995300000000002</v>
      </c>
      <c r="E368" s="12"/>
      <c r="F368" s="2"/>
      <c r="G368" s="13"/>
      <c r="H368" s="18"/>
      <c r="I368" s="8"/>
      <c r="J368" s="17"/>
      <c r="K368" s="12"/>
      <c r="L368" s="2"/>
      <c r="M368" s="17"/>
      <c r="N368" s="12"/>
      <c r="O368" s="2"/>
      <c r="P368" s="17"/>
      <c r="Q368" s="12"/>
      <c r="R368" s="2"/>
      <c r="S368" s="17"/>
      <c r="T368" s="12"/>
      <c r="U368" s="2"/>
      <c r="V368" s="17"/>
      <c r="W368" s="12"/>
      <c r="X368" s="2"/>
      <c r="Y368" s="17"/>
    </row>
    <row r="369" spans="1:25" hidden="1" x14ac:dyDescent="0.25">
      <c r="A369" s="6">
        <v>9.8040000000000003</v>
      </c>
      <c r="B369" s="2">
        <v>2.6379659000000002</v>
      </c>
      <c r="C369" s="2">
        <v>0.72088779999999997</v>
      </c>
      <c r="D369" s="2">
        <v>0.92776700000000001</v>
      </c>
      <c r="E369" s="12"/>
      <c r="F369" s="2"/>
      <c r="G369" s="13"/>
      <c r="H369" s="18"/>
      <c r="I369" s="8"/>
      <c r="J369" s="17"/>
      <c r="K369" s="12"/>
      <c r="L369" s="2"/>
      <c r="M369" s="17"/>
      <c r="N369" s="12"/>
      <c r="O369" s="2"/>
      <c r="P369" s="17"/>
      <c r="Q369" s="12"/>
      <c r="R369" s="2"/>
      <c r="S369" s="17"/>
      <c r="T369" s="12"/>
      <c r="U369" s="2"/>
      <c r="V369" s="17"/>
      <c r="W369" s="12"/>
      <c r="X369" s="2"/>
      <c r="Y369" s="17"/>
    </row>
    <row r="370" spans="1:25" hidden="1" x14ac:dyDescent="0.25">
      <c r="A370" s="6">
        <v>10</v>
      </c>
      <c r="B370" s="2">
        <v>2.3689388999999998</v>
      </c>
      <c r="C370" s="2">
        <v>0.67977109999999996</v>
      </c>
      <c r="D370" s="2">
        <v>0.93343889999999996</v>
      </c>
      <c r="E370" s="12"/>
      <c r="F370" s="2"/>
      <c r="G370" s="13"/>
      <c r="H370" s="18"/>
      <c r="I370" s="8"/>
      <c r="J370" s="17"/>
      <c r="K370" s="12"/>
      <c r="L370" s="2"/>
      <c r="M370" s="17"/>
      <c r="N370" s="12"/>
      <c r="O370" s="2"/>
      <c r="P370" s="17"/>
      <c r="Q370" s="12"/>
      <c r="R370" s="2"/>
      <c r="S370" s="17"/>
      <c r="T370" s="12"/>
      <c r="U370" s="2"/>
      <c r="V370" s="17"/>
      <c r="W370" s="12"/>
      <c r="X370" s="2"/>
      <c r="Y370" s="17"/>
    </row>
    <row r="371" spans="1:25" hidden="1" x14ac:dyDescent="0.25">
      <c r="A371" s="6">
        <v>10.199999999999999</v>
      </c>
      <c r="B371" s="2">
        <v>2.0430405</v>
      </c>
      <c r="C371" s="2">
        <v>0.59282230000000002</v>
      </c>
      <c r="D371" s="2">
        <v>0.93847100000000006</v>
      </c>
      <c r="E371" s="12"/>
      <c r="F371" s="2"/>
      <c r="G371" s="13"/>
      <c r="H371" s="18"/>
      <c r="I371" s="8"/>
      <c r="J371" s="17"/>
      <c r="K371" s="12"/>
      <c r="L371" s="2"/>
      <c r="M371" s="17"/>
      <c r="N371" s="12"/>
      <c r="O371" s="2"/>
      <c r="P371" s="17"/>
      <c r="Q371" s="12"/>
      <c r="R371" s="2"/>
      <c r="S371" s="17"/>
      <c r="T371" s="12"/>
      <c r="U371" s="2"/>
      <c r="V371" s="17"/>
      <c r="W371" s="12"/>
      <c r="X371" s="2"/>
      <c r="Y371" s="17"/>
    </row>
    <row r="372" spans="1:25" hidden="1" x14ac:dyDescent="0.25">
      <c r="A372" s="6">
        <v>10.31</v>
      </c>
      <c r="B372" s="2">
        <v>1.8839467000000001</v>
      </c>
      <c r="C372" s="2">
        <v>0.5370954</v>
      </c>
      <c r="D372" s="2">
        <v>0.94020619999999999</v>
      </c>
      <c r="E372" s="12"/>
      <c r="F372" s="2"/>
      <c r="G372" s="13"/>
      <c r="H372" s="18"/>
      <c r="I372" s="8"/>
      <c r="J372" s="17"/>
      <c r="K372" s="12"/>
      <c r="L372" s="2"/>
      <c r="M372" s="17"/>
      <c r="N372" s="12"/>
      <c r="O372" s="2"/>
      <c r="P372" s="17"/>
      <c r="Q372" s="12"/>
      <c r="R372" s="2"/>
      <c r="S372" s="17"/>
      <c r="T372" s="12"/>
      <c r="U372" s="2"/>
      <c r="V372" s="17"/>
      <c r="W372" s="12"/>
      <c r="X372" s="2"/>
      <c r="Y372" s="17"/>
    </row>
    <row r="373" spans="1:25" hidden="1" x14ac:dyDescent="0.25">
      <c r="A373" s="6">
        <v>10.42</v>
      </c>
      <c r="B373" s="2">
        <v>1.7453835</v>
      </c>
      <c r="C373" s="2">
        <v>0.4777092</v>
      </c>
      <c r="D373" s="2">
        <v>0.94122329999999998</v>
      </c>
      <c r="E373" s="12"/>
      <c r="F373" s="2"/>
      <c r="G373" s="13"/>
      <c r="H373" s="18"/>
      <c r="I373" s="8"/>
      <c r="J373" s="17"/>
      <c r="K373" s="12"/>
      <c r="L373" s="2"/>
      <c r="M373" s="17"/>
      <c r="N373" s="12"/>
      <c r="O373" s="2"/>
      <c r="P373" s="17"/>
      <c r="Q373" s="12"/>
      <c r="R373" s="2"/>
      <c r="S373" s="17"/>
      <c r="T373" s="12"/>
      <c r="U373" s="2"/>
      <c r="V373" s="17"/>
      <c r="W373" s="12"/>
      <c r="X373" s="2"/>
      <c r="Y373" s="17"/>
    </row>
    <row r="374" spans="1:25" hidden="1" x14ac:dyDescent="0.25">
      <c r="A374" s="6">
        <v>10.53</v>
      </c>
      <c r="B374" s="2">
        <v>1.6632707</v>
      </c>
      <c r="C374" s="2">
        <v>0.4218633</v>
      </c>
      <c r="D374" s="2">
        <v>0.94100550000000005</v>
      </c>
      <c r="E374" s="12"/>
      <c r="F374" s="2"/>
      <c r="G374" s="13"/>
      <c r="H374" s="18"/>
      <c r="I374" s="8"/>
      <c r="J374" s="17"/>
      <c r="K374" s="12"/>
      <c r="L374" s="2"/>
      <c r="M374" s="17"/>
      <c r="N374" s="12"/>
      <c r="O374" s="2"/>
      <c r="P374" s="17"/>
      <c r="Q374" s="12"/>
      <c r="R374" s="2"/>
      <c r="S374" s="17"/>
      <c r="T374" s="12"/>
      <c r="U374" s="2"/>
      <c r="V374" s="17"/>
      <c r="W374" s="12"/>
      <c r="X374" s="2"/>
      <c r="Y374" s="17"/>
    </row>
    <row r="375" spans="1:25" hidden="1" x14ac:dyDescent="0.25">
      <c r="A375" s="6">
        <v>10.64</v>
      </c>
      <c r="B375" s="2">
        <v>1.6556611000000001</v>
      </c>
      <c r="C375" s="2">
        <v>0.39006000000000002</v>
      </c>
      <c r="D375" s="2">
        <v>0.93912980000000001</v>
      </c>
      <c r="E375" s="12"/>
      <c r="F375" s="2"/>
      <c r="G375" s="13"/>
      <c r="H375" s="18"/>
      <c r="I375" s="8"/>
      <c r="J375" s="17"/>
      <c r="K375" s="12"/>
      <c r="L375" s="2"/>
      <c r="M375" s="17"/>
      <c r="N375" s="12"/>
      <c r="O375" s="2"/>
      <c r="P375" s="17"/>
      <c r="Q375" s="12"/>
      <c r="R375" s="2"/>
      <c r="S375" s="17"/>
      <c r="T375" s="12"/>
      <c r="U375" s="2"/>
      <c r="V375" s="17"/>
      <c r="W375" s="12"/>
      <c r="X375" s="2"/>
      <c r="Y375" s="17"/>
    </row>
    <row r="376" spans="1:25" hidden="1" x14ac:dyDescent="0.25">
      <c r="A376" s="6">
        <v>10.75</v>
      </c>
      <c r="B376" s="2">
        <v>1.7199070000000001</v>
      </c>
      <c r="C376" s="2">
        <v>0.38499810000000001</v>
      </c>
      <c r="D376" s="2">
        <v>0.93535699999999999</v>
      </c>
      <c r="E376" s="12"/>
      <c r="F376" s="2"/>
      <c r="G376" s="13"/>
      <c r="H376" s="18"/>
      <c r="I376" s="8"/>
      <c r="J376" s="17"/>
      <c r="K376" s="12"/>
      <c r="L376" s="2"/>
      <c r="M376" s="17"/>
      <c r="N376" s="12"/>
      <c r="O376" s="2"/>
      <c r="P376" s="17"/>
      <c r="Q376" s="12"/>
      <c r="R376" s="2"/>
      <c r="S376" s="17"/>
      <c r="T376" s="12"/>
      <c r="U376" s="2"/>
      <c r="V376" s="17"/>
      <c r="W376" s="12"/>
      <c r="X376" s="2"/>
      <c r="Y376" s="17"/>
    </row>
    <row r="377" spans="1:25" hidden="1" x14ac:dyDescent="0.25">
      <c r="A377" s="6">
        <v>10.87</v>
      </c>
      <c r="B377" s="2">
        <v>1.8051314000000001</v>
      </c>
      <c r="C377" s="2">
        <v>0.3931769</v>
      </c>
      <c r="D377" s="2">
        <v>0.93046960000000001</v>
      </c>
      <c r="E377" s="12"/>
      <c r="F377" s="2"/>
      <c r="G377" s="13"/>
      <c r="H377" s="18"/>
      <c r="I377" s="8"/>
      <c r="J377" s="17"/>
      <c r="K377" s="12"/>
      <c r="L377" s="2"/>
      <c r="M377" s="17"/>
      <c r="N377" s="12"/>
      <c r="O377" s="2"/>
      <c r="P377" s="17"/>
      <c r="Q377" s="12"/>
      <c r="R377" s="2"/>
      <c r="S377" s="17"/>
      <c r="T377" s="12"/>
      <c r="U377" s="2"/>
      <c r="V377" s="17"/>
      <c r="W377" s="12"/>
      <c r="X377" s="2"/>
      <c r="Y377" s="17"/>
    </row>
    <row r="378" spans="1:25" hidden="1" x14ac:dyDescent="0.25">
      <c r="A378" s="6">
        <v>11</v>
      </c>
      <c r="B378" s="2">
        <v>1.9108019999999999</v>
      </c>
      <c r="C378" s="2">
        <v>0.4075067</v>
      </c>
      <c r="D378" s="2">
        <v>0.92401599999999995</v>
      </c>
      <c r="E378" s="12"/>
      <c r="F378" s="2"/>
      <c r="G378" s="13"/>
      <c r="H378" s="18"/>
      <c r="I378" s="8"/>
      <c r="J378" s="17"/>
      <c r="K378" s="12"/>
      <c r="L378" s="2"/>
      <c r="M378" s="17"/>
      <c r="N378" s="12"/>
      <c r="O378" s="2"/>
      <c r="P378" s="17"/>
      <c r="Q378" s="12"/>
      <c r="R378" s="2"/>
      <c r="S378" s="17"/>
      <c r="T378" s="12"/>
      <c r="U378" s="2"/>
      <c r="V378" s="17"/>
      <c r="W378" s="12"/>
      <c r="X378" s="2"/>
      <c r="Y378" s="17"/>
    </row>
    <row r="379" spans="1:25" hidden="1" x14ac:dyDescent="0.25">
      <c r="A379" s="6">
        <v>11.11</v>
      </c>
      <c r="B379" s="2">
        <v>1.9897681</v>
      </c>
      <c r="C379" s="2">
        <v>0.41825449999999997</v>
      </c>
      <c r="D379" s="2">
        <v>0.91902589999999995</v>
      </c>
      <c r="E379" s="12"/>
      <c r="F379" s="2"/>
      <c r="G379" s="13"/>
      <c r="H379" s="18"/>
      <c r="I379" s="8"/>
      <c r="J379" s="17"/>
      <c r="K379" s="12"/>
      <c r="L379" s="2"/>
      <c r="M379" s="17"/>
      <c r="N379" s="12"/>
      <c r="O379" s="2"/>
      <c r="P379" s="17"/>
      <c r="Q379" s="12"/>
      <c r="R379" s="2"/>
      <c r="S379" s="17"/>
      <c r="T379" s="12"/>
      <c r="U379" s="2"/>
      <c r="V379" s="17"/>
      <c r="W379" s="12"/>
      <c r="X379" s="2"/>
      <c r="Y379" s="17"/>
    </row>
    <row r="380" spans="1:25" hidden="1" x14ac:dyDescent="0.25">
      <c r="A380" s="6">
        <v>11.36</v>
      </c>
      <c r="B380" s="2">
        <v>2.1272676000000001</v>
      </c>
      <c r="C380" s="2">
        <v>0.43553449999999999</v>
      </c>
      <c r="D380" s="2">
        <v>0.9088157</v>
      </c>
      <c r="E380" s="12"/>
      <c r="F380" s="2"/>
      <c r="G380" s="13"/>
      <c r="H380" s="18"/>
      <c r="I380" s="8"/>
      <c r="J380" s="17"/>
      <c r="K380" s="12"/>
      <c r="L380" s="2"/>
      <c r="M380" s="17"/>
      <c r="N380" s="12"/>
      <c r="O380" s="2"/>
      <c r="P380" s="17"/>
      <c r="Q380" s="12"/>
      <c r="R380" s="2"/>
      <c r="S380" s="17"/>
      <c r="T380" s="12"/>
      <c r="U380" s="2"/>
      <c r="V380" s="17"/>
      <c r="W380" s="12"/>
      <c r="X380" s="2"/>
      <c r="Y380" s="17"/>
    </row>
    <row r="381" spans="1:25" hidden="1" x14ac:dyDescent="0.25">
      <c r="A381" s="6">
        <v>11.63</v>
      </c>
      <c r="B381" s="2">
        <v>2.2278812000000001</v>
      </c>
      <c r="C381" s="2">
        <v>0.44611840000000003</v>
      </c>
      <c r="D381" s="2">
        <v>0.90103549999999999</v>
      </c>
      <c r="E381" s="12"/>
      <c r="F381" s="2"/>
      <c r="G381" s="13"/>
      <c r="H381" s="18"/>
      <c r="I381" s="8"/>
      <c r="J381" s="17"/>
      <c r="K381" s="12"/>
      <c r="L381" s="2"/>
      <c r="M381" s="17"/>
      <c r="N381" s="12"/>
      <c r="O381" s="2"/>
      <c r="P381" s="17"/>
      <c r="Q381" s="12"/>
      <c r="R381" s="2"/>
      <c r="S381" s="17"/>
      <c r="T381" s="12"/>
      <c r="U381" s="2"/>
      <c r="V381" s="17"/>
      <c r="W381" s="12"/>
      <c r="X381" s="2"/>
      <c r="Y381" s="17"/>
    </row>
    <row r="382" spans="1:25" hidden="1" x14ac:dyDescent="0.25">
      <c r="A382" s="6">
        <v>11.9</v>
      </c>
      <c r="B382" s="2">
        <v>2.3076292999999999</v>
      </c>
      <c r="C382" s="2">
        <v>0.45381890000000003</v>
      </c>
      <c r="D382" s="2">
        <v>0.89366000000000001</v>
      </c>
      <c r="E382" s="12"/>
      <c r="F382" s="2"/>
      <c r="G382" s="13"/>
      <c r="H382" s="18"/>
      <c r="I382" s="8"/>
      <c r="J382" s="17"/>
      <c r="K382" s="12"/>
      <c r="L382" s="2"/>
      <c r="M382" s="17"/>
      <c r="N382" s="12"/>
      <c r="O382" s="2"/>
      <c r="P382" s="17"/>
      <c r="Q382" s="12"/>
      <c r="R382" s="2"/>
      <c r="S382" s="17"/>
      <c r="T382" s="12"/>
      <c r="U382" s="2"/>
      <c r="V382" s="17"/>
      <c r="W382" s="12"/>
      <c r="X382" s="2"/>
      <c r="Y382" s="17"/>
    </row>
    <row r="383" spans="1:25" hidden="1" x14ac:dyDescent="0.25">
      <c r="A383" s="6">
        <v>12.2</v>
      </c>
      <c r="B383" s="2">
        <v>2.3790809999999998</v>
      </c>
      <c r="C383" s="2">
        <v>0.45977630000000003</v>
      </c>
      <c r="D383" s="2">
        <v>0.8872717</v>
      </c>
      <c r="E383" s="12"/>
      <c r="F383" s="2"/>
      <c r="G383" s="13"/>
      <c r="H383" s="18"/>
      <c r="I383" s="8"/>
      <c r="J383" s="17"/>
      <c r="K383" s="12"/>
      <c r="L383" s="2"/>
      <c r="M383" s="17"/>
      <c r="N383" s="12"/>
      <c r="O383" s="2"/>
      <c r="P383" s="17"/>
      <c r="Q383" s="12"/>
      <c r="R383" s="2"/>
      <c r="S383" s="17"/>
      <c r="T383" s="12"/>
      <c r="U383" s="2"/>
      <c r="V383" s="17"/>
      <c r="W383" s="12"/>
      <c r="X383" s="2"/>
      <c r="Y383" s="17"/>
    </row>
    <row r="384" spans="1:25" hidden="1" x14ac:dyDescent="0.25">
      <c r="A384" s="6">
        <v>12.5</v>
      </c>
      <c r="B384" s="2">
        <v>2.439095</v>
      </c>
      <c r="C384" s="2">
        <v>0.46429619999999999</v>
      </c>
      <c r="D384" s="2">
        <v>0.88159480000000001</v>
      </c>
      <c r="E384" s="12"/>
      <c r="F384" s="2"/>
      <c r="G384" s="13"/>
      <c r="H384" s="18"/>
      <c r="I384" s="8"/>
      <c r="J384" s="17"/>
      <c r="K384" s="12"/>
      <c r="L384" s="2"/>
      <c r="M384" s="17"/>
      <c r="N384" s="12"/>
      <c r="O384" s="2"/>
      <c r="P384" s="17"/>
      <c r="Q384" s="12"/>
      <c r="R384" s="2"/>
      <c r="S384" s="17"/>
      <c r="T384" s="12"/>
      <c r="U384" s="2"/>
      <c r="V384" s="17"/>
      <c r="W384" s="12"/>
      <c r="X384" s="2"/>
      <c r="Y384" s="17"/>
    </row>
    <row r="385" spans="1:25" hidden="1" x14ac:dyDescent="0.25">
      <c r="A385" s="6">
        <v>12.82</v>
      </c>
      <c r="B385" s="2">
        <v>2.4939713000000001</v>
      </c>
      <c r="C385" s="2">
        <v>0.4679893</v>
      </c>
      <c r="D385" s="2">
        <v>0.87689360000000005</v>
      </c>
      <c r="E385" s="12"/>
      <c r="F385" s="2"/>
      <c r="G385" s="13"/>
      <c r="H385" s="18"/>
      <c r="I385" s="8"/>
      <c r="J385" s="17"/>
      <c r="K385" s="12"/>
      <c r="L385" s="2"/>
      <c r="M385" s="17"/>
      <c r="N385" s="12"/>
      <c r="O385" s="2"/>
      <c r="P385" s="17"/>
      <c r="Q385" s="12"/>
      <c r="R385" s="2"/>
      <c r="S385" s="17"/>
      <c r="T385" s="12"/>
      <c r="U385" s="2"/>
      <c r="V385" s="17"/>
      <c r="W385" s="12"/>
      <c r="X385" s="2"/>
      <c r="Y385" s="17"/>
    </row>
    <row r="386" spans="1:25" hidden="1" x14ac:dyDescent="0.25">
      <c r="A386" s="6">
        <v>12.99</v>
      </c>
      <c r="B386" s="2">
        <v>2.5204667999999999</v>
      </c>
      <c r="C386" s="2">
        <v>0.46975489999999998</v>
      </c>
      <c r="D386" s="2">
        <v>0.87451159999999994</v>
      </c>
      <c r="E386" s="12"/>
      <c r="F386" s="2"/>
      <c r="G386" s="13"/>
      <c r="H386" s="18"/>
      <c r="I386" s="8"/>
      <c r="J386" s="17"/>
      <c r="K386" s="12"/>
      <c r="L386" s="2"/>
      <c r="M386" s="17"/>
      <c r="N386" s="12"/>
      <c r="O386" s="2"/>
      <c r="P386" s="17"/>
      <c r="Q386" s="12"/>
      <c r="R386" s="2"/>
      <c r="S386" s="17"/>
      <c r="T386" s="12"/>
      <c r="U386" s="2"/>
      <c r="V386" s="17"/>
      <c r="W386" s="12"/>
      <c r="X386" s="2"/>
      <c r="Y386" s="17"/>
    </row>
    <row r="387" spans="1:25" hidden="1" x14ac:dyDescent="0.25">
      <c r="A387" s="6">
        <v>13.16</v>
      </c>
      <c r="B387" s="2">
        <v>2.5455434000000001</v>
      </c>
      <c r="C387" s="2">
        <v>0.47146759999999999</v>
      </c>
      <c r="D387" s="2">
        <v>0.87202259999999998</v>
      </c>
      <c r="E387" s="12"/>
      <c r="F387" s="2"/>
      <c r="G387" s="13"/>
      <c r="H387" s="18"/>
      <c r="I387" s="8"/>
      <c r="J387" s="17"/>
      <c r="K387" s="12"/>
      <c r="L387" s="2"/>
      <c r="M387" s="17"/>
      <c r="N387" s="12"/>
      <c r="O387" s="2"/>
      <c r="P387" s="17"/>
      <c r="Q387" s="12"/>
      <c r="R387" s="2"/>
      <c r="S387" s="17"/>
      <c r="T387" s="12"/>
      <c r="U387" s="2"/>
      <c r="V387" s="17"/>
      <c r="W387" s="12"/>
      <c r="X387" s="2"/>
      <c r="Y387" s="17"/>
    </row>
    <row r="388" spans="1:25" hidden="1" x14ac:dyDescent="0.25">
      <c r="A388" s="6">
        <v>13.33</v>
      </c>
      <c r="B388" s="2">
        <v>2.5710112999999999</v>
      </c>
      <c r="C388" s="2">
        <v>0.47345429999999999</v>
      </c>
      <c r="D388" s="2">
        <v>0.8697397</v>
      </c>
      <c r="E388" s="12"/>
      <c r="F388" s="2"/>
      <c r="G388" s="13"/>
      <c r="H388" s="18"/>
      <c r="I388" s="8"/>
      <c r="J388" s="17"/>
      <c r="K388" s="12"/>
      <c r="L388" s="2"/>
      <c r="M388" s="17"/>
      <c r="N388" s="12"/>
      <c r="O388" s="2"/>
      <c r="P388" s="17"/>
      <c r="Q388" s="12"/>
      <c r="R388" s="2"/>
      <c r="S388" s="17"/>
      <c r="T388" s="12"/>
      <c r="U388" s="2"/>
      <c r="V388" s="17"/>
      <c r="W388" s="12"/>
      <c r="X388" s="2"/>
      <c r="Y388" s="17"/>
    </row>
    <row r="389" spans="1:25" hidden="1" x14ac:dyDescent="0.25">
      <c r="A389" s="6">
        <v>13.51</v>
      </c>
      <c r="B389" s="2">
        <v>2.5952777999999999</v>
      </c>
      <c r="C389" s="2">
        <v>0.47556019999999999</v>
      </c>
      <c r="D389" s="2">
        <v>0.86717239999999995</v>
      </c>
      <c r="E389" s="12"/>
      <c r="F389" s="2"/>
      <c r="G389" s="13"/>
      <c r="H389" s="18"/>
      <c r="I389" s="8"/>
      <c r="J389" s="17"/>
      <c r="K389" s="12"/>
      <c r="L389" s="2"/>
      <c r="M389" s="17"/>
      <c r="N389" s="12"/>
      <c r="O389" s="2"/>
      <c r="P389" s="17"/>
      <c r="Q389" s="12"/>
      <c r="R389" s="2"/>
      <c r="S389" s="17"/>
      <c r="T389" s="12"/>
      <c r="U389" s="2"/>
      <c r="V389" s="17"/>
      <c r="W389" s="12"/>
      <c r="X389" s="2"/>
      <c r="Y389" s="17"/>
    </row>
    <row r="390" spans="1:25" hidden="1" x14ac:dyDescent="0.25">
      <c r="A390" s="6">
        <v>13.7</v>
      </c>
      <c r="B390" s="2">
        <v>2.6210589</v>
      </c>
      <c r="C390" s="2">
        <v>0.47815269999999999</v>
      </c>
      <c r="D390" s="2">
        <v>0.86405560000000003</v>
      </c>
      <c r="E390" s="12"/>
      <c r="F390" s="2"/>
      <c r="G390" s="13"/>
      <c r="H390" s="18"/>
      <c r="I390" s="8"/>
      <c r="J390" s="17"/>
      <c r="K390" s="12"/>
      <c r="L390" s="2"/>
      <c r="M390" s="17"/>
      <c r="N390" s="12"/>
      <c r="O390" s="2"/>
      <c r="P390" s="17"/>
      <c r="Q390" s="12"/>
      <c r="R390" s="2"/>
      <c r="S390" s="17"/>
      <c r="T390" s="12"/>
      <c r="U390" s="2"/>
      <c r="V390" s="17"/>
      <c r="W390" s="12"/>
      <c r="X390" s="2"/>
      <c r="Y390" s="17"/>
    </row>
    <row r="391" spans="1:25" hidden="1" x14ac:dyDescent="0.25">
      <c r="A391" s="6">
        <v>13.89</v>
      </c>
      <c r="B391" s="2">
        <v>2.6480711000000001</v>
      </c>
      <c r="C391" s="2">
        <v>0.48142230000000003</v>
      </c>
      <c r="D391" s="2">
        <v>0.86042620000000003</v>
      </c>
      <c r="E391" s="12"/>
      <c r="F391" s="2"/>
      <c r="G391" s="13"/>
      <c r="H391" s="18"/>
      <c r="I391" s="8"/>
      <c r="J391" s="17"/>
      <c r="K391" s="12"/>
      <c r="L391" s="2"/>
      <c r="M391" s="17"/>
      <c r="N391" s="12"/>
      <c r="O391" s="2"/>
      <c r="P391" s="17"/>
      <c r="Q391" s="12"/>
      <c r="R391" s="2"/>
      <c r="S391" s="17"/>
      <c r="T391" s="12"/>
      <c r="U391" s="2"/>
      <c r="V391" s="17"/>
      <c r="W391" s="12"/>
      <c r="X391" s="2"/>
      <c r="Y391" s="17"/>
    </row>
    <row r="392" spans="1:25" hidden="1" x14ac:dyDescent="0.25">
      <c r="A392" s="6">
        <v>14.08</v>
      </c>
      <c r="B392" s="2">
        <v>2.6776564</v>
      </c>
      <c r="C392" s="2">
        <v>0.48596220000000001</v>
      </c>
      <c r="D392" s="2">
        <v>0.85619780000000001</v>
      </c>
      <c r="E392" s="12"/>
      <c r="F392" s="2"/>
      <c r="G392" s="13"/>
      <c r="H392" s="18"/>
      <c r="I392" s="8"/>
      <c r="J392" s="17"/>
      <c r="K392" s="12"/>
      <c r="L392" s="2"/>
      <c r="M392" s="17"/>
      <c r="N392" s="12"/>
      <c r="O392" s="2"/>
      <c r="P392" s="17"/>
      <c r="Q392" s="12"/>
      <c r="R392" s="2"/>
      <c r="S392" s="17"/>
      <c r="T392" s="12"/>
      <c r="U392" s="2"/>
      <c r="V392" s="17"/>
      <c r="W392" s="12"/>
      <c r="X392" s="2"/>
      <c r="Y392" s="17"/>
    </row>
    <row r="393" spans="1:25" hidden="1" x14ac:dyDescent="0.25">
      <c r="A393" s="6">
        <v>14.29</v>
      </c>
      <c r="B393" s="2">
        <v>2.7124039999999998</v>
      </c>
      <c r="C393" s="2">
        <v>0.49265819999999999</v>
      </c>
      <c r="D393" s="2">
        <v>0.85081320000000005</v>
      </c>
      <c r="E393" s="12"/>
      <c r="F393" s="2"/>
      <c r="G393" s="13"/>
      <c r="H393" s="18"/>
      <c r="I393" s="8"/>
      <c r="J393" s="17"/>
      <c r="K393" s="12"/>
      <c r="L393" s="2"/>
      <c r="M393" s="17"/>
      <c r="N393" s="12"/>
      <c r="O393" s="2"/>
      <c r="P393" s="17"/>
      <c r="Q393" s="12"/>
      <c r="R393" s="2"/>
      <c r="S393" s="17"/>
      <c r="T393" s="12"/>
      <c r="U393" s="2"/>
      <c r="V393" s="17"/>
      <c r="W393" s="12"/>
      <c r="X393" s="2"/>
      <c r="Y393" s="17"/>
    </row>
    <row r="394" spans="1:25" hidden="1" x14ac:dyDescent="0.25">
      <c r="A394" s="6">
        <v>14.71</v>
      </c>
      <c r="B394" s="2">
        <v>2.7954302000000002</v>
      </c>
      <c r="C394" s="2">
        <v>0.51491240000000005</v>
      </c>
      <c r="D394" s="2">
        <v>0.8385435</v>
      </c>
      <c r="E394" s="12"/>
      <c r="F394" s="2"/>
      <c r="G394" s="13"/>
      <c r="H394" s="18"/>
      <c r="I394" s="8"/>
      <c r="J394" s="17"/>
      <c r="K394" s="12"/>
      <c r="L394" s="2"/>
      <c r="M394" s="17"/>
      <c r="N394" s="12"/>
      <c r="O394" s="2"/>
      <c r="P394" s="17"/>
      <c r="Q394" s="12"/>
      <c r="R394" s="2"/>
      <c r="S394" s="17"/>
      <c r="T394" s="12"/>
      <c r="U394" s="2"/>
      <c r="V394" s="17"/>
      <c r="W394" s="12"/>
      <c r="X394" s="2"/>
      <c r="Y394" s="17"/>
    </row>
    <row r="395" spans="1:25" hidden="1" x14ac:dyDescent="0.25">
      <c r="A395" s="6">
        <v>15.15</v>
      </c>
      <c r="B395" s="2">
        <v>2.8865243999999999</v>
      </c>
      <c r="C395" s="2">
        <v>0.54495470000000001</v>
      </c>
      <c r="D395" s="2">
        <v>0.82796979999999998</v>
      </c>
      <c r="E395" s="12"/>
      <c r="F395" s="2"/>
      <c r="G395" s="13"/>
      <c r="H395" s="18"/>
      <c r="I395" s="8"/>
      <c r="J395" s="17"/>
      <c r="K395" s="12"/>
      <c r="L395" s="2"/>
      <c r="M395" s="17"/>
      <c r="N395" s="12"/>
      <c r="O395" s="2"/>
      <c r="P395" s="17"/>
      <c r="Q395" s="12"/>
      <c r="R395" s="2"/>
      <c r="S395" s="17"/>
      <c r="T395" s="12"/>
      <c r="U395" s="2"/>
      <c r="V395" s="17"/>
      <c r="W395" s="12"/>
      <c r="X395" s="2"/>
      <c r="Y395" s="17"/>
    </row>
    <row r="396" spans="1:25" hidden="1" x14ac:dyDescent="0.25">
      <c r="A396" s="6">
        <v>15.38</v>
      </c>
      <c r="B396" s="2">
        <v>2.9307732999999998</v>
      </c>
      <c r="C396" s="2">
        <v>0.56057049999999997</v>
      </c>
      <c r="D396" s="2">
        <v>0.82433469999999998</v>
      </c>
      <c r="E396" s="12"/>
      <c r="F396" s="2"/>
      <c r="G396" s="13"/>
      <c r="H396" s="18"/>
      <c r="I396" s="8"/>
      <c r="J396" s="17"/>
      <c r="K396" s="12"/>
      <c r="L396" s="2"/>
      <c r="M396" s="17"/>
      <c r="N396" s="12"/>
      <c r="O396" s="2"/>
      <c r="P396" s="17"/>
      <c r="Q396" s="12"/>
      <c r="R396" s="2"/>
      <c r="S396" s="17"/>
      <c r="T396" s="12"/>
      <c r="U396" s="2"/>
      <c r="V396" s="17"/>
      <c r="W396" s="12"/>
      <c r="X396" s="2"/>
      <c r="Y396" s="17"/>
    </row>
    <row r="397" spans="1:25" hidden="1" x14ac:dyDescent="0.25">
      <c r="A397" s="6">
        <v>15.63</v>
      </c>
      <c r="B397" s="2">
        <v>2.9742272000000001</v>
      </c>
      <c r="C397" s="2">
        <v>0.5762969</v>
      </c>
      <c r="D397" s="2">
        <v>0.8214574</v>
      </c>
      <c r="E397" s="12"/>
      <c r="F397" s="2"/>
      <c r="G397" s="13"/>
      <c r="H397" s="18"/>
      <c r="I397" s="8"/>
      <c r="J397" s="17"/>
      <c r="K397" s="12"/>
      <c r="L397" s="2"/>
      <c r="M397" s="17"/>
      <c r="N397" s="12"/>
      <c r="O397" s="2"/>
      <c r="P397" s="17"/>
      <c r="Q397" s="12"/>
      <c r="R397" s="2"/>
      <c r="S397" s="17"/>
      <c r="T397" s="12"/>
      <c r="U397" s="2"/>
      <c r="V397" s="17"/>
      <c r="W397" s="12"/>
      <c r="X397" s="2"/>
      <c r="Y397" s="17"/>
    </row>
    <row r="398" spans="1:25" hidden="1" x14ac:dyDescent="0.25">
      <c r="A398" s="6">
        <v>16.13</v>
      </c>
      <c r="B398" s="2">
        <v>3.0455717999999998</v>
      </c>
      <c r="C398" s="2">
        <v>0.60319400000000001</v>
      </c>
      <c r="D398" s="2">
        <v>0.81763940000000002</v>
      </c>
      <c r="E398" s="12"/>
      <c r="F398" s="2"/>
      <c r="G398" s="13"/>
      <c r="H398" s="18"/>
      <c r="I398" s="8"/>
      <c r="J398" s="17"/>
      <c r="K398" s="12"/>
      <c r="L398" s="2"/>
      <c r="M398" s="17"/>
      <c r="N398" s="12"/>
      <c r="O398" s="2"/>
      <c r="P398" s="17"/>
      <c r="Q398" s="12"/>
      <c r="R398" s="2"/>
      <c r="S398" s="17"/>
      <c r="T398" s="12"/>
      <c r="U398" s="2"/>
      <c r="V398" s="17"/>
      <c r="W398" s="12"/>
      <c r="X398" s="2"/>
      <c r="Y398" s="17"/>
    </row>
    <row r="399" spans="1:25" hidden="1" x14ac:dyDescent="0.25">
      <c r="A399" s="6">
        <v>16.39</v>
      </c>
      <c r="B399" s="2">
        <v>3.0666131999999999</v>
      </c>
      <c r="C399" s="2">
        <v>0.61168069999999997</v>
      </c>
      <c r="D399" s="2">
        <v>0.81703029999999999</v>
      </c>
      <c r="E399" s="12"/>
      <c r="F399" s="2"/>
      <c r="G399" s="13"/>
      <c r="H399" s="18"/>
      <c r="I399" s="8"/>
      <c r="J399" s="17"/>
      <c r="K399" s="12"/>
      <c r="L399" s="2"/>
      <c r="M399" s="17"/>
      <c r="N399" s="12"/>
      <c r="O399" s="2"/>
      <c r="P399" s="17"/>
      <c r="Q399" s="12"/>
      <c r="R399" s="2"/>
      <c r="S399" s="17"/>
      <c r="T399" s="12"/>
      <c r="U399" s="2"/>
      <c r="V399" s="17"/>
      <c r="W399" s="12"/>
      <c r="X399" s="2"/>
      <c r="Y399" s="17"/>
    </row>
    <row r="400" spans="1:25" hidden="1" x14ac:dyDescent="0.25">
      <c r="A400" s="6">
        <v>16.670000000000002</v>
      </c>
      <c r="B400" s="2">
        <v>3.0844798</v>
      </c>
      <c r="C400" s="2">
        <v>0.61824409999999996</v>
      </c>
      <c r="D400" s="2">
        <v>0.81525159999999997</v>
      </c>
      <c r="E400" s="12"/>
      <c r="F400" s="2"/>
      <c r="G400" s="13"/>
      <c r="H400" s="18"/>
      <c r="I400" s="8"/>
      <c r="J400" s="17"/>
      <c r="K400" s="12"/>
      <c r="L400" s="2"/>
      <c r="M400" s="17"/>
      <c r="N400" s="12"/>
      <c r="O400" s="2"/>
      <c r="P400" s="17"/>
      <c r="Q400" s="12"/>
      <c r="R400" s="2"/>
      <c r="S400" s="17"/>
      <c r="T400" s="12"/>
      <c r="U400" s="2"/>
      <c r="V400" s="17"/>
      <c r="W400" s="12"/>
      <c r="X400" s="2"/>
      <c r="Y400" s="17"/>
    </row>
    <row r="401" spans="1:25" hidden="1" x14ac:dyDescent="0.25">
      <c r="A401" s="6">
        <v>16.95</v>
      </c>
      <c r="B401" s="2">
        <v>3.1210086000000001</v>
      </c>
      <c r="C401" s="2">
        <v>0.63226539999999998</v>
      </c>
      <c r="D401" s="2">
        <v>0.81064440000000004</v>
      </c>
      <c r="E401" s="12"/>
      <c r="F401" s="2"/>
      <c r="G401" s="13"/>
      <c r="H401" s="18"/>
      <c r="I401" s="8"/>
      <c r="J401" s="17"/>
      <c r="K401" s="12"/>
      <c r="L401" s="2"/>
      <c r="M401" s="17"/>
      <c r="N401" s="12"/>
      <c r="O401" s="2"/>
      <c r="P401" s="17"/>
      <c r="Q401" s="12"/>
      <c r="R401" s="2"/>
      <c r="S401" s="17"/>
      <c r="T401" s="12"/>
      <c r="U401" s="2"/>
      <c r="V401" s="17"/>
      <c r="W401" s="12"/>
      <c r="X401" s="2"/>
      <c r="Y401" s="17"/>
    </row>
    <row r="402" spans="1:25" hidden="1" x14ac:dyDescent="0.25">
      <c r="A402" s="6">
        <v>17.239999999999998</v>
      </c>
      <c r="B402" s="2">
        <v>3.1654629999999999</v>
      </c>
      <c r="C402" s="2">
        <v>0.65078809999999998</v>
      </c>
      <c r="D402" s="2">
        <v>0.80554800000000004</v>
      </c>
      <c r="E402" s="12"/>
      <c r="F402" s="2"/>
      <c r="G402" s="13"/>
      <c r="H402" s="18"/>
      <c r="I402" s="8"/>
      <c r="J402" s="17"/>
      <c r="K402" s="12"/>
      <c r="L402" s="2"/>
      <c r="M402" s="17"/>
      <c r="N402" s="12"/>
      <c r="O402" s="2"/>
      <c r="P402" s="17"/>
      <c r="Q402" s="12"/>
      <c r="R402" s="2"/>
      <c r="S402" s="17"/>
      <c r="T402" s="12"/>
      <c r="U402" s="2"/>
      <c r="V402" s="17"/>
      <c r="W402" s="12"/>
      <c r="X402" s="2"/>
      <c r="Y402" s="17"/>
    </row>
    <row r="403" spans="1:25" hidden="1" x14ac:dyDescent="0.25">
      <c r="A403" s="6">
        <v>18.18</v>
      </c>
      <c r="B403" s="2">
        <v>3.2813854</v>
      </c>
      <c r="C403" s="2">
        <v>0.71852740000000004</v>
      </c>
      <c r="D403" s="2">
        <v>0.79455549999999997</v>
      </c>
      <c r="E403" s="12"/>
      <c r="F403" s="2"/>
      <c r="G403" s="13"/>
      <c r="H403" s="18"/>
      <c r="I403" s="8"/>
      <c r="J403" s="17"/>
      <c r="K403" s="12"/>
      <c r="L403" s="2"/>
      <c r="M403" s="17"/>
      <c r="N403" s="12"/>
      <c r="O403" s="2"/>
      <c r="P403" s="17"/>
      <c r="Q403" s="12"/>
      <c r="R403" s="2"/>
      <c r="S403" s="17"/>
      <c r="T403" s="12"/>
      <c r="U403" s="2"/>
      <c r="V403" s="17"/>
      <c r="W403" s="12"/>
      <c r="X403" s="2"/>
      <c r="Y403" s="17"/>
    </row>
    <row r="404" spans="1:25" hidden="1" x14ac:dyDescent="0.25">
      <c r="A404" s="6">
        <v>18.32</v>
      </c>
      <c r="B404" s="2">
        <v>3.2798726999999999</v>
      </c>
      <c r="C404" s="2">
        <v>0.72328669999999995</v>
      </c>
      <c r="D404" s="2">
        <v>0.79479069999999996</v>
      </c>
      <c r="E404" s="12"/>
      <c r="F404" s="2"/>
      <c r="G404" s="13"/>
      <c r="H404" s="18"/>
      <c r="I404" s="8"/>
      <c r="J404" s="17"/>
      <c r="K404" s="12"/>
      <c r="L404" s="2"/>
      <c r="M404" s="17"/>
      <c r="N404" s="12"/>
      <c r="O404" s="2"/>
      <c r="P404" s="17"/>
      <c r="Q404" s="12"/>
      <c r="R404" s="2"/>
      <c r="S404" s="17"/>
      <c r="T404" s="12"/>
      <c r="U404" s="2"/>
      <c r="V404" s="17"/>
      <c r="W404" s="12"/>
      <c r="X404" s="2"/>
      <c r="Y404" s="17"/>
    </row>
    <row r="405" spans="1:25" hidden="1" x14ac:dyDescent="0.25">
      <c r="A405" s="6">
        <v>18.61</v>
      </c>
      <c r="B405" s="2">
        <v>3.2746135999999999</v>
      </c>
      <c r="C405" s="2">
        <v>0.73263480000000003</v>
      </c>
      <c r="D405" s="2">
        <v>0.79459259999999998</v>
      </c>
      <c r="E405" s="12"/>
      <c r="F405" s="2"/>
      <c r="G405" s="13"/>
      <c r="H405" s="18"/>
      <c r="I405" s="8"/>
      <c r="J405" s="17"/>
      <c r="K405" s="12"/>
      <c r="L405" s="2"/>
      <c r="M405" s="17"/>
      <c r="N405" s="12"/>
      <c r="O405" s="2"/>
      <c r="P405" s="17"/>
      <c r="Q405" s="12"/>
      <c r="R405" s="2"/>
      <c r="S405" s="17"/>
      <c r="T405" s="12"/>
      <c r="U405" s="2"/>
      <c r="V405" s="17"/>
      <c r="W405" s="12"/>
      <c r="X405" s="2"/>
      <c r="Y405" s="17"/>
    </row>
    <row r="406" spans="1:25" hidden="1" x14ac:dyDescent="0.25">
      <c r="A406" s="6">
        <v>18.87</v>
      </c>
      <c r="B406" s="2">
        <v>3.2618756000000002</v>
      </c>
      <c r="C406" s="2">
        <v>0.74049799999999999</v>
      </c>
      <c r="D406" s="2">
        <v>0.79461009999999999</v>
      </c>
      <c r="E406" s="12"/>
      <c r="F406" s="2"/>
      <c r="G406" s="13"/>
      <c r="H406" s="18"/>
      <c r="I406" s="8"/>
      <c r="J406" s="17"/>
      <c r="K406" s="12"/>
      <c r="L406" s="2"/>
      <c r="M406" s="17"/>
      <c r="N406" s="12"/>
      <c r="O406" s="2"/>
      <c r="P406" s="17"/>
      <c r="Q406" s="12"/>
      <c r="R406" s="2"/>
      <c r="S406" s="17"/>
      <c r="T406" s="12"/>
      <c r="U406" s="2"/>
      <c r="V406" s="17"/>
      <c r="W406" s="12"/>
      <c r="X406" s="2"/>
      <c r="Y406" s="17"/>
    </row>
    <row r="407" spans="1:25" hidden="1" x14ac:dyDescent="0.25">
      <c r="A407" s="6">
        <v>19.23</v>
      </c>
      <c r="B407" s="2">
        <v>3.2134070000000001</v>
      </c>
      <c r="C407" s="2">
        <v>0.73252209999999995</v>
      </c>
      <c r="D407" s="2">
        <v>0.7965217</v>
      </c>
      <c r="E407" s="12"/>
      <c r="F407" s="2"/>
      <c r="G407" s="13"/>
      <c r="H407" s="18"/>
      <c r="I407" s="8"/>
      <c r="J407" s="17"/>
      <c r="K407" s="12"/>
      <c r="L407" s="2"/>
      <c r="M407" s="17"/>
      <c r="N407" s="12"/>
      <c r="O407" s="2"/>
      <c r="P407" s="17"/>
      <c r="Q407" s="12"/>
      <c r="R407" s="2"/>
      <c r="S407" s="17"/>
      <c r="T407" s="12"/>
      <c r="U407" s="2"/>
      <c r="V407" s="17"/>
      <c r="W407" s="12"/>
      <c r="X407" s="2"/>
      <c r="Y407" s="17"/>
    </row>
    <row r="408" spans="1:25" hidden="1" x14ac:dyDescent="0.25">
      <c r="A408" s="6">
        <v>19.61</v>
      </c>
      <c r="B408" s="2">
        <v>3.2077638999999998</v>
      </c>
      <c r="C408" s="2">
        <v>0.73700779999999999</v>
      </c>
      <c r="D408" s="2">
        <v>0.79332800000000003</v>
      </c>
      <c r="E408" s="12"/>
      <c r="F408" s="2"/>
      <c r="G408" s="13"/>
      <c r="H408" s="18"/>
      <c r="I408" s="8"/>
      <c r="J408" s="17"/>
      <c r="K408" s="12"/>
      <c r="L408" s="2"/>
      <c r="M408" s="17"/>
      <c r="N408" s="12"/>
      <c r="O408" s="2"/>
      <c r="P408" s="17"/>
      <c r="Q408" s="12"/>
      <c r="R408" s="2"/>
      <c r="S408" s="17"/>
      <c r="T408" s="12"/>
      <c r="U408" s="2"/>
      <c r="V408" s="17"/>
      <c r="W408" s="12"/>
      <c r="X408" s="2"/>
      <c r="Y408" s="17"/>
    </row>
    <row r="409" spans="1:25" hidden="1" x14ac:dyDescent="0.25">
      <c r="A409" s="6">
        <v>20</v>
      </c>
      <c r="B409" s="2">
        <v>3.2318821</v>
      </c>
      <c r="C409" s="2">
        <v>0.75901680000000005</v>
      </c>
      <c r="D409" s="2">
        <v>0.78675439999999996</v>
      </c>
      <c r="E409" s="12"/>
      <c r="F409" s="2"/>
      <c r="G409" s="13"/>
      <c r="H409" s="18"/>
      <c r="I409" s="8"/>
      <c r="J409" s="17"/>
      <c r="K409" s="12"/>
      <c r="L409" s="2"/>
      <c r="M409" s="17"/>
      <c r="N409" s="12"/>
      <c r="O409" s="2"/>
      <c r="P409" s="17"/>
      <c r="Q409" s="12"/>
      <c r="R409" s="2"/>
      <c r="S409" s="17"/>
      <c r="T409" s="12"/>
      <c r="U409" s="2"/>
      <c r="V409" s="17"/>
      <c r="W409" s="12"/>
      <c r="X409" s="2"/>
      <c r="Y409" s="17"/>
    </row>
    <row r="410" spans="1:25" hidden="1" x14ac:dyDescent="0.25">
      <c r="A410" s="6">
        <v>20.41</v>
      </c>
      <c r="B410" s="2">
        <v>3.2492359</v>
      </c>
      <c r="C410" s="2">
        <v>0.79312059999999995</v>
      </c>
      <c r="D410" s="2">
        <v>0.77964310000000003</v>
      </c>
      <c r="E410" s="12"/>
      <c r="F410" s="2"/>
      <c r="G410" s="13"/>
      <c r="H410" s="18"/>
      <c r="I410" s="8"/>
      <c r="J410" s="17"/>
      <c r="K410" s="12"/>
      <c r="L410" s="2"/>
      <c r="M410" s="17"/>
      <c r="N410" s="12"/>
      <c r="O410" s="2"/>
      <c r="P410" s="17"/>
      <c r="Q410" s="12"/>
      <c r="R410" s="2"/>
      <c r="S410" s="17"/>
      <c r="T410" s="12"/>
      <c r="U410" s="2"/>
      <c r="V410" s="17"/>
      <c r="W410" s="12"/>
      <c r="X410" s="2"/>
      <c r="Y410" s="17"/>
    </row>
    <row r="411" spans="1:25" hidden="1" x14ac:dyDescent="0.25">
      <c r="A411" s="6">
        <v>20.83</v>
      </c>
      <c r="B411" s="2">
        <v>3.2248831</v>
      </c>
      <c r="C411" s="2">
        <v>0.82366819999999996</v>
      </c>
      <c r="D411" s="2">
        <v>0.7749355</v>
      </c>
      <c r="E411" s="12"/>
      <c r="F411" s="2"/>
      <c r="G411" s="13"/>
      <c r="H411" s="18"/>
      <c r="I411" s="8"/>
      <c r="J411" s="17"/>
      <c r="K411" s="12"/>
      <c r="L411" s="2"/>
      <c r="M411" s="17"/>
      <c r="N411" s="12"/>
      <c r="O411" s="2"/>
      <c r="P411" s="17"/>
      <c r="Q411" s="12"/>
      <c r="R411" s="2"/>
      <c r="S411" s="17"/>
      <c r="T411" s="12"/>
      <c r="U411" s="2"/>
      <c r="V411" s="17"/>
      <c r="W411" s="12"/>
      <c r="X411" s="2"/>
      <c r="Y411" s="17"/>
    </row>
    <row r="412" spans="1:25" hidden="1" x14ac:dyDescent="0.25">
      <c r="A412" s="6">
        <v>22.22</v>
      </c>
      <c r="B412" s="2">
        <v>2.9537458000000001</v>
      </c>
      <c r="C412" s="2">
        <v>0.87592700000000001</v>
      </c>
      <c r="D412" s="2">
        <v>0.76854339999999999</v>
      </c>
      <c r="E412" s="12"/>
      <c r="F412" s="2"/>
      <c r="G412" s="13"/>
      <c r="H412" s="18"/>
      <c r="I412" s="8"/>
      <c r="J412" s="17"/>
      <c r="K412" s="12"/>
      <c r="L412" s="2"/>
      <c r="M412" s="17"/>
      <c r="N412" s="12"/>
      <c r="O412" s="2"/>
      <c r="P412" s="17"/>
      <c r="Q412" s="12"/>
      <c r="R412" s="2"/>
      <c r="S412" s="17"/>
      <c r="T412" s="12"/>
      <c r="U412" s="2"/>
      <c r="V412" s="17"/>
      <c r="W412" s="12"/>
      <c r="X412" s="2"/>
      <c r="Y412" s="17"/>
    </row>
    <row r="413" spans="1:25" hidden="1" x14ac:dyDescent="0.25">
      <c r="A413" s="6">
        <v>22.6</v>
      </c>
      <c r="B413" s="2">
        <v>2.8458188</v>
      </c>
      <c r="C413" s="2">
        <v>0.88010670000000002</v>
      </c>
      <c r="D413" s="2">
        <v>0.76813580000000004</v>
      </c>
      <c r="E413" s="12"/>
      <c r="F413" s="2"/>
      <c r="G413" s="13"/>
      <c r="H413" s="18"/>
      <c r="I413" s="8"/>
      <c r="J413" s="17"/>
      <c r="K413" s="12"/>
      <c r="L413" s="2"/>
      <c r="M413" s="17"/>
      <c r="N413" s="12"/>
      <c r="O413" s="2"/>
      <c r="P413" s="17"/>
      <c r="Q413" s="12"/>
      <c r="R413" s="2"/>
      <c r="S413" s="17"/>
      <c r="T413" s="12"/>
      <c r="U413" s="2"/>
      <c r="V413" s="17"/>
      <c r="W413" s="12"/>
      <c r="X413" s="2"/>
      <c r="Y413" s="17"/>
    </row>
    <row r="414" spans="1:25" hidden="1" x14ac:dyDescent="0.25">
      <c r="A414" s="6">
        <v>23.05</v>
      </c>
      <c r="B414" s="2">
        <v>2.7161431</v>
      </c>
      <c r="C414" s="2">
        <v>0.88005149999999999</v>
      </c>
      <c r="D414" s="2">
        <v>0.76772770000000001</v>
      </c>
      <c r="E414" s="12"/>
      <c r="F414" s="2"/>
      <c r="G414" s="13"/>
      <c r="H414" s="18"/>
      <c r="I414" s="8"/>
      <c r="J414" s="17"/>
      <c r="K414" s="12"/>
      <c r="L414" s="2"/>
      <c r="M414" s="17"/>
      <c r="N414" s="12"/>
      <c r="O414" s="2"/>
      <c r="P414" s="17"/>
      <c r="Q414" s="12"/>
      <c r="R414" s="2"/>
      <c r="S414" s="17"/>
      <c r="T414" s="12"/>
      <c r="U414" s="2"/>
      <c r="V414" s="17"/>
      <c r="W414" s="12"/>
      <c r="X414" s="2"/>
      <c r="Y414" s="17"/>
    </row>
    <row r="415" spans="1:25" hidden="1" x14ac:dyDescent="0.25">
      <c r="A415" s="6">
        <v>23.6</v>
      </c>
      <c r="B415" s="2">
        <v>2.5596671</v>
      </c>
      <c r="C415" s="2">
        <v>0.87604669999999996</v>
      </c>
      <c r="D415" s="2">
        <v>0.7669492</v>
      </c>
      <c r="E415" s="12"/>
      <c r="F415" s="2"/>
      <c r="G415" s="13"/>
      <c r="H415" s="18"/>
      <c r="I415" s="8"/>
      <c r="J415" s="17"/>
      <c r="K415" s="12"/>
      <c r="L415" s="2"/>
      <c r="M415" s="17"/>
      <c r="N415" s="12"/>
      <c r="O415" s="2"/>
      <c r="P415" s="17"/>
      <c r="Q415" s="12"/>
      <c r="R415" s="2"/>
      <c r="S415" s="17"/>
      <c r="T415" s="12"/>
      <c r="U415" s="2"/>
      <c r="V415" s="17"/>
      <c r="W415" s="12"/>
      <c r="X415" s="2"/>
      <c r="Y415" s="17"/>
    </row>
    <row r="416" spans="1:25" hidden="1" x14ac:dyDescent="0.25">
      <c r="A416" s="6">
        <v>24.6</v>
      </c>
      <c r="B416" s="2">
        <v>2.2882539999999998</v>
      </c>
      <c r="C416" s="2">
        <v>0.86321079999999994</v>
      </c>
      <c r="D416" s="2">
        <v>0.76435350000000002</v>
      </c>
      <c r="E416" s="12"/>
      <c r="F416" s="2"/>
      <c r="G416" s="13"/>
      <c r="H416" s="18"/>
      <c r="I416" s="8"/>
      <c r="J416" s="17"/>
      <c r="K416" s="12"/>
      <c r="L416" s="2"/>
      <c r="M416" s="17"/>
      <c r="N416" s="12"/>
      <c r="O416" s="2"/>
      <c r="P416" s="17"/>
      <c r="Q416" s="12"/>
      <c r="R416" s="2"/>
      <c r="S416" s="17"/>
      <c r="T416" s="12"/>
      <c r="U416" s="2"/>
      <c r="V416" s="17"/>
      <c r="W416" s="12"/>
      <c r="X416" s="2"/>
      <c r="Y416" s="17"/>
    </row>
    <row r="417" spans="1:25" hidden="1" x14ac:dyDescent="0.25">
      <c r="A417" s="6">
        <v>25</v>
      </c>
      <c r="B417" s="2">
        <v>2.1825945</v>
      </c>
      <c r="C417" s="2">
        <v>0.85549549999999996</v>
      </c>
      <c r="D417" s="2">
        <v>0.76310579999999995</v>
      </c>
      <c r="E417" s="12"/>
      <c r="F417" s="2"/>
      <c r="G417" s="13"/>
      <c r="H417" s="18"/>
      <c r="I417" s="8"/>
      <c r="J417" s="17"/>
      <c r="K417" s="12"/>
      <c r="L417" s="2"/>
      <c r="M417" s="17"/>
      <c r="N417" s="12"/>
      <c r="O417" s="2"/>
      <c r="P417" s="17"/>
      <c r="Q417" s="12"/>
      <c r="R417" s="2"/>
      <c r="S417" s="17"/>
      <c r="T417" s="12"/>
      <c r="U417" s="2"/>
      <c r="V417" s="17"/>
      <c r="W417" s="12"/>
      <c r="X417" s="2"/>
      <c r="Y417" s="17"/>
    </row>
    <row r="418" spans="1:25" hidden="1" x14ac:dyDescent="0.25">
      <c r="A418" s="6">
        <v>26</v>
      </c>
      <c r="B418" s="2">
        <v>1.9354275000000001</v>
      </c>
      <c r="C418" s="2">
        <v>0.82906990000000003</v>
      </c>
      <c r="D418" s="2">
        <v>0.75939080000000003</v>
      </c>
      <c r="E418" s="12"/>
      <c r="F418" s="2"/>
      <c r="G418" s="13"/>
      <c r="H418" s="18"/>
      <c r="I418" s="8"/>
      <c r="J418" s="17"/>
      <c r="K418" s="12"/>
      <c r="L418" s="2"/>
      <c r="M418" s="17"/>
      <c r="N418" s="12"/>
      <c r="O418" s="2"/>
      <c r="P418" s="17"/>
      <c r="Q418" s="12"/>
      <c r="R418" s="2"/>
      <c r="S418" s="17"/>
      <c r="T418" s="12"/>
      <c r="U418" s="2"/>
      <c r="V418" s="17"/>
      <c r="W418" s="12"/>
      <c r="X418" s="2"/>
      <c r="Y418" s="17"/>
    </row>
    <row r="419" spans="1:25" hidden="1" x14ac:dyDescent="0.25">
      <c r="A419" s="6">
        <v>28.57</v>
      </c>
      <c r="B419" s="2">
        <v>1.4294308</v>
      </c>
      <c r="C419" s="2">
        <v>0.71686539999999999</v>
      </c>
      <c r="D419" s="2">
        <v>0.74582990000000005</v>
      </c>
      <c r="E419" s="12"/>
      <c r="F419" s="2"/>
      <c r="G419" s="13"/>
      <c r="H419" s="18"/>
      <c r="I419" s="8"/>
      <c r="J419" s="17"/>
      <c r="K419" s="12"/>
      <c r="L419" s="2"/>
      <c r="M419" s="17"/>
      <c r="N419" s="12"/>
      <c r="O419" s="2"/>
      <c r="P419" s="17"/>
      <c r="Q419" s="12"/>
      <c r="R419" s="2"/>
      <c r="S419" s="17"/>
      <c r="T419" s="12"/>
      <c r="U419" s="2"/>
      <c r="V419" s="17"/>
      <c r="W419" s="12"/>
      <c r="X419" s="2"/>
      <c r="Y419" s="17"/>
    </row>
    <row r="420" spans="1:25" hidden="1" x14ac:dyDescent="0.25">
      <c r="A420" s="6">
        <v>31</v>
      </c>
      <c r="B420" s="2">
        <v>1.1680360000000001</v>
      </c>
      <c r="C420" s="2">
        <v>0.53508960000000005</v>
      </c>
      <c r="D420" s="2">
        <v>0.72915839999999998</v>
      </c>
      <c r="E420" s="12"/>
      <c r="F420" s="2"/>
      <c r="G420" s="13"/>
      <c r="H420" s="18"/>
      <c r="I420" s="8"/>
      <c r="J420" s="17"/>
      <c r="K420" s="12"/>
      <c r="L420" s="2"/>
      <c r="M420" s="17"/>
      <c r="N420" s="12"/>
      <c r="O420" s="2"/>
      <c r="P420" s="17"/>
      <c r="Q420" s="12"/>
      <c r="R420" s="2"/>
      <c r="S420" s="17"/>
      <c r="T420" s="12"/>
      <c r="U420" s="2"/>
      <c r="V420" s="17"/>
      <c r="W420" s="12"/>
      <c r="X420" s="2"/>
      <c r="Y420" s="17"/>
    </row>
    <row r="421" spans="1:25" hidden="1" x14ac:dyDescent="0.25">
      <c r="A421" s="6">
        <v>33.33</v>
      </c>
      <c r="B421" s="2">
        <v>1.1174641000000001</v>
      </c>
      <c r="C421" s="2">
        <v>0.38271699999999997</v>
      </c>
      <c r="D421" s="2">
        <v>0.70659050000000001</v>
      </c>
      <c r="E421" s="12"/>
      <c r="F421" s="2"/>
      <c r="G421" s="13"/>
      <c r="H421" s="18"/>
      <c r="I421" s="8"/>
      <c r="J421" s="17"/>
      <c r="K421" s="12"/>
      <c r="L421" s="2"/>
      <c r="M421" s="17"/>
      <c r="N421" s="12"/>
      <c r="O421" s="2"/>
      <c r="P421" s="17"/>
      <c r="Q421" s="12"/>
      <c r="R421" s="2"/>
      <c r="S421" s="17"/>
      <c r="T421" s="12"/>
      <c r="U421" s="2"/>
      <c r="V421" s="17"/>
      <c r="W421" s="12"/>
      <c r="X421" s="2"/>
      <c r="Y421" s="17"/>
    </row>
    <row r="422" spans="1:25" hidden="1" x14ac:dyDescent="0.25">
      <c r="A422" s="6">
        <v>34.479999999999997</v>
      </c>
      <c r="B422" s="2">
        <v>1.1357495</v>
      </c>
      <c r="C422" s="2">
        <v>0.33537600000000001</v>
      </c>
      <c r="D422" s="2">
        <v>0.69286840000000005</v>
      </c>
      <c r="E422" s="12"/>
      <c r="F422" s="2"/>
      <c r="G422" s="13"/>
      <c r="H422" s="18"/>
      <c r="I422" s="8"/>
      <c r="J422" s="17"/>
      <c r="K422" s="12"/>
      <c r="L422" s="2"/>
      <c r="M422" s="17"/>
      <c r="N422" s="12"/>
      <c r="O422" s="2"/>
      <c r="P422" s="17"/>
      <c r="Q422" s="12"/>
      <c r="R422" s="2"/>
      <c r="S422" s="17"/>
      <c r="T422" s="12"/>
      <c r="U422" s="2"/>
      <c r="V422" s="17"/>
      <c r="W422" s="12"/>
      <c r="X422" s="2"/>
      <c r="Y422" s="17"/>
    </row>
    <row r="423" spans="1:25" hidden="1" x14ac:dyDescent="0.25">
      <c r="A423" s="6">
        <v>35.64</v>
      </c>
      <c r="B423" s="2">
        <v>1.1685125000000001</v>
      </c>
      <c r="C423" s="2">
        <v>0.3026372</v>
      </c>
      <c r="D423" s="2">
        <v>0.67764349999999995</v>
      </c>
      <c r="E423" s="12"/>
      <c r="F423" s="2"/>
      <c r="G423" s="13"/>
      <c r="H423" s="18"/>
      <c r="I423" s="8"/>
      <c r="J423" s="17"/>
      <c r="K423" s="12"/>
      <c r="L423" s="2"/>
      <c r="M423" s="17"/>
      <c r="N423" s="12"/>
      <c r="O423" s="2"/>
      <c r="P423" s="17"/>
      <c r="Q423" s="12"/>
      <c r="R423" s="2"/>
      <c r="S423" s="17"/>
      <c r="T423" s="12"/>
      <c r="U423" s="2"/>
      <c r="V423" s="17"/>
      <c r="W423" s="12"/>
      <c r="X423" s="2"/>
      <c r="Y423" s="17"/>
    </row>
    <row r="424" spans="1:25" hidden="1" x14ac:dyDescent="0.25">
      <c r="A424" s="6">
        <v>37</v>
      </c>
      <c r="B424" s="2">
        <v>1.2148623000000001</v>
      </c>
      <c r="C424" s="2">
        <v>0.27787319999999999</v>
      </c>
      <c r="D424" s="2">
        <v>0.65843600000000002</v>
      </c>
      <c r="E424" s="12"/>
      <c r="F424" s="2"/>
      <c r="G424" s="13"/>
      <c r="H424" s="18"/>
      <c r="I424" s="8"/>
      <c r="J424" s="17"/>
      <c r="K424" s="12"/>
      <c r="L424" s="2"/>
      <c r="M424" s="17"/>
      <c r="N424" s="12"/>
      <c r="O424" s="2"/>
      <c r="P424" s="17"/>
      <c r="Q424" s="12"/>
      <c r="R424" s="2"/>
      <c r="S424" s="17"/>
      <c r="T424" s="12"/>
      <c r="U424" s="2"/>
      <c r="V424" s="17"/>
      <c r="W424" s="12"/>
      <c r="X424" s="2"/>
      <c r="Y424" s="17"/>
    </row>
    <row r="425" spans="1:25" hidden="1" x14ac:dyDescent="0.25">
      <c r="A425" s="6">
        <v>38.24</v>
      </c>
      <c r="B425" s="2">
        <v>1.2585713999999999</v>
      </c>
      <c r="C425" s="2">
        <v>0.26337110000000002</v>
      </c>
      <c r="D425" s="2">
        <v>0.63998140000000003</v>
      </c>
      <c r="E425" s="12"/>
      <c r="F425" s="2"/>
      <c r="G425" s="13"/>
      <c r="H425" s="18"/>
      <c r="I425" s="8"/>
      <c r="J425" s="17"/>
      <c r="K425" s="12"/>
      <c r="L425" s="2"/>
      <c r="M425" s="17"/>
      <c r="N425" s="12"/>
      <c r="O425" s="2"/>
      <c r="P425" s="17"/>
      <c r="Q425" s="12"/>
      <c r="R425" s="2"/>
      <c r="S425" s="17"/>
      <c r="T425" s="12"/>
      <c r="U425" s="2"/>
      <c r="V425" s="17"/>
      <c r="W425" s="12"/>
      <c r="X425" s="2"/>
      <c r="Y425" s="17"/>
    </row>
    <row r="426" spans="1:25" hidden="1" x14ac:dyDescent="0.25">
      <c r="A426" s="6">
        <v>39.6</v>
      </c>
      <c r="B426" s="2">
        <v>1.3014867999999999</v>
      </c>
      <c r="C426" s="2">
        <v>0.25161739999999999</v>
      </c>
      <c r="D426" s="2">
        <v>0.61880219999999997</v>
      </c>
      <c r="E426" s="12"/>
      <c r="F426" s="2"/>
      <c r="G426" s="13"/>
      <c r="H426" s="18"/>
      <c r="I426" s="8"/>
      <c r="J426" s="17"/>
      <c r="K426" s="12"/>
      <c r="L426" s="2"/>
      <c r="M426" s="17"/>
      <c r="N426" s="12"/>
      <c r="O426" s="2"/>
      <c r="P426" s="17"/>
      <c r="Q426" s="12"/>
      <c r="R426" s="2"/>
      <c r="S426" s="17"/>
      <c r="T426" s="12"/>
      <c r="U426" s="2"/>
      <c r="V426" s="17"/>
      <c r="W426" s="12"/>
      <c r="X426" s="2"/>
      <c r="Y426" s="17"/>
    </row>
    <row r="427" spans="1:25" hidden="1" x14ac:dyDescent="0.25">
      <c r="A427" s="6">
        <v>41.14</v>
      </c>
      <c r="B427" s="2">
        <v>1.3399196</v>
      </c>
      <c r="C427" s="2">
        <v>0.2384</v>
      </c>
      <c r="D427" s="2">
        <v>0.59278220000000004</v>
      </c>
      <c r="E427" s="12"/>
      <c r="F427" s="2"/>
      <c r="G427" s="13"/>
      <c r="H427" s="18"/>
      <c r="I427" s="8"/>
      <c r="J427" s="17"/>
      <c r="K427" s="12"/>
      <c r="L427" s="2"/>
      <c r="M427" s="17"/>
      <c r="N427" s="12"/>
      <c r="O427" s="2"/>
      <c r="P427" s="17"/>
      <c r="Q427" s="12"/>
      <c r="R427" s="2"/>
      <c r="S427" s="17"/>
      <c r="T427" s="12"/>
      <c r="U427" s="2"/>
      <c r="V427" s="17"/>
      <c r="W427" s="12"/>
      <c r="X427" s="2"/>
      <c r="Y427" s="17"/>
    </row>
    <row r="428" spans="1:25" hidden="1" x14ac:dyDescent="0.25">
      <c r="A428" s="6">
        <v>42.76</v>
      </c>
      <c r="B428" s="2">
        <v>1.4445485</v>
      </c>
      <c r="C428" s="2">
        <v>0.2336413</v>
      </c>
      <c r="D428" s="2">
        <v>0.56156019999999995</v>
      </c>
      <c r="E428" s="12"/>
      <c r="F428" s="2"/>
      <c r="G428" s="13"/>
      <c r="H428" s="18"/>
      <c r="I428" s="8"/>
      <c r="J428" s="17"/>
      <c r="K428" s="12"/>
      <c r="L428" s="2"/>
      <c r="M428" s="17"/>
      <c r="N428" s="12"/>
      <c r="O428" s="2"/>
      <c r="P428" s="17"/>
      <c r="Q428" s="12"/>
      <c r="R428" s="2"/>
      <c r="S428" s="17"/>
      <c r="T428" s="12"/>
      <c r="U428" s="2"/>
      <c r="V428" s="17"/>
      <c r="W428" s="12"/>
      <c r="X428" s="2"/>
      <c r="Y428" s="17"/>
    </row>
    <row r="429" spans="1:25" hidden="1" x14ac:dyDescent="0.25">
      <c r="A429" s="6">
        <v>43.58</v>
      </c>
      <c r="B429" s="2">
        <v>1.5447867</v>
      </c>
      <c r="C429" s="2">
        <v>0.239511</v>
      </c>
      <c r="D429" s="2">
        <v>0.54392209999999996</v>
      </c>
      <c r="E429" s="12"/>
      <c r="F429" s="2"/>
      <c r="G429" s="13"/>
      <c r="H429" s="18"/>
      <c r="I429" s="8"/>
      <c r="J429" s="17"/>
      <c r="K429" s="12"/>
      <c r="L429" s="2"/>
      <c r="M429" s="17"/>
      <c r="N429" s="12"/>
      <c r="O429" s="2"/>
      <c r="P429" s="17"/>
      <c r="Q429" s="12"/>
      <c r="R429" s="2"/>
      <c r="S429" s="17"/>
      <c r="T429" s="12"/>
      <c r="U429" s="2"/>
      <c r="V429" s="17"/>
      <c r="W429" s="12"/>
      <c r="X429" s="2"/>
      <c r="Y429" s="17"/>
    </row>
    <row r="430" spans="1:25" hidden="1" x14ac:dyDescent="0.25">
      <c r="A430" s="6">
        <v>44.58</v>
      </c>
      <c r="B430" s="2">
        <v>1.7425668999999999</v>
      </c>
      <c r="C430" s="2">
        <v>0.2597294</v>
      </c>
      <c r="D430" s="2">
        <v>0.52258870000000002</v>
      </c>
      <c r="E430" s="12"/>
      <c r="F430" s="2"/>
      <c r="G430" s="13"/>
      <c r="H430" s="18"/>
      <c r="I430" s="8"/>
      <c r="J430" s="17"/>
      <c r="K430" s="12"/>
      <c r="L430" s="2"/>
      <c r="M430" s="17"/>
      <c r="N430" s="12"/>
      <c r="O430" s="2"/>
      <c r="P430" s="17"/>
      <c r="Q430" s="12"/>
      <c r="R430" s="2"/>
      <c r="S430" s="17"/>
      <c r="T430" s="12"/>
      <c r="U430" s="2"/>
      <c r="V430" s="17"/>
      <c r="W430" s="12"/>
      <c r="X430" s="2"/>
      <c r="Y430" s="17"/>
    </row>
    <row r="431" spans="1:25" hidden="1" x14ac:dyDescent="0.25">
      <c r="A431" s="6">
        <v>45.5</v>
      </c>
      <c r="B431" s="2">
        <v>1.9950890999999999</v>
      </c>
      <c r="C431" s="2">
        <v>0.28871469999999999</v>
      </c>
      <c r="D431" s="2">
        <v>0.50417599999999996</v>
      </c>
      <c r="E431" s="12"/>
      <c r="F431" s="2"/>
      <c r="G431" s="13"/>
      <c r="H431" s="18"/>
      <c r="I431" s="8"/>
      <c r="J431" s="17"/>
      <c r="K431" s="12"/>
      <c r="L431" s="2"/>
      <c r="M431" s="17"/>
      <c r="N431" s="12"/>
      <c r="O431" s="2"/>
      <c r="P431" s="17"/>
      <c r="Q431" s="12"/>
      <c r="R431" s="2"/>
      <c r="S431" s="17"/>
      <c r="T431" s="12"/>
      <c r="U431" s="2"/>
      <c r="V431" s="17"/>
      <c r="W431" s="12"/>
      <c r="X431" s="2"/>
      <c r="Y431" s="17"/>
    </row>
    <row r="432" spans="1:25" hidden="1" x14ac:dyDescent="0.25">
      <c r="A432" s="6">
        <v>46.15</v>
      </c>
      <c r="B432" s="2">
        <v>2.1832943</v>
      </c>
      <c r="C432" s="2">
        <v>0.31171949999999998</v>
      </c>
      <c r="D432" s="2">
        <v>0.4930194</v>
      </c>
      <c r="E432" s="12"/>
      <c r="F432" s="2"/>
      <c r="G432" s="13"/>
      <c r="H432" s="18"/>
      <c r="I432" s="8"/>
      <c r="J432" s="17"/>
      <c r="K432" s="12"/>
      <c r="L432" s="2"/>
      <c r="M432" s="17"/>
      <c r="N432" s="12"/>
      <c r="O432" s="2"/>
      <c r="P432" s="17"/>
      <c r="Q432" s="12"/>
      <c r="R432" s="2"/>
      <c r="S432" s="17"/>
      <c r="T432" s="12"/>
      <c r="U432" s="2"/>
      <c r="V432" s="17"/>
      <c r="W432" s="12"/>
      <c r="X432" s="2"/>
      <c r="Y432" s="17"/>
    </row>
    <row r="433" spans="1:25" hidden="1" x14ac:dyDescent="0.25">
      <c r="A433" s="6">
        <v>46.71</v>
      </c>
      <c r="B433" s="2">
        <v>2.3170440000000001</v>
      </c>
      <c r="C433" s="2">
        <v>0.33051520000000001</v>
      </c>
      <c r="D433" s="2">
        <v>0.48549629999999999</v>
      </c>
      <c r="E433" s="12"/>
      <c r="F433" s="2"/>
      <c r="G433" s="13"/>
      <c r="H433" s="18"/>
      <c r="I433" s="8"/>
      <c r="J433" s="17"/>
      <c r="K433" s="12"/>
      <c r="L433" s="2"/>
      <c r="M433" s="17"/>
      <c r="N433" s="12"/>
      <c r="O433" s="2"/>
      <c r="P433" s="17"/>
      <c r="Q433" s="12"/>
      <c r="R433" s="2"/>
      <c r="S433" s="17"/>
      <c r="T433" s="12"/>
      <c r="U433" s="2"/>
      <c r="V433" s="17"/>
      <c r="W433" s="12"/>
      <c r="X433" s="2"/>
      <c r="Y433" s="17"/>
    </row>
    <row r="434" spans="1:25" hidden="1" x14ac:dyDescent="0.25">
      <c r="A434" s="6">
        <v>47.36</v>
      </c>
      <c r="B434" s="2">
        <v>2.4133882999999998</v>
      </c>
      <c r="C434" s="2">
        <v>0.3484371</v>
      </c>
      <c r="D434" s="2">
        <v>0.47992099999999999</v>
      </c>
      <c r="E434" s="12"/>
      <c r="F434" s="2"/>
      <c r="G434" s="13"/>
      <c r="H434" s="18"/>
      <c r="I434" s="8"/>
      <c r="J434" s="17"/>
      <c r="K434" s="12"/>
      <c r="L434" s="2"/>
      <c r="M434" s="17"/>
      <c r="N434" s="12"/>
      <c r="O434" s="2"/>
      <c r="P434" s="17"/>
      <c r="Q434" s="12"/>
      <c r="R434" s="2"/>
      <c r="S434" s="17"/>
      <c r="T434" s="12"/>
      <c r="U434" s="2"/>
      <c r="V434" s="17"/>
      <c r="W434" s="12"/>
      <c r="X434" s="2"/>
      <c r="Y434" s="17"/>
    </row>
    <row r="435" spans="1:25" hidden="1" x14ac:dyDescent="0.25">
      <c r="A435" s="6">
        <v>48</v>
      </c>
      <c r="B435" s="2">
        <v>2.4540367000000001</v>
      </c>
      <c r="C435" s="2">
        <v>0.36215779999999997</v>
      </c>
      <c r="D435" s="2">
        <v>0.4781765</v>
      </c>
      <c r="E435" s="12"/>
      <c r="F435" s="2"/>
      <c r="G435" s="13"/>
      <c r="H435" s="18"/>
      <c r="I435" s="8"/>
      <c r="J435" s="17"/>
      <c r="K435" s="12"/>
      <c r="L435" s="2"/>
      <c r="M435" s="17"/>
      <c r="N435" s="12"/>
      <c r="O435" s="2"/>
      <c r="P435" s="17"/>
      <c r="Q435" s="12"/>
      <c r="R435" s="2"/>
      <c r="S435" s="17"/>
      <c r="T435" s="12"/>
      <c r="U435" s="2"/>
      <c r="V435" s="17"/>
      <c r="W435" s="12"/>
      <c r="X435" s="2"/>
      <c r="Y435" s="17"/>
    </row>
    <row r="436" spans="1:25" hidden="1" x14ac:dyDescent="0.25">
      <c r="A436" s="6">
        <v>48.78</v>
      </c>
      <c r="B436" s="2">
        <v>2.4540207000000001</v>
      </c>
      <c r="C436" s="2">
        <v>0.3747357</v>
      </c>
      <c r="D436" s="2">
        <v>0.47911169999999997</v>
      </c>
      <c r="E436" s="12"/>
      <c r="F436" s="2"/>
      <c r="G436" s="13"/>
      <c r="H436" s="18"/>
      <c r="I436" s="8"/>
      <c r="J436" s="17"/>
      <c r="K436" s="12"/>
      <c r="L436" s="2"/>
      <c r="M436" s="17"/>
      <c r="N436" s="12"/>
      <c r="O436" s="2"/>
      <c r="P436" s="17"/>
      <c r="Q436" s="12"/>
      <c r="R436" s="2"/>
      <c r="S436" s="17"/>
      <c r="T436" s="12"/>
      <c r="U436" s="2"/>
      <c r="V436" s="17"/>
      <c r="W436" s="12"/>
      <c r="X436" s="2"/>
      <c r="Y436" s="17"/>
    </row>
    <row r="437" spans="1:25" hidden="1" x14ac:dyDescent="0.25">
      <c r="A437" s="6">
        <v>50.03</v>
      </c>
      <c r="B437" s="2">
        <v>2.3919895000000002</v>
      </c>
      <c r="C437" s="2">
        <v>0.38948719999999998</v>
      </c>
      <c r="D437" s="2">
        <v>0.48094540000000002</v>
      </c>
      <c r="E437" s="12"/>
      <c r="F437" s="2"/>
      <c r="G437" s="13"/>
      <c r="H437" s="18"/>
      <c r="I437" s="8"/>
      <c r="J437" s="17"/>
      <c r="K437" s="12"/>
      <c r="L437" s="2"/>
      <c r="M437" s="17"/>
      <c r="N437" s="12"/>
      <c r="O437" s="2"/>
      <c r="P437" s="17"/>
      <c r="Q437" s="12"/>
      <c r="R437" s="2"/>
      <c r="S437" s="17"/>
      <c r="T437" s="12"/>
      <c r="U437" s="2"/>
      <c r="V437" s="17"/>
      <c r="W437" s="12"/>
      <c r="X437" s="2"/>
      <c r="Y437" s="17"/>
    </row>
    <row r="438" spans="1:25" hidden="1" x14ac:dyDescent="0.25">
      <c r="A438" s="6">
        <v>51.28</v>
      </c>
      <c r="B438" s="2">
        <v>2.2995453000000001</v>
      </c>
      <c r="C438" s="2">
        <v>0.39902029999999999</v>
      </c>
      <c r="D438" s="2">
        <v>0.47879369999999999</v>
      </c>
      <c r="E438" s="12"/>
      <c r="F438" s="2"/>
      <c r="G438" s="13"/>
      <c r="H438" s="18"/>
      <c r="I438" s="8"/>
      <c r="J438" s="17"/>
      <c r="K438" s="12"/>
      <c r="L438" s="2"/>
      <c r="M438" s="17"/>
      <c r="N438" s="12"/>
      <c r="O438" s="2"/>
      <c r="P438" s="17"/>
      <c r="Q438" s="12"/>
      <c r="R438" s="2"/>
      <c r="S438" s="17"/>
      <c r="T438" s="12"/>
      <c r="U438" s="2"/>
      <c r="V438" s="17"/>
      <c r="W438" s="12"/>
      <c r="X438" s="2"/>
      <c r="Y438" s="17"/>
    </row>
    <row r="439" spans="1:25" hidden="1" x14ac:dyDescent="0.25">
      <c r="A439" s="6">
        <v>52.75</v>
      </c>
      <c r="B439" s="2">
        <v>2.1946626</v>
      </c>
      <c r="C439" s="2">
        <v>0.40527239999999998</v>
      </c>
      <c r="D439" s="2">
        <v>0.47158260000000002</v>
      </c>
      <c r="E439" s="12"/>
      <c r="F439" s="2"/>
      <c r="G439" s="13"/>
      <c r="H439" s="18"/>
      <c r="I439" s="8"/>
      <c r="J439" s="17"/>
      <c r="K439" s="12"/>
      <c r="L439" s="2"/>
      <c r="M439" s="17"/>
      <c r="N439" s="12"/>
      <c r="O439" s="2"/>
      <c r="P439" s="17"/>
      <c r="Q439" s="12"/>
      <c r="R439" s="2"/>
      <c r="S439" s="17"/>
      <c r="T439" s="12"/>
      <c r="U439" s="2"/>
      <c r="V439" s="17"/>
      <c r="W439" s="12"/>
      <c r="X439" s="2"/>
      <c r="Y439" s="17"/>
    </row>
    <row r="440" spans="1:25" hidden="1" x14ac:dyDescent="0.25">
      <c r="A440" s="6">
        <v>53.5</v>
      </c>
      <c r="B440" s="2">
        <v>2.1504927</v>
      </c>
      <c r="C440" s="2">
        <v>0.40737000000000001</v>
      </c>
      <c r="D440" s="2">
        <v>0.46665770000000001</v>
      </c>
      <c r="E440" s="12"/>
      <c r="F440" s="2"/>
      <c r="G440" s="13"/>
      <c r="H440" s="18"/>
      <c r="I440" s="8"/>
      <c r="J440" s="17"/>
      <c r="K440" s="12"/>
      <c r="L440" s="2"/>
      <c r="M440" s="17"/>
      <c r="N440" s="12"/>
      <c r="O440" s="2"/>
      <c r="P440" s="17"/>
      <c r="Q440" s="12"/>
      <c r="R440" s="2"/>
      <c r="S440" s="17"/>
      <c r="T440" s="12"/>
      <c r="U440" s="2"/>
      <c r="V440" s="17"/>
      <c r="W440" s="12"/>
      <c r="X440" s="2"/>
      <c r="Y440" s="17"/>
    </row>
    <row r="441" spans="1:25" hidden="1" x14ac:dyDescent="0.25">
      <c r="A441" s="6">
        <v>54.24</v>
      </c>
      <c r="B441" s="2">
        <v>2.1260612000000001</v>
      </c>
      <c r="C441" s="2">
        <v>0.4114546</v>
      </c>
      <c r="D441" s="2">
        <v>0.46157379999999998</v>
      </c>
      <c r="E441" s="12"/>
      <c r="F441" s="2"/>
      <c r="G441" s="13"/>
      <c r="H441" s="18"/>
      <c r="I441" s="8"/>
      <c r="J441" s="17"/>
      <c r="K441" s="12"/>
      <c r="L441" s="2"/>
      <c r="M441" s="17"/>
      <c r="N441" s="12"/>
      <c r="O441" s="2"/>
      <c r="P441" s="17"/>
      <c r="Q441" s="12"/>
      <c r="R441" s="2"/>
      <c r="S441" s="17"/>
      <c r="T441" s="12"/>
      <c r="U441" s="2"/>
      <c r="V441" s="17"/>
      <c r="W441" s="12"/>
      <c r="X441" s="2"/>
      <c r="Y441" s="17"/>
    </row>
    <row r="442" spans="1:25" hidden="1" x14ac:dyDescent="0.25">
      <c r="A442" s="6">
        <v>55</v>
      </c>
      <c r="B442" s="2">
        <v>2.0967525999999999</v>
      </c>
      <c r="C442" s="2">
        <v>0.4217321</v>
      </c>
      <c r="D442" s="2">
        <v>0.45850829999999998</v>
      </c>
      <c r="E442" s="12"/>
      <c r="F442" s="2"/>
      <c r="G442" s="13"/>
      <c r="H442" s="18"/>
      <c r="I442" s="8"/>
      <c r="J442" s="17"/>
      <c r="K442" s="12"/>
      <c r="L442" s="2"/>
      <c r="M442" s="17"/>
      <c r="N442" s="12"/>
      <c r="O442" s="2"/>
      <c r="P442" s="17"/>
      <c r="Q442" s="12"/>
      <c r="R442" s="2"/>
      <c r="S442" s="17"/>
      <c r="T442" s="12"/>
      <c r="U442" s="2"/>
      <c r="V442" s="17"/>
      <c r="W442" s="12"/>
      <c r="X442" s="2"/>
      <c r="Y442" s="17"/>
    </row>
    <row r="443" spans="1:25" hidden="1" x14ac:dyDescent="0.25">
      <c r="A443" s="6">
        <v>55.74</v>
      </c>
      <c r="B443" s="2">
        <v>2.0428796</v>
      </c>
      <c r="C443" s="2">
        <v>0.4351178</v>
      </c>
      <c r="D443" s="2">
        <v>0.4571344</v>
      </c>
      <c r="E443" s="12"/>
      <c r="F443" s="2"/>
      <c r="G443" s="13"/>
      <c r="H443" s="18"/>
      <c r="I443" s="8"/>
      <c r="J443" s="17"/>
      <c r="K443" s="12"/>
      <c r="L443" s="2"/>
      <c r="M443" s="17"/>
      <c r="N443" s="12"/>
      <c r="O443" s="2"/>
      <c r="P443" s="17"/>
      <c r="Q443" s="12"/>
      <c r="R443" s="2"/>
      <c r="S443" s="17"/>
      <c r="T443" s="12"/>
      <c r="U443" s="2"/>
      <c r="V443" s="17"/>
      <c r="W443" s="12"/>
      <c r="X443" s="2"/>
      <c r="Y443" s="17"/>
    </row>
    <row r="444" spans="1:25" hidden="1" x14ac:dyDescent="0.25">
      <c r="A444" s="6">
        <v>56.4</v>
      </c>
      <c r="B444" s="2">
        <v>1.9677401999999999</v>
      </c>
      <c r="C444" s="2">
        <v>0.44759840000000001</v>
      </c>
      <c r="D444" s="2">
        <v>0.45613819999999999</v>
      </c>
      <c r="E444" s="12"/>
      <c r="F444" s="2"/>
      <c r="G444" s="13"/>
      <c r="H444" s="18"/>
      <c r="I444" s="8"/>
      <c r="J444" s="17"/>
      <c r="K444" s="12"/>
      <c r="L444" s="2"/>
      <c r="M444" s="17"/>
      <c r="N444" s="12"/>
      <c r="O444" s="2"/>
      <c r="P444" s="17"/>
      <c r="Q444" s="12"/>
      <c r="R444" s="2"/>
      <c r="S444" s="17"/>
      <c r="T444" s="12"/>
      <c r="U444" s="2"/>
      <c r="V444" s="17"/>
      <c r="W444" s="12"/>
      <c r="X444" s="2"/>
      <c r="Y444" s="17"/>
    </row>
    <row r="445" spans="1:25" hidden="1" x14ac:dyDescent="0.25">
      <c r="A445" s="6">
        <v>57</v>
      </c>
      <c r="B445" s="2">
        <v>1.8768918999999999</v>
      </c>
      <c r="C445" s="2">
        <v>0.45756459999999999</v>
      </c>
      <c r="D445" s="2">
        <v>0.45448080000000002</v>
      </c>
      <c r="E445" s="12"/>
      <c r="F445" s="2"/>
      <c r="G445" s="13"/>
      <c r="H445" s="18"/>
      <c r="I445" s="8"/>
      <c r="J445" s="17"/>
      <c r="K445" s="12"/>
      <c r="L445" s="2"/>
      <c r="M445" s="17"/>
      <c r="N445" s="12"/>
      <c r="O445" s="2"/>
      <c r="P445" s="17"/>
      <c r="Q445" s="12"/>
      <c r="R445" s="2"/>
      <c r="S445" s="17"/>
      <c r="T445" s="12"/>
      <c r="U445" s="2"/>
      <c r="V445" s="17"/>
      <c r="W445" s="12"/>
      <c r="X445" s="2"/>
      <c r="Y445" s="17"/>
    </row>
    <row r="446" spans="1:25" hidden="1" x14ac:dyDescent="0.25">
      <c r="A446" s="6">
        <v>57.46</v>
      </c>
      <c r="B446" s="2">
        <v>1.7948914</v>
      </c>
      <c r="C446" s="2">
        <v>0.46299869999999999</v>
      </c>
      <c r="D446" s="2">
        <v>0.45217940000000001</v>
      </c>
      <c r="E446" s="12"/>
      <c r="F446" s="2"/>
      <c r="G446" s="13"/>
      <c r="H446" s="18"/>
      <c r="I446" s="8"/>
      <c r="J446" s="17"/>
      <c r="K446" s="12"/>
      <c r="L446" s="2"/>
      <c r="M446" s="17"/>
      <c r="N446" s="12"/>
      <c r="O446" s="2"/>
      <c r="P446" s="17"/>
      <c r="Q446" s="12"/>
      <c r="R446" s="2"/>
      <c r="S446" s="17"/>
      <c r="T446" s="12"/>
      <c r="U446" s="2"/>
      <c r="V446" s="17"/>
      <c r="W446" s="12"/>
      <c r="X446" s="2"/>
      <c r="Y446" s="17"/>
    </row>
    <row r="447" spans="1:25" hidden="1" x14ac:dyDescent="0.25">
      <c r="A447" s="6">
        <v>58.4</v>
      </c>
      <c r="B447" s="2">
        <v>1.6138299</v>
      </c>
      <c r="C447" s="2">
        <v>0.46358280000000002</v>
      </c>
      <c r="D447" s="2">
        <v>0.44340380000000001</v>
      </c>
      <c r="E447" s="12"/>
      <c r="F447" s="2"/>
      <c r="G447" s="13"/>
      <c r="H447" s="18"/>
      <c r="I447" s="8"/>
      <c r="J447" s="17"/>
      <c r="K447" s="12"/>
      <c r="L447" s="2"/>
      <c r="M447" s="17"/>
      <c r="N447" s="12"/>
      <c r="O447" s="2"/>
      <c r="P447" s="17"/>
      <c r="Q447" s="12"/>
      <c r="R447" s="2"/>
      <c r="S447" s="17"/>
      <c r="T447" s="12"/>
      <c r="U447" s="2"/>
      <c r="V447" s="17"/>
      <c r="W447" s="12"/>
      <c r="X447" s="2"/>
      <c r="Y447" s="17"/>
    </row>
    <row r="448" spans="1:25" hidden="1" x14ac:dyDescent="0.25">
      <c r="A448" s="6">
        <v>59.29</v>
      </c>
      <c r="B448" s="2">
        <v>1.4608718999999999</v>
      </c>
      <c r="C448" s="2">
        <v>0.44303300000000001</v>
      </c>
      <c r="D448" s="2">
        <v>0.42909370000000002</v>
      </c>
      <c r="E448" s="12"/>
      <c r="F448" s="2"/>
      <c r="G448" s="13"/>
      <c r="H448" s="18"/>
      <c r="I448" s="8"/>
      <c r="J448" s="17"/>
      <c r="K448" s="12"/>
      <c r="L448" s="2"/>
      <c r="M448" s="17"/>
      <c r="N448" s="12"/>
      <c r="O448" s="2"/>
      <c r="P448" s="17"/>
      <c r="Q448" s="12"/>
      <c r="R448" s="2"/>
      <c r="S448" s="17"/>
      <c r="T448" s="12"/>
      <c r="U448" s="2"/>
      <c r="V448" s="17"/>
      <c r="W448" s="12"/>
      <c r="X448" s="2"/>
      <c r="Y448" s="17"/>
    </row>
    <row r="449" spans="1:25" hidden="1" x14ac:dyDescent="0.25">
      <c r="A449" s="6">
        <v>60</v>
      </c>
      <c r="B449" s="2">
        <v>1.4170377000000001</v>
      </c>
      <c r="C449" s="2">
        <v>0.4083212</v>
      </c>
      <c r="D449" s="2">
        <v>0.41459679999999999</v>
      </c>
      <c r="E449" s="12"/>
      <c r="F449" s="2"/>
      <c r="G449" s="13"/>
      <c r="H449" s="18"/>
      <c r="I449" s="8"/>
      <c r="J449" s="17"/>
      <c r="K449" s="12"/>
      <c r="L449" s="2"/>
      <c r="M449" s="17"/>
      <c r="N449" s="12"/>
      <c r="O449" s="2"/>
      <c r="P449" s="17"/>
      <c r="Q449" s="12"/>
      <c r="R449" s="2"/>
      <c r="S449" s="17"/>
      <c r="T449" s="12"/>
      <c r="U449" s="2"/>
      <c r="V449" s="17"/>
      <c r="W449" s="12"/>
      <c r="X449" s="2"/>
      <c r="Y449" s="17"/>
    </row>
    <row r="450" spans="1:25" hidden="1" x14ac:dyDescent="0.25">
      <c r="A450" s="6">
        <v>61</v>
      </c>
      <c r="B450" s="2">
        <v>1.4080421999999999</v>
      </c>
      <c r="C450" s="2">
        <v>0.37724829999999998</v>
      </c>
      <c r="D450" s="2">
        <v>0.3982521</v>
      </c>
      <c r="E450" s="12"/>
      <c r="F450" s="2"/>
      <c r="G450" s="13"/>
      <c r="H450" s="18"/>
      <c r="I450" s="8"/>
      <c r="J450" s="17"/>
      <c r="K450" s="12"/>
      <c r="L450" s="2"/>
      <c r="M450" s="17"/>
      <c r="N450" s="12"/>
      <c r="O450" s="2"/>
      <c r="P450" s="17"/>
      <c r="Q450" s="12"/>
      <c r="R450" s="2"/>
      <c r="S450" s="17"/>
      <c r="T450" s="12"/>
      <c r="U450" s="2"/>
      <c r="V450" s="17"/>
      <c r="W450" s="12"/>
      <c r="X450" s="2"/>
      <c r="Y450" s="17"/>
    </row>
    <row r="451" spans="1:25" hidden="1" x14ac:dyDescent="0.25">
      <c r="A451" s="6">
        <v>61.25</v>
      </c>
      <c r="B451" s="2">
        <v>1.4099647</v>
      </c>
      <c r="C451" s="2">
        <v>0.37145430000000002</v>
      </c>
      <c r="D451" s="2">
        <v>0.39460879999999998</v>
      </c>
      <c r="E451" s="12"/>
      <c r="F451" s="2"/>
      <c r="G451" s="13"/>
      <c r="H451" s="18"/>
      <c r="I451" s="8"/>
      <c r="J451" s="17"/>
      <c r="K451" s="12"/>
      <c r="L451" s="2"/>
      <c r="M451" s="17"/>
      <c r="N451" s="12"/>
      <c r="O451" s="2"/>
      <c r="P451" s="17"/>
      <c r="Q451" s="12"/>
      <c r="R451" s="2"/>
      <c r="S451" s="17"/>
      <c r="T451" s="12"/>
      <c r="U451" s="2"/>
      <c r="V451" s="17"/>
      <c r="W451" s="12"/>
      <c r="X451" s="2"/>
      <c r="Y451" s="17"/>
    </row>
    <row r="452" spans="1:25" hidden="1" x14ac:dyDescent="0.25">
      <c r="A452" s="6">
        <v>62.5</v>
      </c>
      <c r="B452" s="2">
        <v>1.4295239</v>
      </c>
      <c r="C452" s="2">
        <v>0.35048859999999998</v>
      </c>
      <c r="D452" s="2">
        <v>0.37826520000000002</v>
      </c>
      <c r="E452" s="12"/>
      <c r="F452" s="2"/>
      <c r="G452" s="13"/>
      <c r="H452" s="18"/>
      <c r="I452" s="8"/>
      <c r="J452" s="17"/>
      <c r="K452" s="12"/>
      <c r="L452" s="2"/>
      <c r="M452" s="17"/>
      <c r="N452" s="12"/>
      <c r="O452" s="2"/>
      <c r="P452" s="17"/>
      <c r="Q452" s="12"/>
      <c r="R452" s="2"/>
      <c r="S452" s="17"/>
      <c r="T452" s="12"/>
      <c r="U452" s="2"/>
      <c r="V452" s="17"/>
      <c r="W452" s="12"/>
      <c r="X452" s="2"/>
      <c r="Y452" s="17"/>
    </row>
    <row r="453" spans="1:25" hidden="1" x14ac:dyDescent="0.25">
      <c r="A453" s="6">
        <v>63.78</v>
      </c>
      <c r="B453" s="2">
        <v>1.4557214999999999</v>
      </c>
      <c r="C453" s="2">
        <v>0.33947300000000002</v>
      </c>
      <c r="D453" s="2">
        <v>0.36430649999999998</v>
      </c>
      <c r="E453" s="12"/>
      <c r="F453" s="2"/>
      <c r="G453" s="13"/>
      <c r="H453" s="18"/>
      <c r="I453" s="8"/>
      <c r="J453" s="17"/>
      <c r="K453" s="12"/>
      <c r="L453" s="2"/>
      <c r="M453" s="17"/>
      <c r="N453" s="12"/>
      <c r="O453" s="2"/>
      <c r="P453" s="17"/>
      <c r="Q453" s="12"/>
      <c r="R453" s="2"/>
      <c r="S453" s="17"/>
      <c r="T453" s="12"/>
      <c r="U453" s="2"/>
      <c r="V453" s="17"/>
      <c r="W453" s="12"/>
      <c r="X453" s="2"/>
      <c r="Y453" s="17"/>
    </row>
    <row r="454" spans="1:25" hidden="1" x14ac:dyDescent="0.25">
      <c r="A454" s="6">
        <v>64.67</v>
      </c>
      <c r="B454" s="2">
        <v>1.4728844999999999</v>
      </c>
      <c r="C454" s="2">
        <v>0.33617859999999999</v>
      </c>
      <c r="D454" s="2">
        <v>0.35600480000000001</v>
      </c>
      <c r="E454" s="12"/>
      <c r="F454" s="2"/>
      <c r="G454" s="13"/>
      <c r="H454" s="18"/>
      <c r="I454" s="8"/>
      <c r="J454" s="17"/>
      <c r="K454" s="12"/>
      <c r="L454" s="2"/>
      <c r="M454" s="17"/>
      <c r="N454" s="12"/>
      <c r="O454" s="2"/>
      <c r="P454" s="17"/>
      <c r="Q454" s="12"/>
      <c r="R454" s="2"/>
      <c r="S454" s="17"/>
      <c r="T454" s="12"/>
      <c r="U454" s="2"/>
      <c r="V454" s="17"/>
      <c r="W454" s="12"/>
      <c r="X454" s="2"/>
      <c r="Y454" s="17"/>
    </row>
    <row r="455" spans="1:25" hidden="1" x14ac:dyDescent="0.25">
      <c r="A455" s="6">
        <v>65.58</v>
      </c>
      <c r="B455" s="2">
        <v>1.4865206</v>
      </c>
      <c r="C455" s="2">
        <v>0.33525779999999999</v>
      </c>
      <c r="D455" s="2">
        <v>0.34847359999999999</v>
      </c>
      <c r="E455" s="12"/>
      <c r="F455" s="2"/>
      <c r="G455" s="13"/>
      <c r="H455" s="18"/>
      <c r="I455" s="8"/>
      <c r="J455" s="17"/>
      <c r="K455" s="12"/>
      <c r="L455" s="2"/>
      <c r="M455" s="17"/>
      <c r="N455" s="12"/>
      <c r="O455" s="2"/>
      <c r="P455" s="17"/>
      <c r="Q455" s="12"/>
      <c r="R455" s="2"/>
      <c r="S455" s="17"/>
      <c r="T455" s="12"/>
      <c r="U455" s="2"/>
      <c r="V455" s="17"/>
      <c r="W455" s="12"/>
      <c r="X455" s="2"/>
      <c r="Y455" s="17"/>
    </row>
    <row r="456" spans="1:25" hidden="1" x14ac:dyDescent="0.25">
      <c r="A456" s="6">
        <v>66.55</v>
      </c>
      <c r="B456" s="2">
        <v>1.4955057</v>
      </c>
      <c r="C456" s="2">
        <v>0.33623419999999998</v>
      </c>
      <c r="D456" s="2">
        <v>0.34135910000000003</v>
      </c>
      <c r="E456" s="12"/>
      <c r="F456" s="2"/>
      <c r="G456" s="13"/>
      <c r="H456" s="18"/>
      <c r="I456" s="8"/>
      <c r="J456" s="17"/>
      <c r="K456" s="12"/>
      <c r="L456" s="2"/>
      <c r="M456" s="17"/>
      <c r="N456" s="12"/>
      <c r="O456" s="2"/>
      <c r="P456" s="17"/>
      <c r="Q456" s="12"/>
      <c r="R456" s="2"/>
      <c r="S456" s="17"/>
      <c r="T456" s="12"/>
      <c r="U456" s="2"/>
      <c r="V456" s="17"/>
      <c r="W456" s="12"/>
      <c r="X456" s="2"/>
      <c r="Y456" s="17"/>
    </row>
    <row r="457" spans="1:25" hidden="1" x14ac:dyDescent="0.25">
      <c r="A457" s="6">
        <v>67.599999999999994</v>
      </c>
      <c r="B457" s="2">
        <v>1.4974959000000001</v>
      </c>
      <c r="C457" s="2">
        <v>0.33900839999999999</v>
      </c>
      <c r="D457" s="2">
        <v>0.334594</v>
      </c>
      <c r="E457" s="12"/>
      <c r="F457" s="2"/>
      <c r="G457" s="13"/>
      <c r="H457" s="18"/>
      <c r="I457" s="8"/>
      <c r="J457" s="17"/>
      <c r="K457" s="12"/>
      <c r="L457" s="2"/>
      <c r="M457" s="17"/>
      <c r="N457" s="12"/>
      <c r="O457" s="2"/>
      <c r="P457" s="17"/>
      <c r="Q457" s="12"/>
      <c r="R457" s="2"/>
      <c r="S457" s="17"/>
      <c r="T457" s="12"/>
      <c r="U457" s="2"/>
      <c r="V457" s="17"/>
      <c r="W457" s="12"/>
      <c r="X457" s="2"/>
      <c r="Y457" s="17"/>
    </row>
    <row r="458" spans="1:25" hidden="1" x14ac:dyDescent="0.25">
      <c r="A458" s="6">
        <v>69</v>
      </c>
      <c r="B458" s="2">
        <v>1.4866701</v>
      </c>
      <c r="C458" s="2">
        <v>0.34450829999999999</v>
      </c>
      <c r="D458" s="2">
        <v>0.3267544</v>
      </c>
      <c r="E458" s="12"/>
      <c r="F458" s="2"/>
      <c r="G458" s="13"/>
      <c r="H458" s="18"/>
      <c r="I458" s="8"/>
      <c r="J458" s="17"/>
      <c r="K458" s="12"/>
      <c r="L458" s="2"/>
      <c r="M458" s="17"/>
      <c r="N458" s="12"/>
      <c r="O458" s="2"/>
      <c r="P458" s="17"/>
      <c r="Q458" s="12"/>
      <c r="R458" s="2"/>
      <c r="S458" s="17"/>
      <c r="T458" s="12"/>
      <c r="U458" s="2"/>
      <c r="V458" s="17"/>
      <c r="W458" s="12"/>
      <c r="X458" s="2"/>
      <c r="Y458" s="17"/>
    </row>
    <row r="459" spans="1:25" hidden="1" x14ac:dyDescent="0.25">
      <c r="A459" s="6">
        <v>70.53</v>
      </c>
      <c r="B459" s="2">
        <v>1.4581648</v>
      </c>
      <c r="C459" s="2">
        <v>0.35224240000000001</v>
      </c>
      <c r="D459" s="2">
        <v>0.31936759999999997</v>
      </c>
      <c r="E459" s="12"/>
      <c r="F459" s="2"/>
      <c r="G459" s="13"/>
      <c r="H459" s="18"/>
      <c r="I459" s="8"/>
      <c r="J459" s="17"/>
      <c r="K459" s="12"/>
      <c r="L459" s="2"/>
      <c r="M459" s="17"/>
      <c r="N459" s="12"/>
      <c r="O459" s="2"/>
      <c r="P459" s="17"/>
      <c r="Q459" s="12"/>
      <c r="R459" s="2"/>
      <c r="S459" s="17"/>
      <c r="T459" s="12"/>
      <c r="U459" s="2"/>
      <c r="V459" s="17"/>
      <c r="W459" s="12"/>
      <c r="X459" s="2"/>
      <c r="Y459" s="17"/>
    </row>
    <row r="460" spans="1:25" hidden="1" x14ac:dyDescent="0.25">
      <c r="A460" s="6">
        <v>73</v>
      </c>
      <c r="B460" s="2">
        <v>1.3751773</v>
      </c>
      <c r="C460" s="2">
        <v>0.36608089999999999</v>
      </c>
      <c r="D460" s="2">
        <v>0.30836999999999998</v>
      </c>
      <c r="E460" s="12"/>
      <c r="F460" s="2"/>
      <c r="G460" s="13"/>
      <c r="H460" s="18"/>
      <c r="I460" s="8"/>
      <c r="J460" s="17"/>
      <c r="K460" s="12"/>
      <c r="L460" s="2"/>
      <c r="M460" s="17"/>
      <c r="N460" s="12"/>
      <c r="O460" s="2"/>
      <c r="P460" s="17"/>
      <c r="Q460" s="12"/>
      <c r="R460" s="2"/>
      <c r="S460" s="17"/>
      <c r="T460" s="12"/>
      <c r="U460" s="2"/>
      <c r="V460" s="17"/>
      <c r="W460" s="12"/>
      <c r="X460" s="2"/>
      <c r="Y460" s="17"/>
    </row>
    <row r="461" spans="1:25" hidden="1" x14ac:dyDescent="0.25">
      <c r="A461" s="6">
        <v>75</v>
      </c>
      <c r="B461" s="2">
        <v>1.2830199</v>
      </c>
      <c r="C461" s="2">
        <v>0.37853429999999999</v>
      </c>
      <c r="D461" s="2">
        <v>0.29939729999999998</v>
      </c>
      <c r="E461" s="12"/>
      <c r="F461" s="2"/>
      <c r="G461" s="13"/>
      <c r="H461" s="18"/>
      <c r="I461" s="8"/>
      <c r="J461" s="17"/>
      <c r="K461" s="12"/>
      <c r="L461" s="2"/>
      <c r="M461" s="17"/>
      <c r="N461" s="12"/>
      <c r="O461" s="2"/>
      <c r="P461" s="17"/>
      <c r="Q461" s="12"/>
      <c r="R461" s="2"/>
      <c r="S461" s="17"/>
      <c r="T461" s="12"/>
      <c r="U461" s="2"/>
      <c r="V461" s="17"/>
      <c r="W461" s="12"/>
      <c r="X461" s="2"/>
      <c r="Y461" s="17"/>
    </row>
    <row r="462" spans="1:25" hidden="1" x14ac:dyDescent="0.25">
      <c r="A462" s="6">
        <v>76.290000000000006</v>
      </c>
      <c r="B462" s="2">
        <v>1.2135484999999999</v>
      </c>
      <c r="C462" s="2">
        <v>0.38610919999999999</v>
      </c>
      <c r="D462" s="2">
        <v>0.2928134</v>
      </c>
      <c r="E462" s="12"/>
      <c r="F462" s="2"/>
      <c r="G462" s="13"/>
      <c r="H462" s="18"/>
      <c r="I462" s="8"/>
      <c r="J462" s="17"/>
      <c r="K462" s="12"/>
      <c r="L462" s="2"/>
      <c r="M462" s="17"/>
      <c r="N462" s="12"/>
      <c r="O462" s="2"/>
      <c r="P462" s="17"/>
      <c r="Q462" s="12"/>
      <c r="R462" s="2"/>
      <c r="S462" s="17"/>
      <c r="T462" s="12"/>
      <c r="U462" s="2"/>
      <c r="V462" s="17"/>
      <c r="W462" s="12"/>
      <c r="X462" s="2"/>
      <c r="Y462" s="17"/>
    </row>
    <row r="463" spans="1:25" hidden="1" x14ac:dyDescent="0.25">
      <c r="A463" s="6">
        <v>80</v>
      </c>
      <c r="B463" s="2">
        <v>1.0400977</v>
      </c>
      <c r="C463" s="2">
        <v>0.39669389999999999</v>
      </c>
      <c r="D463" s="2">
        <v>0.27048719999999998</v>
      </c>
      <c r="E463" s="12"/>
      <c r="F463" s="2"/>
      <c r="G463" s="13"/>
      <c r="H463" s="18"/>
      <c r="I463" s="8"/>
      <c r="J463" s="17"/>
      <c r="K463" s="12"/>
      <c r="L463" s="2"/>
      <c r="M463" s="17"/>
      <c r="N463" s="12"/>
      <c r="O463" s="2"/>
      <c r="P463" s="17"/>
      <c r="Q463" s="12"/>
      <c r="R463" s="2"/>
      <c r="S463" s="17"/>
      <c r="T463" s="12"/>
      <c r="U463" s="2"/>
      <c r="V463" s="17"/>
      <c r="W463" s="12"/>
      <c r="X463" s="2"/>
      <c r="Y463" s="17"/>
    </row>
    <row r="464" spans="1:25" hidden="1" x14ac:dyDescent="0.25">
      <c r="A464" s="6">
        <v>82.97</v>
      </c>
      <c r="B464" s="2">
        <v>0.91645880000000002</v>
      </c>
      <c r="C464" s="2">
        <v>0.403281</v>
      </c>
      <c r="D464" s="2">
        <v>0.25241799999999998</v>
      </c>
      <c r="E464" s="12"/>
      <c r="F464" s="2"/>
      <c r="G464" s="13"/>
      <c r="H464" s="18"/>
      <c r="I464" s="8"/>
      <c r="J464" s="17"/>
      <c r="K464" s="12"/>
      <c r="L464" s="2"/>
      <c r="M464" s="17"/>
      <c r="N464" s="12"/>
      <c r="O464" s="2"/>
      <c r="P464" s="17"/>
      <c r="Q464" s="12"/>
      <c r="R464" s="2"/>
      <c r="S464" s="17"/>
      <c r="T464" s="12"/>
      <c r="U464" s="2"/>
      <c r="V464" s="17"/>
      <c r="W464" s="12"/>
      <c r="X464" s="2"/>
      <c r="Y464" s="17"/>
    </row>
    <row r="465" spans="1:25" hidden="1" x14ac:dyDescent="0.25">
      <c r="A465" s="6">
        <v>85</v>
      </c>
      <c r="B465" s="2">
        <v>0.83991329999999997</v>
      </c>
      <c r="C465" s="2">
        <v>0.40678249999999999</v>
      </c>
      <c r="D465" s="2">
        <v>0.24029159999999999</v>
      </c>
      <c r="E465" s="12"/>
      <c r="F465" s="2"/>
      <c r="G465" s="13"/>
      <c r="H465" s="18"/>
      <c r="I465" s="8"/>
      <c r="J465" s="17"/>
      <c r="K465" s="12"/>
      <c r="L465" s="2"/>
      <c r="M465" s="17"/>
      <c r="N465" s="12"/>
      <c r="O465" s="2"/>
      <c r="P465" s="17"/>
      <c r="Q465" s="12"/>
      <c r="R465" s="2"/>
      <c r="S465" s="17"/>
      <c r="T465" s="12"/>
      <c r="U465" s="2"/>
      <c r="V465" s="17"/>
      <c r="W465" s="12"/>
      <c r="X465" s="2"/>
      <c r="Y465" s="17"/>
    </row>
    <row r="466" spans="1:25" hidden="1" x14ac:dyDescent="0.25">
      <c r="A466" s="6">
        <v>86.8</v>
      </c>
      <c r="B466" s="2">
        <v>0.77769350000000004</v>
      </c>
      <c r="C466" s="2">
        <v>0.40933190000000003</v>
      </c>
      <c r="D466" s="2">
        <v>0.2298936</v>
      </c>
      <c r="E466" s="12"/>
      <c r="F466" s="2"/>
      <c r="G466" s="13"/>
      <c r="H466" s="18"/>
      <c r="I466" s="8"/>
      <c r="J466" s="17"/>
      <c r="K466" s="12"/>
      <c r="L466" s="2"/>
      <c r="M466" s="17"/>
      <c r="N466" s="12"/>
      <c r="O466" s="2"/>
      <c r="P466" s="17"/>
      <c r="Q466" s="12"/>
      <c r="R466" s="2"/>
      <c r="S466" s="17"/>
      <c r="T466" s="12"/>
      <c r="U466" s="2"/>
      <c r="V466" s="17"/>
      <c r="W466" s="12"/>
      <c r="X466" s="2"/>
      <c r="Y466" s="17"/>
    </row>
    <row r="467" spans="1:25" hidden="1" x14ac:dyDescent="0.25">
      <c r="A467" s="6">
        <v>90.8</v>
      </c>
      <c r="B467" s="2">
        <v>0.65650030000000004</v>
      </c>
      <c r="C467" s="2">
        <v>0.41270099999999998</v>
      </c>
      <c r="D467" s="2">
        <v>0.20816960000000001</v>
      </c>
      <c r="E467" s="12"/>
      <c r="F467" s="2"/>
      <c r="G467" s="13"/>
      <c r="H467" s="18"/>
      <c r="I467" s="8"/>
      <c r="J467" s="17"/>
      <c r="K467" s="12"/>
      <c r="L467" s="2"/>
      <c r="M467" s="17"/>
      <c r="N467" s="12"/>
      <c r="O467" s="2"/>
      <c r="P467" s="17"/>
      <c r="Q467" s="12"/>
      <c r="R467" s="2"/>
      <c r="S467" s="17"/>
      <c r="T467" s="12"/>
      <c r="U467" s="2"/>
      <c r="V467" s="17"/>
      <c r="W467" s="12"/>
      <c r="X467" s="2"/>
      <c r="Y467" s="17"/>
    </row>
    <row r="468" spans="1:25" hidden="1" x14ac:dyDescent="0.25">
      <c r="A468" s="6">
        <v>95.17</v>
      </c>
      <c r="B468" s="2">
        <v>0.54843839999999999</v>
      </c>
      <c r="C468" s="2">
        <v>0.41390909999999997</v>
      </c>
      <c r="D468" s="2">
        <v>0.18719169999999999</v>
      </c>
      <c r="E468" s="12"/>
      <c r="F468" s="2"/>
      <c r="G468" s="13"/>
      <c r="H468" s="18"/>
      <c r="I468" s="8"/>
      <c r="J468" s="17"/>
      <c r="K468" s="12"/>
      <c r="L468" s="2"/>
      <c r="M468" s="17"/>
      <c r="N468" s="12"/>
      <c r="O468" s="2"/>
      <c r="P468" s="17"/>
      <c r="Q468" s="12"/>
      <c r="R468" s="2"/>
      <c r="S468" s="17"/>
      <c r="T468" s="12"/>
      <c r="U468" s="2"/>
      <c r="V468" s="17"/>
      <c r="W468" s="12"/>
      <c r="X468" s="2"/>
      <c r="Y468" s="17"/>
    </row>
    <row r="469" spans="1:25" hidden="1" x14ac:dyDescent="0.25">
      <c r="A469" s="6">
        <v>100</v>
      </c>
      <c r="B469" s="2">
        <v>0.45318750000000002</v>
      </c>
      <c r="C469" s="2">
        <v>0.41286040000000002</v>
      </c>
      <c r="D469" s="2">
        <v>0.16731950000000001</v>
      </c>
      <c r="E469" s="12"/>
      <c r="F469" s="2"/>
      <c r="G469" s="13"/>
      <c r="H469" s="18"/>
      <c r="I469" s="8"/>
      <c r="J469" s="17"/>
      <c r="K469" s="12"/>
      <c r="L469" s="2"/>
      <c r="M469" s="17"/>
      <c r="N469" s="12"/>
      <c r="O469" s="2"/>
      <c r="P469" s="17"/>
      <c r="Q469" s="12"/>
      <c r="R469" s="2"/>
      <c r="S469" s="17"/>
      <c r="T469" s="12"/>
      <c r="U469" s="2"/>
      <c r="V469" s="17"/>
      <c r="W469" s="12"/>
      <c r="X469" s="2"/>
      <c r="Y469" s="17"/>
    </row>
    <row r="470" spans="1:25" hidden="1" x14ac:dyDescent="0.25">
      <c r="A470" s="6">
        <v>120</v>
      </c>
      <c r="B470" s="2">
        <v>0.2252043</v>
      </c>
      <c r="C470" s="2">
        <v>0.39110820000000002</v>
      </c>
      <c r="D470" s="2">
        <v>0.1118176</v>
      </c>
      <c r="E470" s="12"/>
      <c r="F470" s="2"/>
      <c r="G470" s="13"/>
      <c r="H470" s="18"/>
      <c r="I470" s="8"/>
      <c r="J470" s="17"/>
      <c r="K470" s="12"/>
      <c r="L470" s="2"/>
      <c r="M470" s="17"/>
      <c r="N470" s="12"/>
      <c r="O470" s="2"/>
      <c r="P470" s="17"/>
      <c r="Q470" s="12"/>
      <c r="R470" s="2"/>
      <c r="S470" s="17"/>
      <c r="T470" s="12"/>
      <c r="U470" s="2"/>
      <c r="V470" s="17"/>
      <c r="W470" s="12"/>
      <c r="X470" s="2"/>
      <c r="Y470" s="17"/>
    </row>
    <row r="471" spans="1:25" hidden="1" x14ac:dyDescent="0.25">
      <c r="A471" s="6">
        <v>160</v>
      </c>
      <c r="B471" s="2">
        <v>7.9809599999999994E-2</v>
      </c>
      <c r="C471" s="2">
        <v>0.32503660000000001</v>
      </c>
      <c r="D471" s="2">
        <v>6.1343300000000003E-2</v>
      </c>
      <c r="E471" s="12"/>
      <c r="F471" s="2"/>
      <c r="G471" s="13"/>
      <c r="H471" s="18"/>
      <c r="I471" s="8"/>
      <c r="J471" s="17"/>
      <c r="K471" s="12"/>
      <c r="L471" s="2"/>
      <c r="M471" s="17"/>
      <c r="N471" s="12"/>
      <c r="O471" s="2"/>
      <c r="P471" s="17"/>
      <c r="Q471" s="12"/>
      <c r="R471" s="2"/>
      <c r="S471" s="17"/>
      <c r="T471" s="12"/>
      <c r="U471" s="2"/>
      <c r="V471" s="17"/>
      <c r="W471" s="12"/>
      <c r="X471" s="2"/>
      <c r="Y471" s="17"/>
    </row>
    <row r="472" spans="1:25" hidden="1" x14ac:dyDescent="0.25">
      <c r="A472" s="6">
        <v>210</v>
      </c>
      <c r="B472" s="2">
        <v>3.3028000000000002E-2</v>
      </c>
      <c r="C472" s="2">
        <v>0.25063089999999999</v>
      </c>
      <c r="D472" s="2">
        <v>3.5365199999999999E-2</v>
      </c>
      <c r="E472" s="12"/>
      <c r="F472" s="2"/>
      <c r="G472" s="13"/>
      <c r="H472" s="18"/>
      <c r="I472" s="8"/>
      <c r="J472" s="17"/>
      <c r="K472" s="12"/>
      <c r="L472" s="2"/>
      <c r="M472" s="17"/>
      <c r="N472" s="12"/>
      <c r="O472" s="2"/>
      <c r="P472" s="17"/>
      <c r="Q472" s="12"/>
      <c r="R472" s="2"/>
      <c r="S472" s="17"/>
      <c r="T472" s="12"/>
      <c r="U472" s="2"/>
      <c r="V472" s="17"/>
      <c r="W472" s="12"/>
      <c r="X472" s="2"/>
      <c r="Y472" s="17"/>
    </row>
    <row r="473" spans="1:25" hidden="1" x14ac:dyDescent="0.25">
      <c r="A473" s="6">
        <v>300</v>
      </c>
      <c r="B473" s="2">
        <v>1.17745E-2</v>
      </c>
      <c r="C473" s="2">
        <v>0.1614806</v>
      </c>
      <c r="D473" s="2">
        <v>1.7285100000000001E-2</v>
      </c>
      <c r="E473" s="12"/>
      <c r="F473" s="2"/>
      <c r="G473" s="13"/>
      <c r="H473" s="18"/>
      <c r="I473" s="8"/>
      <c r="J473" s="17"/>
      <c r="K473" s="12"/>
      <c r="L473" s="2"/>
      <c r="M473" s="17"/>
      <c r="N473" s="12"/>
      <c r="O473" s="2"/>
      <c r="P473" s="17"/>
      <c r="Q473" s="12"/>
      <c r="R473" s="2"/>
      <c r="S473" s="17"/>
      <c r="T473" s="12"/>
      <c r="U473" s="2"/>
      <c r="V473" s="17"/>
      <c r="W473" s="12"/>
      <c r="X473" s="2"/>
      <c r="Y473" s="17"/>
    </row>
    <row r="474" spans="1:25" hidden="1" x14ac:dyDescent="0.25">
      <c r="A474" s="6">
        <v>500</v>
      </c>
      <c r="B474" s="2">
        <v>3.4171000000000002E-3</v>
      </c>
      <c r="C474" s="2">
        <v>7.0071300000000003E-2</v>
      </c>
      <c r="D474" s="2">
        <v>6.2189999999999997E-3</v>
      </c>
      <c r="E474" s="12"/>
      <c r="F474" s="2"/>
      <c r="G474" s="13"/>
      <c r="H474" s="18"/>
      <c r="I474" s="8"/>
      <c r="J474" s="17"/>
      <c r="K474" s="12"/>
      <c r="L474" s="2"/>
      <c r="M474" s="17"/>
      <c r="N474" s="12"/>
      <c r="O474" s="2"/>
      <c r="P474" s="17"/>
      <c r="Q474" s="12"/>
      <c r="R474" s="2"/>
      <c r="S474" s="17"/>
      <c r="T474" s="12"/>
      <c r="U474" s="2"/>
      <c r="V474" s="17"/>
      <c r="W474" s="12"/>
      <c r="X474" s="2"/>
      <c r="Y474" s="17"/>
    </row>
    <row r="475" spans="1:25" ht="15.75" thickBot="1" x14ac:dyDescent="0.3">
      <c r="B475" s="160" t="s">
        <v>54</v>
      </c>
      <c r="C475" s="160"/>
      <c r="D475" s="161"/>
      <c r="E475" s="19">
        <f>AVERAGE(E101:E140)</f>
        <v>2.3502350000000005</v>
      </c>
      <c r="F475" s="20">
        <f t="shared" ref="F475:Y475" si="0">AVERAGE(F101:F140)</f>
        <v>0.86417750000000026</v>
      </c>
      <c r="G475" s="21">
        <f t="shared" si="0"/>
        <v>0.85855749999999986</v>
      </c>
      <c r="H475" s="19">
        <f t="shared" si="0"/>
        <v>2.4521525</v>
      </c>
      <c r="I475" s="20">
        <f t="shared" si="0"/>
        <v>0.81966000000000017</v>
      </c>
      <c r="J475" s="21">
        <f t="shared" si="0"/>
        <v>0.8527674999999999</v>
      </c>
      <c r="K475" s="19">
        <f t="shared" si="0"/>
        <v>2.4402124999999999</v>
      </c>
      <c r="L475" s="20">
        <f t="shared" si="0"/>
        <v>0.82468499999999989</v>
      </c>
      <c r="M475" s="21">
        <f t="shared" si="0"/>
        <v>0.85345999999999989</v>
      </c>
      <c r="N475" s="19">
        <f t="shared" si="0"/>
        <v>2.4304349999999997</v>
      </c>
      <c r="O475" s="20">
        <f t="shared" si="0"/>
        <v>0.82882999999999996</v>
      </c>
      <c r="P475" s="21">
        <f t="shared" si="0"/>
        <v>0.85401249999999984</v>
      </c>
      <c r="Q475" s="19">
        <f t="shared" si="0"/>
        <v>2.4219199999999996</v>
      </c>
      <c r="R475" s="20">
        <f t="shared" si="0"/>
        <v>0.83247249999999995</v>
      </c>
      <c r="S475" s="21">
        <f t="shared" si="0"/>
        <v>0.85448999999999997</v>
      </c>
      <c r="T475" s="19">
        <f t="shared" si="0"/>
        <v>2.4093525000000002</v>
      </c>
      <c r="U475" s="20">
        <f t="shared" si="0"/>
        <v>0.83789999999999998</v>
      </c>
      <c r="V475" s="21">
        <f t="shared" si="0"/>
        <v>0.85521000000000014</v>
      </c>
      <c r="W475" s="19">
        <f t="shared" si="0"/>
        <v>2.4071399999999992</v>
      </c>
      <c r="X475" s="20">
        <f t="shared" si="0"/>
        <v>0.83885249999999978</v>
      </c>
      <c r="Y475" s="21">
        <f t="shared" si="0"/>
        <v>0.85533249999999994</v>
      </c>
    </row>
  </sheetData>
  <mergeCells count="8">
    <mergeCell ref="T1:V1"/>
    <mergeCell ref="W1:Y1"/>
    <mergeCell ref="B475:D475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"/>
  <sheetViews>
    <sheetView workbookViewId="0">
      <selection activeCell="A2" sqref="A2"/>
    </sheetView>
  </sheetViews>
  <sheetFormatPr defaultRowHeight="15" x14ac:dyDescent="0.25"/>
  <cols>
    <col min="1" max="1" width="17.140625" customWidth="1"/>
    <col min="2" max="2" width="15.7109375" customWidth="1"/>
    <col min="3" max="3" width="17.7109375" customWidth="1"/>
    <col min="4" max="4" width="18.140625" customWidth="1"/>
  </cols>
  <sheetData>
    <row r="1" spans="1:5" x14ac:dyDescent="0.25">
      <c r="A1" s="1" t="s">
        <v>14</v>
      </c>
      <c r="B1" s="1" t="s">
        <v>180</v>
      </c>
      <c r="C1" s="1" t="s">
        <v>181</v>
      </c>
      <c r="D1" s="1" t="s">
        <v>182</v>
      </c>
      <c r="E1" t="s">
        <v>183</v>
      </c>
    </row>
    <row r="2" spans="1:5" x14ac:dyDescent="0.25">
      <c r="A2" s="2">
        <v>4.4299999999999999E-2</v>
      </c>
      <c r="B2" s="2">
        <v>2.5</v>
      </c>
      <c r="C2" s="2">
        <v>0.8</v>
      </c>
      <c r="D2" s="2">
        <v>0.85</v>
      </c>
    </row>
    <row r="3" spans="1:5" x14ac:dyDescent="0.25">
      <c r="A3" s="2">
        <v>4.5100000000000001E-2</v>
      </c>
      <c r="B3" s="2">
        <v>2.5</v>
      </c>
      <c r="C3" s="2">
        <v>0.8</v>
      </c>
      <c r="D3" s="2">
        <v>0.85</v>
      </c>
    </row>
    <row r="4" spans="1:5" x14ac:dyDescent="0.25">
      <c r="A4" s="2">
        <v>4.5900000000000003E-2</v>
      </c>
      <c r="B4" s="2">
        <v>2.5</v>
      </c>
      <c r="C4" s="2">
        <v>0.8</v>
      </c>
      <c r="D4" s="2">
        <v>0.85</v>
      </c>
    </row>
    <row r="5" spans="1:5" x14ac:dyDescent="0.25">
      <c r="A5" s="2">
        <v>4.6800000000000001E-2</v>
      </c>
      <c r="B5" s="2">
        <v>2.5</v>
      </c>
      <c r="C5" s="2">
        <v>0.8</v>
      </c>
      <c r="D5" s="2">
        <v>0.85</v>
      </c>
    </row>
    <row r="6" spans="1:5" x14ac:dyDescent="0.25">
      <c r="A6" s="2">
        <v>4.7699999999999999E-2</v>
      </c>
      <c r="B6" s="2">
        <v>2.5</v>
      </c>
      <c r="C6" s="2">
        <v>0.8</v>
      </c>
      <c r="D6" s="2">
        <v>0.85</v>
      </c>
    </row>
    <row r="7" spans="1:5" x14ac:dyDescent="0.25">
      <c r="A7" s="2">
        <v>4.8599999999999997E-2</v>
      </c>
      <c r="B7" s="2">
        <v>2.5</v>
      </c>
      <c r="C7" s="2">
        <v>0.8</v>
      </c>
      <c r="D7" s="2">
        <v>0.85</v>
      </c>
    </row>
    <row r="8" spans="1:5" x14ac:dyDescent="0.25">
      <c r="A8" s="2">
        <v>4.9599999999999998E-2</v>
      </c>
      <c r="B8" s="2">
        <v>2.5</v>
      </c>
      <c r="C8" s="2">
        <v>0.8</v>
      </c>
      <c r="D8" s="2">
        <v>0.85</v>
      </c>
    </row>
    <row r="9" spans="1:5" x14ac:dyDescent="0.25">
      <c r="A9" s="2">
        <v>5.0599999999999999E-2</v>
      </c>
      <c r="B9" s="2">
        <v>2.5</v>
      </c>
      <c r="C9" s="2">
        <v>0.8</v>
      </c>
      <c r="D9" s="2">
        <v>0.85</v>
      </c>
    </row>
    <row r="10" spans="1:5" x14ac:dyDescent="0.25">
      <c r="A10" s="2">
        <v>5.1700000000000003E-2</v>
      </c>
      <c r="B10" s="2">
        <v>2.5</v>
      </c>
      <c r="C10" s="2">
        <v>0.8</v>
      </c>
      <c r="D10" s="2">
        <v>0.85</v>
      </c>
    </row>
    <row r="11" spans="1:5" x14ac:dyDescent="0.25">
      <c r="A11" s="2">
        <v>5.28E-2</v>
      </c>
      <c r="B11" s="2">
        <v>2.5</v>
      </c>
      <c r="C11" s="2">
        <v>0.8</v>
      </c>
      <c r="D11" s="2">
        <v>0.85</v>
      </c>
    </row>
    <row r="12" spans="1:5" x14ac:dyDescent="0.25">
      <c r="A12" s="2">
        <v>5.3900000000000003E-2</v>
      </c>
      <c r="B12" s="2">
        <v>2.5</v>
      </c>
      <c r="C12" s="2">
        <v>0.8</v>
      </c>
      <c r="D12" s="2">
        <v>0.85</v>
      </c>
    </row>
    <row r="13" spans="1:5" x14ac:dyDescent="0.25">
      <c r="A13" s="2">
        <v>5.5100000000000003E-2</v>
      </c>
      <c r="B13" s="2">
        <v>2.5</v>
      </c>
      <c r="C13" s="2">
        <v>0.8</v>
      </c>
      <c r="D13" s="2">
        <v>0.85</v>
      </c>
    </row>
    <row r="14" spans="1:5" x14ac:dyDescent="0.25">
      <c r="A14" s="2">
        <v>5.6399999999999999E-2</v>
      </c>
      <c r="B14" s="2">
        <v>2.5</v>
      </c>
      <c r="C14" s="2">
        <v>0.8</v>
      </c>
      <c r="D14" s="2">
        <v>0.85</v>
      </c>
    </row>
    <row r="15" spans="1:5" x14ac:dyDescent="0.25">
      <c r="A15" s="2">
        <v>5.7700000000000001E-2</v>
      </c>
      <c r="B15" s="2">
        <v>2.5</v>
      </c>
      <c r="C15" s="2">
        <v>0.8</v>
      </c>
      <c r="D15" s="2">
        <v>0.85</v>
      </c>
    </row>
    <row r="16" spans="1:5" x14ac:dyDescent="0.25">
      <c r="A16" s="2">
        <v>5.8999999999999997E-2</v>
      </c>
      <c r="B16" s="2">
        <v>2.5</v>
      </c>
      <c r="C16" s="2">
        <v>0.8</v>
      </c>
      <c r="D16" s="2">
        <v>0.85</v>
      </c>
    </row>
    <row r="17" spans="1:4" x14ac:dyDescent="0.25">
      <c r="A17" s="2">
        <v>6.0499999999999998E-2</v>
      </c>
      <c r="B17" s="2">
        <v>2.5</v>
      </c>
      <c r="C17" s="2">
        <v>0.8</v>
      </c>
      <c r="D17" s="2">
        <v>0.85</v>
      </c>
    </row>
    <row r="18" spans="1:4" x14ac:dyDescent="0.25">
      <c r="A18" s="2">
        <v>6.2E-2</v>
      </c>
      <c r="B18" s="2">
        <v>2.5</v>
      </c>
      <c r="C18" s="2">
        <v>0.8</v>
      </c>
      <c r="D18" s="2">
        <v>0.85</v>
      </c>
    </row>
    <row r="19" spans="1:4" x14ac:dyDescent="0.25">
      <c r="A19" s="2">
        <v>6.3600000000000004E-2</v>
      </c>
      <c r="B19" s="2">
        <v>2.5</v>
      </c>
      <c r="C19" s="2">
        <v>0.8</v>
      </c>
      <c r="D19" s="2">
        <v>0.85</v>
      </c>
    </row>
    <row r="20" spans="1:4" x14ac:dyDescent="0.25">
      <c r="A20" s="2">
        <v>6.5299999999999997E-2</v>
      </c>
      <c r="B20" s="2">
        <v>2.5</v>
      </c>
      <c r="C20" s="2">
        <v>0.8</v>
      </c>
      <c r="D20" s="2">
        <v>0.85</v>
      </c>
    </row>
    <row r="21" spans="1:4" x14ac:dyDescent="0.25">
      <c r="A21" s="2">
        <v>6.7000000000000004E-2</v>
      </c>
      <c r="B21" s="2">
        <v>2.5</v>
      </c>
      <c r="C21" s="2">
        <v>0.8</v>
      </c>
      <c r="D21" s="2">
        <v>0.85</v>
      </c>
    </row>
    <row r="22" spans="1:4" x14ac:dyDescent="0.25">
      <c r="A22" s="2">
        <v>6.8900000000000003E-2</v>
      </c>
      <c r="B22" s="2">
        <v>2.5</v>
      </c>
      <c r="C22" s="2">
        <v>0.8</v>
      </c>
      <c r="D22" s="2">
        <v>0.85</v>
      </c>
    </row>
    <row r="23" spans="1:4" x14ac:dyDescent="0.25">
      <c r="A23" s="2">
        <v>7.0800000000000002E-2</v>
      </c>
      <c r="B23" s="2">
        <v>2.5</v>
      </c>
      <c r="C23" s="2">
        <v>0.8</v>
      </c>
      <c r="D23" s="2">
        <v>0.85</v>
      </c>
    </row>
    <row r="24" spans="1:4" x14ac:dyDescent="0.25">
      <c r="A24" s="2">
        <v>7.2900000000000006E-2</v>
      </c>
      <c r="B24" s="2">
        <v>2.5</v>
      </c>
      <c r="C24" s="2">
        <v>0.8</v>
      </c>
      <c r="D24" s="2">
        <v>0.85</v>
      </c>
    </row>
    <row r="25" spans="1:4" x14ac:dyDescent="0.25">
      <c r="A25" s="2">
        <v>7.3800000000000004E-2</v>
      </c>
      <c r="B25" s="2">
        <v>2.5</v>
      </c>
      <c r="C25" s="2">
        <v>0.8</v>
      </c>
      <c r="D25" s="2">
        <v>0.85</v>
      </c>
    </row>
    <row r="26" spans="1:4" x14ac:dyDescent="0.25">
      <c r="A26" s="2">
        <v>7.51E-2</v>
      </c>
      <c r="B26" s="2">
        <v>2.5</v>
      </c>
      <c r="C26" s="2">
        <v>0.8</v>
      </c>
      <c r="D26" s="2">
        <v>0.85</v>
      </c>
    </row>
    <row r="27" spans="1:4" x14ac:dyDescent="0.25">
      <c r="A27" s="2">
        <v>7.7499999999999999E-2</v>
      </c>
      <c r="B27" s="2">
        <v>2.5</v>
      </c>
      <c r="C27" s="2">
        <v>0.8</v>
      </c>
      <c r="D27" s="2">
        <v>0.85</v>
      </c>
    </row>
    <row r="28" spans="1:4" x14ac:dyDescent="0.25">
      <c r="A28" s="2">
        <v>0.08</v>
      </c>
      <c r="B28" s="2">
        <v>2.5</v>
      </c>
      <c r="C28" s="2">
        <v>0.8</v>
      </c>
      <c r="D28" s="2">
        <v>0.85</v>
      </c>
    </row>
    <row r="29" spans="1:4" x14ac:dyDescent="0.25">
      <c r="A29" s="2">
        <v>8.2699999999999996E-2</v>
      </c>
      <c r="B29" s="2">
        <v>2.5</v>
      </c>
      <c r="C29" s="2">
        <v>0.8</v>
      </c>
      <c r="D29" s="2">
        <v>0.85</v>
      </c>
    </row>
    <row r="30" spans="1:4" x14ac:dyDescent="0.25">
      <c r="A30" s="2">
        <v>8.5500000000000007E-2</v>
      </c>
      <c r="B30" s="2">
        <v>2.5</v>
      </c>
      <c r="C30" s="2">
        <v>0.8</v>
      </c>
      <c r="D30" s="2">
        <v>0.85</v>
      </c>
    </row>
    <row r="31" spans="1:4" x14ac:dyDescent="0.25">
      <c r="A31" s="2">
        <v>8.8599999999999998E-2</v>
      </c>
      <c r="B31" s="2">
        <v>2.5</v>
      </c>
      <c r="C31" s="2">
        <v>0.8</v>
      </c>
      <c r="D31" s="2">
        <v>0.85</v>
      </c>
    </row>
    <row r="32" spans="1:4" x14ac:dyDescent="0.25">
      <c r="A32" s="2">
        <v>9.1800000000000007E-2</v>
      </c>
      <c r="B32" s="2">
        <v>2.5</v>
      </c>
      <c r="C32" s="2">
        <v>0.8</v>
      </c>
      <c r="D32" s="2">
        <v>0.85</v>
      </c>
    </row>
    <row r="33" spans="1:4" x14ac:dyDescent="0.25">
      <c r="A33" s="2">
        <v>9.2999999999999999E-2</v>
      </c>
      <c r="B33" s="2">
        <v>2.5</v>
      </c>
      <c r="C33" s="2">
        <v>0.8</v>
      </c>
      <c r="D33" s="2">
        <v>0.85</v>
      </c>
    </row>
    <row r="34" spans="1:4" x14ac:dyDescent="0.25">
      <c r="A34" s="2">
        <v>9.5399999999999999E-2</v>
      </c>
      <c r="B34" s="2">
        <v>2.5</v>
      </c>
      <c r="C34" s="2">
        <v>0.8</v>
      </c>
      <c r="D34" s="2">
        <v>0.85</v>
      </c>
    </row>
    <row r="35" spans="1:4" x14ac:dyDescent="0.25">
      <c r="A35" s="2">
        <v>9.9199999999999997E-2</v>
      </c>
      <c r="B35" s="2">
        <v>2.5</v>
      </c>
      <c r="C35" s="2">
        <v>0.8</v>
      </c>
      <c r="D35" s="2">
        <v>0.85</v>
      </c>
    </row>
    <row r="36" spans="1:4" x14ac:dyDescent="0.25">
      <c r="A36" s="2">
        <v>0.1033</v>
      </c>
      <c r="B36" s="2">
        <v>2.5</v>
      </c>
      <c r="C36" s="2">
        <v>0.8</v>
      </c>
      <c r="D36" s="2">
        <v>0.85</v>
      </c>
    </row>
    <row r="37" spans="1:4" x14ac:dyDescent="0.25">
      <c r="A37" s="2">
        <v>0.10780000000000001</v>
      </c>
      <c r="B37" s="2">
        <v>2.5</v>
      </c>
      <c r="C37" s="2">
        <v>0.8</v>
      </c>
      <c r="D37" s="2">
        <v>0.85</v>
      </c>
    </row>
    <row r="38" spans="1:4" x14ac:dyDescent="0.25">
      <c r="A38" s="2">
        <v>0.11</v>
      </c>
      <c r="B38" s="2">
        <v>2.5</v>
      </c>
      <c r="C38" s="2">
        <v>0.8</v>
      </c>
      <c r="D38" s="2">
        <v>0.85</v>
      </c>
    </row>
    <row r="39" spans="1:4" x14ac:dyDescent="0.25">
      <c r="A39" s="2">
        <v>0.11269999999999999</v>
      </c>
      <c r="B39" s="2">
        <v>2.5</v>
      </c>
      <c r="C39" s="2">
        <v>0.8</v>
      </c>
      <c r="D39" s="2">
        <v>0.85</v>
      </c>
    </row>
    <row r="40" spans="1:4" x14ac:dyDescent="0.25">
      <c r="A40" s="2">
        <v>0.114</v>
      </c>
      <c r="B40" s="2">
        <v>2.5</v>
      </c>
      <c r="C40" s="2">
        <v>0.8</v>
      </c>
      <c r="D40" s="2">
        <v>0.85</v>
      </c>
    </row>
    <row r="41" spans="1:4" x14ac:dyDescent="0.25">
      <c r="A41" s="2">
        <v>0.1181</v>
      </c>
      <c r="B41" s="2">
        <v>2.5</v>
      </c>
      <c r="C41" s="2">
        <v>0.8</v>
      </c>
      <c r="D41" s="2">
        <v>0.85</v>
      </c>
    </row>
    <row r="42" spans="1:4" x14ac:dyDescent="0.25">
      <c r="A42" s="2">
        <v>0.121</v>
      </c>
      <c r="B42" s="2">
        <v>2.5</v>
      </c>
      <c r="C42" s="2">
        <v>0.8</v>
      </c>
      <c r="D42" s="2">
        <v>0.85</v>
      </c>
    </row>
    <row r="43" spans="1:4" x14ac:dyDescent="0.25">
      <c r="A43" s="2">
        <v>0.124</v>
      </c>
      <c r="B43" s="2">
        <v>2.5</v>
      </c>
      <c r="C43" s="2">
        <v>0.8</v>
      </c>
      <c r="D43" s="2">
        <v>0.85</v>
      </c>
    </row>
    <row r="44" spans="1:4" x14ac:dyDescent="0.25">
      <c r="A44" s="2">
        <v>0.12720000000000001</v>
      </c>
      <c r="B44" s="2">
        <v>2.5</v>
      </c>
      <c r="C44" s="2">
        <v>0.8</v>
      </c>
      <c r="D44" s="2">
        <v>0.85</v>
      </c>
    </row>
    <row r="45" spans="1:4" x14ac:dyDescent="0.25">
      <c r="A45" s="2">
        <v>0.1295</v>
      </c>
      <c r="B45" s="2">
        <v>2.5</v>
      </c>
      <c r="C45" s="2">
        <v>0.8</v>
      </c>
      <c r="D45" s="2">
        <v>0.85</v>
      </c>
    </row>
    <row r="46" spans="1:4" x14ac:dyDescent="0.25">
      <c r="A46" s="2">
        <v>0.1305</v>
      </c>
      <c r="B46" s="2">
        <v>2.5</v>
      </c>
      <c r="C46" s="2">
        <v>0.8</v>
      </c>
      <c r="D46" s="2">
        <v>0.85</v>
      </c>
    </row>
    <row r="47" spans="1:4" x14ac:dyDescent="0.25">
      <c r="A47" s="2">
        <v>0.13189999999999999</v>
      </c>
      <c r="B47" s="2">
        <v>2.5</v>
      </c>
      <c r="C47" s="2">
        <v>0.8</v>
      </c>
      <c r="D47" s="2">
        <v>0.85</v>
      </c>
    </row>
    <row r="48" spans="1:4" x14ac:dyDescent="0.25">
      <c r="A48" s="2">
        <v>0.1333</v>
      </c>
      <c r="B48" s="2">
        <v>2.5</v>
      </c>
      <c r="C48" s="2">
        <v>0.8</v>
      </c>
      <c r="D48" s="2">
        <v>0.85</v>
      </c>
    </row>
    <row r="49" spans="1:4" x14ac:dyDescent="0.25">
      <c r="A49" s="2">
        <v>0.1348</v>
      </c>
      <c r="B49" s="2">
        <v>2.5</v>
      </c>
      <c r="C49" s="2">
        <v>0.8</v>
      </c>
      <c r="D49" s="2">
        <v>0.85</v>
      </c>
    </row>
    <row r="50" spans="1:4" x14ac:dyDescent="0.25">
      <c r="A50" s="2">
        <v>0.13619999999999999</v>
      </c>
      <c r="B50" s="2">
        <v>2.5</v>
      </c>
      <c r="C50" s="2">
        <v>0.8</v>
      </c>
      <c r="D50" s="2">
        <v>0.85</v>
      </c>
    </row>
    <row r="51" spans="1:4" x14ac:dyDescent="0.25">
      <c r="A51" s="2">
        <v>0.13700000000000001</v>
      </c>
      <c r="B51" s="2">
        <v>2.5</v>
      </c>
      <c r="C51" s="2">
        <v>0.8</v>
      </c>
      <c r="D51" s="2">
        <v>0.85</v>
      </c>
    </row>
    <row r="52" spans="1:4" x14ac:dyDescent="0.25">
      <c r="A52" s="2">
        <v>0.13780000000000001</v>
      </c>
      <c r="B52" s="2">
        <v>2.5</v>
      </c>
      <c r="C52" s="2">
        <v>0.8</v>
      </c>
      <c r="D52" s="2">
        <v>0.85</v>
      </c>
    </row>
    <row r="53" spans="1:4" x14ac:dyDescent="0.25">
      <c r="A53" s="2">
        <v>0.13869999999999999</v>
      </c>
      <c r="B53" s="2">
        <v>2.5</v>
      </c>
      <c r="C53" s="2">
        <v>0.8</v>
      </c>
      <c r="D53" s="2">
        <v>0.85</v>
      </c>
    </row>
    <row r="54" spans="1:4" x14ac:dyDescent="0.25">
      <c r="A54" s="2">
        <v>0.13930000000000001</v>
      </c>
      <c r="B54" s="2">
        <v>2.5</v>
      </c>
      <c r="C54" s="2">
        <v>0.8</v>
      </c>
      <c r="D54" s="2">
        <v>0.85</v>
      </c>
    </row>
    <row r="55" spans="1:4" x14ac:dyDescent="0.25">
      <c r="A55" s="2">
        <v>0.1409</v>
      </c>
      <c r="B55" s="2">
        <v>2.5</v>
      </c>
      <c r="C55" s="2">
        <v>0.8</v>
      </c>
      <c r="D55" s="2">
        <v>0.85</v>
      </c>
    </row>
    <row r="56" spans="1:4" x14ac:dyDescent="0.25">
      <c r="A56" s="2">
        <v>0.14249999999999999</v>
      </c>
      <c r="B56" s="2">
        <v>2.5</v>
      </c>
      <c r="C56" s="2">
        <v>0.8</v>
      </c>
      <c r="D56" s="2">
        <v>0.85</v>
      </c>
    </row>
    <row r="57" spans="1:4" x14ac:dyDescent="0.25">
      <c r="A57" s="2">
        <v>0.14349999999999999</v>
      </c>
      <c r="B57" s="2">
        <v>2.5</v>
      </c>
      <c r="C57" s="2">
        <v>0.8</v>
      </c>
      <c r="D57" s="2">
        <v>0.85</v>
      </c>
    </row>
    <row r="58" spans="1:4" x14ac:dyDescent="0.25">
      <c r="A58" s="2">
        <v>0.14419999999999999</v>
      </c>
      <c r="B58" s="2">
        <v>2.5</v>
      </c>
      <c r="C58" s="2">
        <v>0.8</v>
      </c>
      <c r="D58" s="2">
        <v>0.85</v>
      </c>
    </row>
    <row r="59" spans="1:4" x14ac:dyDescent="0.25">
      <c r="A59" s="2">
        <v>0.14499999999999999</v>
      </c>
      <c r="B59" s="2">
        <v>2.5</v>
      </c>
      <c r="C59" s="2">
        <v>0.8</v>
      </c>
      <c r="D59" s="2">
        <v>0.85</v>
      </c>
    </row>
    <row r="60" spans="1:4" x14ac:dyDescent="0.25">
      <c r="A60" s="2">
        <v>0.1459</v>
      </c>
      <c r="B60" s="2">
        <v>2.5</v>
      </c>
      <c r="C60" s="2">
        <v>0.8</v>
      </c>
      <c r="D60" s="2">
        <v>0.85</v>
      </c>
    </row>
    <row r="61" spans="1:4" x14ac:dyDescent="0.25">
      <c r="A61" s="2">
        <v>0.14680000000000001</v>
      </c>
      <c r="B61" s="2">
        <v>2.5</v>
      </c>
      <c r="C61" s="2">
        <v>0.8</v>
      </c>
      <c r="D61" s="2">
        <v>0.85</v>
      </c>
    </row>
    <row r="62" spans="1:4" x14ac:dyDescent="0.25">
      <c r="A62" s="2">
        <v>0.14760000000000001</v>
      </c>
      <c r="B62" s="2">
        <v>2.5</v>
      </c>
      <c r="C62" s="2">
        <v>0.8</v>
      </c>
      <c r="D62" s="2">
        <v>0.85</v>
      </c>
    </row>
    <row r="63" spans="1:4" x14ac:dyDescent="0.25">
      <c r="A63" s="2">
        <v>0.14799999999999999</v>
      </c>
      <c r="B63" s="2">
        <v>2.5</v>
      </c>
      <c r="C63" s="2">
        <v>0.8</v>
      </c>
      <c r="D63" s="2">
        <v>0.85</v>
      </c>
    </row>
    <row r="64" spans="1:4" x14ac:dyDescent="0.25">
      <c r="A64" s="2">
        <v>0.14849999999999999</v>
      </c>
      <c r="B64" s="2">
        <v>2.5</v>
      </c>
      <c r="C64" s="2">
        <v>0.8</v>
      </c>
      <c r="D64" s="2">
        <v>0.85</v>
      </c>
    </row>
    <row r="65" spans="1:4" x14ac:dyDescent="0.25">
      <c r="A65" s="2">
        <v>0.14940000000000001</v>
      </c>
      <c r="B65" s="2">
        <v>2.5</v>
      </c>
      <c r="C65" s="2">
        <v>0.8</v>
      </c>
      <c r="D65" s="2">
        <v>0.85</v>
      </c>
    </row>
    <row r="66" spans="1:4" x14ac:dyDescent="0.25">
      <c r="A66" s="2">
        <v>0.1512</v>
      </c>
      <c r="B66" s="2">
        <v>2.5</v>
      </c>
      <c r="C66" s="2">
        <v>0.8</v>
      </c>
      <c r="D66" s="2">
        <v>0.85</v>
      </c>
    </row>
    <row r="67" spans="1:4" x14ac:dyDescent="0.25">
      <c r="A67" s="2">
        <v>0.15310000000000001</v>
      </c>
      <c r="B67" s="2">
        <v>2.5</v>
      </c>
      <c r="C67" s="2">
        <v>0.8</v>
      </c>
      <c r="D67" s="2">
        <v>0.85</v>
      </c>
    </row>
    <row r="68" spans="1:4" x14ac:dyDescent="0.25">
      <c r="A68" s="2">
        <v>0.154</v>
      </c>
      <c r="B68" s="2">
        <v>2.5</v>
      </c>
      <c r="C68" s="2">
        <v>0.8</v>
      </c>
      <c r="D68" s="2">
        <v>0.85</v>
      </c>
    </row>
    <row r="69" spans="1:4" x14ac:dyDescent="0.25">
      <c r="A69" s="2">
        <v>0.155</v>
      </c>
      <c r="B69" s="2">
        <v>2.5</v>
      </c>
      <c r="C69" s="2">
        <v>0.8</v>
      </c>
      <c r="D69" s="2">
        <v>0.85</v>
      </c>
    </row>
    <row r="70" spans="1:4" x14ac:dyDescent="0.25">
      <c r="A70" s="2">
        <v>0.15690000000000001</v>
      </c>
      <c r="B70" s="2">
        <v>2.5</v>
      </c>
      <c r="C70" s="2">
        <v>0.8</v>
      </c>
      <c r="D70" s="2">
        <v>0.85</v>
      </c>
    </row>
    <row r="71" spans="1:4" x14ac:dyDescent="0.25">
      <c r="A71" s="2">
        <v>0.158</v>
      </c>
      <c r="B71" s="2">
        <v>2.5</v>
      </c>
      <c r="C71" s="2">
        <v>0.8</v>
      </c>
      <c r="D71" s="2">
        <v>0.85</v>
      </c>
    </row>
    <row r="72" spans="1:4" x14ac:dyDescent="0.25">
      <c r="A72" s="2">
        <v>0.15890000000000001</v>
      </c>
      <c r="B72" s="2">
        <v>2.5</v>
      </c>
      <c r="C72" s="2">
        <v>0.8</v>
      </c>
      <c r="D72" s="2">
        <v>0.85</v>
      </c>
    </row>
    <row r="73" spans="1:4" x14ac:dyDescent="0.25">
      <c r="A73" s="2">
        <v>0.161</v>
      </c>
      <c r="B73" s="2">
        <v>2.5</v>
      </c>
      <c r="C73" s="2">
        <v>0.8</v>
      </c>
      <c r="D73" s="2">
        <v>0.85</v>
      </c>
    </row>
    <row r="74" spans="1:4" x14ac:dyDescent="0.25">
      <c r="A74" s="2">
        <v>0.16300000000000001</v>
      </c>
      <c r="B74" s="2">
        <v>2.5</v>
      </c>
      <c r="C74" s="2">
        <v>0.8</v>
      </c>
      <c r="D74" s="2">
        <v>0.85</v>
      </c>
    </row>
    <row r="75" spans="1:4" x14ac:dyDescent="0.25">
      <c r="A75" s="2">
        <v>0.16500000000000001</v>
      </c>
      <c r="B75" s="2">
        <v>2.5</v>
      </c>
      <c r="C75" s="2">
        <v>0.8</v>
      </c>
      <c r="D75" s="2">
        <v>0.85</v>
      </c>
    </row>
    <row r="76" spans="1:4" x14ac:dyDescent="0.25">
      <c r="A76" s="2">
        <v>0.16700000000000001</v>
      </c>
      <c r="B76" s="2">
        <v>2.5</v>
      </c>
      <c r="C76" s="2">
        <v>0.8</v>
      </c>
      <c r="D76" s="2">
        <v>0.85</v>
      </c>
    </row>
    <row r="77" spans="1:4" x14ac:dyDescent="0.25">
      <c r="A77" s="2">
        <v>0.16900000000000001</v>
      </c>
      <c r="B77" s="2">
        <v>2.5</v>
      </c>
      <c r="C77" s="2">
        <v>0.8</v>
      </c>
      <c r="D77" s="2">
        <v>0.85</v>
      </c>
    </row>
    <row r="78" spans="1:4" x14ac:dyDescent="0.25">
      <c r="A78" s="2">
        <v>0.17100000000000001</v>
      </c>
      <c r="B78" s="2">
        <v>2.5</v>
      </c>
      <c r="C78" s="2">
        <v>0.8</v>
      </c>
      <c r="D78" s="2">
        <v>0.85</v>
      </c>
    </row>
    <row r="79" spans="1:4" x14ac:dyDescent="0.25">
      <c r="A79" s="2">
        <v>0.17299999999999999</v>
      </c>
      <c r="B79" s="2">
        <v>2.5</v>
      </c>
      <c r="C79" s="2">
        <v>0.8</v>
      </c>
      <c r="D79" s="2">
        <v>0.85</v>
      </c>
    </row>
    <row r="80" spans="1:4" x14ac:dyDescent="0.25">
      <c r="A80" s="2">
        <v>0.17499999999999999</v>
      </c>
      <c r="B80" s="2">
        <v>2.5</v>
      </c>
      <c r="C80" s="2">
        <v>0.8</v>
      </c>
      <c r="D80" s="2">
        <v>0.85</v>
      </c>
    </row>
    <row r="81" spans="1:4" x14ac:dyDescent="0.25">
      <c r="A81" s="2">
        <v>0.17699999999999999</v>
      </c>
      <c r="B81" s="2">
        <v>2.5</v>
      </c>
      <c r="C81" s="2">
        <v>0.8</v>
      </c>
      <c r="D81" s="2">
        <v>0.85</v>
      </c>
    </row>
    <row r="82" spans="1:4" x14ac:dyDescent="0.25">
      <c r="A82" s="2">
        <v>0.17899999999999999</v>
      </c>
      <c r="B82" s="2">
        <v>2.5</v>
      </c>
      <c r="C82" s="2">
        <v>0.8</v>
      </c>
      <c r="D82" s="2">
        <v>0.85</v>
      </c>
    </row>
    <row r="83" spans="1:4" x14ac:dyDescent="0.25">
      <c r="A83" s="2">
        <v>0.18099999999999999</v>
      </c>
      <c r="B83" s="2">
        <v>2.5</v>
      </c>
      <c r="C83" s="2">
        <v>0.8</v>
      </c>
      <c r="D83" s="2">
        <v>0.85</v>
      </c>
    </row>
    <row r="84" spans="1:4" x14ac:dyDescent="0.25">
      <c r="A84" s="2">
        <v>0.183</v>
      </c>
      <c r="B84" s="2">
        <v>2.5</v>
      </c>
      <c r="C84" s="2">
        <v>0.8</v>
      </c>
      <c r="D84" s="2">
        <v>0.85</v>
      </c>
    </row>
    <row r="85" spans="1:4" x14ac:dyDescent="0.25">
      <c r="A85" s="2">
        <v>0.185</v>
      </c>
      <c r="B85" s="2">
        <v>2.5</v>
      </c>
      <c r="C85" s="2">
        <v>0.8</v>
      </c>
      <c r="D85" s="2">
        <v>0.85</v>
      </c>
    </row>
    <row r="86" spans="1:4" x14ac:dyDescent="0.25">
      <c r="A86" s="2">
        <v>0.187</v>
      </c>
      <c r="B86" s="2">
        <v>2.5</v>
      </c>
      <c r="C86" s="2">
        <v>0.8</v>
      </c>
      <c r="D86" s="2">
        <v>0.85</v>
      </c>
    </row>
    <row r="87" spans="1:4" x14ac:dyDescent="0.25">
      <c r="A87" s="2">
        <v>0.189</v>
      </c>
      <c r="B87" s="2">
        <v>2.5</v>
      </c>
      <c r="C87" s="2">
        <v>0.8</v>
      </c>
      <c r="D87" s="2">
        <v>0.85</v>
      </c>
    </row>
    <row r="88" spans="1:4" x14ac:dyDescent="0.25">
      <c r="A88" s="2">
        <v>0.191</v>
      </c>
      <c r="B88" s="2">
        <v>2.5</v>
      </c>
      <c r="C88" s="2">
        <v>0.8</v>
      </c>
      <c r="D88" s="2">
        <v>0.85</v>
      </c>
    </row>
    <row r="89" spans="1:4" x14ac:dyDescent="0.25">
      <c r="A89" s="2">
        <v>0.193</v>
      </c>
      <c r="B89" s="2">
        <v>2.5</v>
      </c>
      <c r="C89" s="2">
        <v>0.8</v>
      </c>
      <c r="D89" s="2">
        <v>0.85</v>
      </c>
    </row>
    <row r="90" spans="1:4" x14ac:dyDescent="0.25">
      <c r="A90" s="2">
        <v>0.19500000000000001</v>
      </c>
      <c r="B90" s="2">
        <v>2.5</v>
      </c>
      <c r="C90" s="2">
        <v>0.8</v>
      </c>
      <c r="D90" s="2">
        <v>0.85</v>
      </c>
    </row>
    <row r="91" spans="1:4" x14ac:dyDescent="0.25">
      <c r="A91" s="2">
        <v>0.19700000000000001</v>
      </c>
      <c r="B91" s="2">
        <v>2.5</v>
      </c>
      <c r="C91" s="2">
        <v>0.8</v>
      </c>
      <c r="D91" s="2">
        <v>0.85</v>
      </c>
    </row>
    <row r="92" spans="1:4" x14ac:dyDescent="0.25">
      <c r="A92" s="2">
        <v>0.19900000000000001</v>
      </c>
      <c r="B92" s="2">
        <v>2.5</v>
      </c>
      <c r="C92" s="2">
        <v>0.8</v>
      </c>
      <c r="D92" s="2">
        <v>0.85</v>
      </c>
    </row>
    <row r="93" spans="1:4" x14ac:dyDescent="0.25">
      <c r="A93" s="2">
        <v>0.20100000000000001</v>
      </c>
      <c r="B93" s="2">
        <v>2.5</v>
      </c>
      <c r="C93" s="2">
        <v>0.8</v>
      </c>
      <c r="D93" s="2">
        <v>0.85</v>
      </c>
    </row>
    <row r="94" spans="1:4" x14ac:dyDescent="0.25">
      <c r="A94" s="2">
        <v>0.2019</v>
      </c>
      <c r="B94" s="2">
        <v>2.5</v>
      </c>
      <c r="C94" s="2">
        <v>0.8</v>
      </c>
      <c r="D94" s="2">
        <v>0.85</v>
      </c>
    </row>
    <row r="95" spans="1:4" x14ac:dyDescent="0.25">
      <c r="A95" s="2">
        <v>0.21</v>
      </c>
      <c r="B95" s="2">
        <v>2.5</v>
      </c>
      <c r="C95" s="2">
        <v>0.8</v>
      </c>
      <c r="D95" s="2">
        <v>0.85</v>
      </c>
    </row>
    <row r="96" spans="1:4" x14ac:dyDescent="0.25">
      <c r="A96" s="2">
        <v>0.25</v>
      </c>
      <c r="B96" s="2">
        <v>2.5</v>
      </c>
      <c r="C96" s="2">
        <v>0.8</v>
      </c>
      <c r="D96" s="2">
        <v>0.85</v>
      </c>
    </row>
    <row r="97" spans="1:4" x14ac:dyDescent="0.25">
      <c r="A97" s="2">
        <v>0.3</v>
      </c>
      <c r="B97" s="2">
        <v>2.5</v>
      </c>
      <c r="C97" s="2">
        <v>0.8</v>
      </c>
      <c r="D97" s="2">
        <v>0.85</v>
      </c>
    </row>
    <row r="98" spans="1:4" x14ac:dyDescent="0.25">
      <c r="A98" s="2">
        <v>0.35</v>
      </c>
      <c r="B98" s="2">
        <v>2.5</v>
      </c>
      <c r="C98" s="2">
        <v>0.8</v>
      </c>
      <c r="D98" s="2">
        <v>0.85</v>
      </c>
    </row>
    <row r="99" spans="1:4" x14ac:dyDescent="0.25">
      <c r="A99" s="2">
        <v>0.39</v>
      </c>
      <c r="B99" s="2">
        <v>2.5</v>
      </c>
      <c r="C99" s="2">
        <v>0.8</v>
      </c>
      <c r="D99" s="2">
        <v>0.85</v>
      </c>
    </row>
    <row r="100" spans="1:4" x14ac:dyDescent="0.25">
      <c r="A100" s="2">
        <v>0.4</v>
      </c>
      <c r="B100" s="2">
        <v>2.5</v>
      </c>
      <c r="C100" s="2">
        <v>0.8</v>
      </c>
      <c r="D100" s="2">
        <v>0.85</v>
      </c>
    </row>
    <row r="101" spans="1:4" x14ac:dyDescent="0.25">
      <c r="A101" s="2">
        <v>0.41</v>
      </c>
      <c r="B101" s="2">
        <v>2.5</v>
      </c>
      <c r="C101" s="2">
        <v>0.8</v>
      </c>
      <c r="D101" s="2">
        <v>0.85</v>
      </c>
    </row>
    <row r="102" spans="1:4" x14ac:dyDescent="0.25">
      <c r="A102" s="2">
        <v>0.42</v>
      </c>
      <c r="B102" s="2">
        <v>2.5</v>
      </c>
      <c r="C102" s="2">
        <v>0.8</v>
      </c>
      <c r="D102" s="2">
        <v>0.85</v>
      </c>
    </row>
    <row r="103" spans="1:4" x14ac:dyDescent="0.25">
      <c r="A103" s="2">
        <v>0.43</v>
      </c>
      <c r="B103" s="2">
        <v>2.5</v>
      </c>
      <c r="C103" s="2">
        <v>0.8</v>
      </c>
      <c r="D103" s="2">
        <v>0.85</v>
      </c>
    </row>
    <row r="104" spans="1:4" x14ac:dyDescent="0.25">
      <c r="A104" s="2">
        <v>0.44</v>
      </c>
      <c r="B104" s="2">
        <v>2.5</v>
      </c>
      <c r="C104" s="2">
        <v>0.8</v>
      </c>
      <c r="D104" s="2">
        <v>0.85</v>
      </c>
    </row>
    <row r="105" spans="1:4" x14ac:dyDescent="0.25">
      <c r="A105" s="2">
        <v>0.45</v>
      </c>
      <c r="B105" s="2">
        <v>2.5</v>
      </c>
      <c r="C105" s="2">
        <v>0.8</v>
      </c>
      <c r="D105" s="2">
        <v>0.85</v>
      </c>
    </row>
    <row r="106" spans="1:4" x14ac:dyDescent="0.25">
      <c r="A106" s="2">
        <v>0.46</v>
      </c>
      <c r="B106" s="2">
        <v>2.5</v>
      </c>
      <c r="C106" s="2">
        <v>0.8</v>
      </c>
      <c r="D106" s="2">
        <v>0.85</v>
      </c>
    </row>
    <row r="107" spans="1:4" x14ac:dyDescent="0.25">
      <c r="A107" s="2">
        <v>0.47</v>
      </c>
      <c r="B107" s="2">
        <v>2.5</v>
      </c>
      <c r="C107" s="2">
        <v>0.8</v>
      </c>
      <c r="D107" s="2">
        <v>0.85</v>
      </c>
    </row>
    <row r="108" spans="1:4" x14ac:dyDescent="0.25">
      <c r="A108" s="2">
        <v>0.48</v>
      </c>
      <c r="B108" s="2">
        <v>2.5</v>
      </c>
      <c r="C108" s="2">
        <v>0.8</v>
      </c>
      <c r="D108" s="2">
        <v>0.85</v>
      </c>
    </row>
    <row r="109" spans="1:4" x14ac:dyDescent="0.25">
      <c r="A109" s="2">
        <v>0.49</v>
      </c>
      <c r="B109" s="2">
        <v>2.5</v>
      </c>
      <c r="C109" s="2">
        <v>0.8</v>
      </c>
      <c r="D109" s="2">
        <v>0.85</v>
      </c>
    </row>
    <row r="110" spans="1:4" x14ac:dyDescent="0.25">
      <c r="A110" s="2">
        <v>0.5</v>
      </c>
      <c r="B110" s="2">
        <v>2.5</v>
      </c>
      <c r="C110" s="2">
        <v>0.8</v>
      </c>
      <c r="D110" s="2">
        <v>0.85</v>
      </c>
    </row>
    <row r="111" spans="1:4" x14ac:dyDescent="0.25">
      <c r="A111" s="2">
        <v>0.51</v>
      </c>
      <c r="B111" s="2">
        <v>2.5</v>
      </c>
      <c r="C111" s="2">
        <v>0.8</v>
      </c>
      <c r="D111" s="2">
        <v>0.85</v>
      </c>
    </row>
    <row r="112" spans="1:4" x14ac:dyDescent="0.25">
      <c r="A112" s="2">
        <v>0.52</v>
      </c>
      <c r="B112" s="2">
        <v>2.5</v>
      </c>
      <c r="C112" s="2">
        <v>0.8</v>
      </c>
      <c r="D112" s="2">
        <v>0.85</v>
      </c>
    </row>
    <row r="113" spans="1:4" x14ac:dyDescent="0.25">
      <c r="A113" s="2">
        <v>0.53</v>
      </c>
      <c r="B113" s="2">
        <v>2.5</v>
      </c>
      <c r="C113" s="2">
        <v>0.8</v>
      </c>
      <c r="D113" s="2">
        <v>0.85</v>
      </c>
    </row>
    <row r="114" spans="1:4" x14ac:dyDescent="0.25">
      <c r="A114" s="2">
        <v>0.54</v>
      </c>
      <c r="B114" s="2">
        <v>2.5</v>
      </c>
      <c r="C114" s="2">
        <v>0.8</v>
      </c>
      <c r="D114" s="2">
        <v>0.85</v>
      </c>
    </row>
    <row r="115" spans="1:4" x14ac:dyDescent="0.25">
      <c r="A115" s="2">
        <v>0.55000000000000004</v>
      </c>
      <c r="B115" s="2">
        <v>2.5</v>
      </c>
      <c r="C115" s="2">
        <v>0.8</v>
      </c>
      <c r="D115" s="2">
        <v>0.85</v>
      </c>
    </row>
    <row r="116" spans="1:4" x14ac:dyDescent="0.25">
      <c r="A116" s="2">
        <v>0.56000000000000005</v>
      </c>
      <c r="B116" s="2">
        <v>2.5</v>
      </c>
      <c r="C116" s="2">
        <v>0.8</v>
      </c>
      <c r="D116" s="2">
        <v>0.85</v>
      </c>
    </row>
    <row r="117" spans="1:4" x14ac:dyDescent="0.25">
      <c r="A117" s="2">
        <v>0.56999999999999995</v>
      </c>
      <c r="B117" s="2">
        <v>2.5</v>
      </c>
      <c r="C117" s="2">
        <v>0.8</v>
      </c>
      <c r="D117" s="2">
        <v>0.85</v>
      </c>
    </row>
    <row r="118" spans="1:4" x14ac:dyDescent="0.25">
      <c r="A118" s="2">
        <v>0.57999999999999996</v>
      </c>
      <c r="B118" s="2">
        <v>2.5</v>
      </c>
      <c r="C118" s="2">
        <v>0.8</v>
      </c>
      <c r="D118" s="2">
        <v>0.85</v>
      </c>
    </row>
    <row r="119" spans="1:4" x14ac:dyDescent="0.25">
      <c r="A119" s="2">
        <v>0.59</v>
      </c>
      <c r="B119" s="2">
        <v>2.5</v>
      </c>
      <c r="C119" s="2">
        <v>0.8</v>
      </c>
      <c r="D119" s="2">
        <v>0.85</v>
      </c>
    </row>
    <row r="120" spans="1:4" x14ac:dyDescent="0.25">
      <c r="A120" s="2">
        <v>0.6</v>
      </c>
      <c r="B120" s="2">
        <v>2.5</v>
      </c>
      <c r="C120" s="2">
        <v>0.8</v>
      </c>
      <c r="D120" s="2">
        <v>0.85</v>
      </c>
    </row>
    <row r="121" spans="1:4" x14ac:dyDescent="0.25">
      <c r="A121" s="2">
        <v>0.61</v>
      </c>
      <c r="B121" s="2">
        <v>2.5</v>
      </c>
      <c r="C121" s="2">
        <v>0.8</v>
      </c>
      <c r="D121" s="2">
        <v>0.85</v>
      </c>
    </row>
    <row r="122" spans="1:4" x14ac:dyDescent="0.25">
      <c r="A122" s="2">
        <v>0.62</v>
      </c>
      <c r="B122" s="2">
        <v>2.5</v>
      </c>
      <c r="C122" s="2">
        <v>0.8</v>
      </c>
      <c r="D122" s="2">
        <v>0.85</v>
      </c>
    </row>
    <row r="123" spans="1:4" x14ac:dyDescent="0.25">
      <c r="A123" s="2">
        <v>0.63</v>
      </c>
      <c r="B123" s="2">
        <v>2.5</v>
      </c>
      <c r="C123" s="2">
        <v>0.8</v>
      </c>
      <c r="D123" s="2">
        <v>0.85</v>
      </c>
    </row>
    <row r="124" spans="1:4" x14ac:dyDescent="0.25">
      <c r="A124" s="2">
        <v>0.64</v>
      </c>
      <c r="B124" s="2">
        <v>2.5</v>
      </c>
      <c r="C124" s="2">
        <v>0.8</v>
      </c>
      <c r="D124" s="2">
        <v>0.85</v>
      </c>
    </row>
    <row r="125" spans="1:4" x14ac:dyDescent="0.25">
      <c r="A125" s="2">
        <v>0.65</v>
      </c>
      <c r="B125" s="2">
        <v>2.5</v>
      </c>
      <c r="C125" s="2">
        <v>0.8</v>
      </c>
      <c r="D125" s="2">
        <v>0.85</v>
      </c>
    </row>
    <row r="126" spans="1:4" x14ac:dyDescent="0.25">
      <c r="A126" s="2">
        <v>0.66</v>
      </c>
      <c r="B126" s="2">
        <v>2.5</v>
      </c>
      <c r="C126" s="2">
        <v>0.8</v>
      </c>
      <c r="D126" s="2">
        <v>0.85</v>
      </c>
    </row>
    <row r="127" spans="1:4" x14ac:dyDescent="0.25">
      <c r="A127" s="2">
        <v>0.67</v>
      </c>
      <c r="B127" s="2">
        <v>2.5</v>
      </c>
      <c r="C127" s="2">
        <v>0.8</v>
      </c>
      <c r="D127" s="2">
        <v>0.85</v>
      </c>
    </row>
    <row r="128" spans="1:4" x14ac:dyDescent="0.25">
      <c r="A128" s="2">
        <v>0.68</v>
      </c>
      <c r="B128" s="2">
        <v>2.5</v>
      </c>
      <c r="C128" s="2">
        <v>0.8</v>
      </c>
      <c r="D128" s="2">
        <v>0.85</v>
      </c>
    </row>
    <row r="129" spans="1:4" x14ac:dyDescent="0.25">
      <c r="A129" s="2">
        <v>0.69</v>
      </c>
      <c r="B129" s="2">
        <v>2.5</v>
      </c>
      <c r="C129" s="2">
        <v>0.8</v>
      </c>
      <c r="D129" s="2">
        <v>0.85</v>
      </c>
    </row>
    <row r="130" spans="1:4" x14ac:dyDescent="0.25">
      <c r="A130" s="2">
        <v>0.7</v>
      </c>
      <c r="B130" s="2">
        <v>2.5</v>
      </c>
      <c r="C130" s="2">
        <v>0.8</v>
      </c>
      <c r="D130" s="2">
        <v>0.85</v>
      </c>
    </row>
    <row r="131" spans="1:4" x14ac:dyDescent="0.25">
      <c r="A131" s="2">
        <v>0.71</v>
      </c>
      <c r="B131" s="2">
        <v>2.5</v>
      </c>
      <c r="C131" s="2">
        <v>0.8</v>
      </c>
      <c r="D131" s="2">
        <v>0.85</v>
      </c>
    </row>
    <row r="132" spans="1:4" x14ac:dyDescent="0.25">
      <c r="A132" s="2">
        <v>0.72</v>
      </c>
      <c r="B132" s="2">
        <v>2.5</v>
      </c>
      <c r="C132" s="2">
        <v>0.8</v>
      </c>
      <c r="D132" s="2">
        <v>0.85</v>
      </c>
    </row>
    <row r="133" spans="1:4" x14ac:dyDescent="0.25">
      <c r="A133" s="2">
        <v>0.73</v>
      </c>
      <c r="B133" s="2">
        <v>2.5</v>
      </c>
      <c r="C133" s="2">
        <v>0.8</v>
      </c>
      <c r="D133" s="2">
        <v>0.85</v>
      </c>
    </row>
    <row r="134" spans="1:4" x14ac:dyDescent="0.25">
      <c r="A134" s="2">
        <v>0.74</v>
      </c>
      <c r="B134" s="2">
        <v>2.5</v>
      </c>
      <c r="C134" s="2">
        <v>0.8</v>
      </c>
      <c r="D134" s="2">
        <v>0.85</v>
      </c>
    </row>
    <row r="135" spans="1:4" x14ac:dyDescent="0.25">
      <c r="A135" s="2">
        <v>0.75</v>
      </c>
      <c r="B135" s="2">
        <v>2.5</v>
      </c>
      <c r="C135" s="2">
        <v>0.8</v>
      </c>
      <c r="D135" s="2">
        <v>0.85</v>
      </c>
    </row>
    <row r="136" spans="1:4" x14ac:dyDescent="0.25">
      <c r="A136" s="2">
        <v>0.76</v>
      </c>
      <c r="B136" s="2">
        <v>2.5</v>
      </c>
      <c r="C136" s="2">
        <v>0.8</v>
      </c>
      <c r="D136" s="2">
        <v>0.85</v>
      </c>
    </row>
    <row r="137" spans="1:4" x14ac:dyDescent="0.25">
      <c r="A137" s="2">
        <v>0.77</v>
      </c>
      <c r="B137" s="2">
        <v>2.5</v>
      </c>
      <c r="C137" s="2">
        <v>0.8</v>
      </c>
      <c r="D137" s="2">
        <v>0.85</v>
      </c>
    </row>
    <row r="138" spans="1:4" x14ac:dyDescent="0.25">
      <c r="A138" s="2">
        <v>0.78</v>
      </c>
      <c r="B138" s="2">
        <v>2.5</v>
      </c>
      <c r="C138" s="2">
        <v>0.8</v>
      </c>
      <c r="D138" s="2">
        <v>0.85</v>
      </c>
    </row>
    <row r="139" spans="1:4" x14ac:dyDescent="0.25">
      <c r="A139" s="2">
        <v>0.79</v>
      </c>
      <c r="B139" s="2">
        <v>2.5</v>
      </c>
      <c r="C139" s="2">
        <v>0.8</v>
      </c>
      <c r="D139" s="2">
        <v>0.85</v>
      </c>
    </row>
    <row r="140" spans="1:4" x14ac:dyDescent="0.25">
      <c r="A140" s="2">
        <v>0.8</v>
      </c>
      <c r="B140" s="2">
        <v>2.5</v>
      </c>
      <c r="C140" s="2">
        <v>0.8</v>
      </c>
      <c r="D140" s="2">
        <v>0.85</v>
      </c>
    </row>
    <row r="141" spans="1:4" x14ac:dyDescent="0.25">
      <c r="A141" s="2">
        <v>0.81</v>
      </c>
      <c r="B141" s="2">
        <v>2.5</v>
      </c>
      <c r="C141" s="2">
        <v>0.8</v>
      </c>
      <c r="D141" s="2">
        <v>0.85</v>
      </c>
    </row>
    <row r="142" spans="1:4" x14ac:dyDescent="0.25">
      <c r="A142" s="2">
        <v>0.82</v>
      </c>
      <c r="B142" s="2">
        <v>2.5</v>
      </c>
      <c r="C142" s="2">
        <v>0.8</v>
      </c>
      <c r="D142" s="2">
        <v>0.85</v>
      </c>
    </row>
    <row r="143" spans="1:4" x14ac:dyDescent="0.25">
      <c r="A143" s="2">
        <v>0.83</v>
      </c>
      <c r="B143" s="2">
        <v>2.5</v>
      </c>
      <c r="C143" s="2">
        <v>0.8</v>
      </c>
      <c r="D143" s="2">
        <v>0.85</v>
      </c>
    </row>
    <row r="144" spans="1:4" x14ac:dyDescent="0.25">
      <c r="A144" s="2">
        <v>0.84</v>
      </c>
      <c r="B144" s="2">
        <v>2.5</v>
      </c>
      <c r="C144" s="2">
        <v>0.8</v>
      </c>
      <c r="D144" s="2">
        <v>0.85</v>
      </c>
    </row>
    <row r="145" spans="1:4" x14ac:dyDescent="0.25">
      <c r="A145" s="2">
        <v>0.85</v>
      </c>
      <c r="B145" s="2">
        <v>2.5</v>
      </c>
      <c r="C145" s="2">
        <v>0.8</v>
      </c>
      <c r="D145" s="2">
        <v>0.85</v>
      </c>
    </row>
    <row r="146" spans="1:4" x14ac:dyDescent="0.25">
      <c r="A146" s="2">
        <v>0.86</v>
      </c>
      <c r="B146" s="2">
        <v>2.5</v>
      </c>
      <c r="C146" s="2">
        <v>0.8</v>
      </c>
      <c r="D146" s="2">
        <v>0.85</v>
      </c>
    </row>
    <row r="147" spans="1:4" x14ac:dyDescent="0.25">
      <c r="A147" s="2">
        <v>0.87</v>
      </c>
      <c r="B147" s="2">
        <v>2.5</v>
      </c>
      <c r="C147" s="2">
        <v>0.8</v>
      </c>
      <c r="D147" s="2">
        <v>0.85</v>
      </c>
    </row>
    <row r="148" spans="1:4" x14ac:dyDescent="0.25">
      <c r="A148" s="2">
        <v>0.88</v>
      </c>
      <c r="B148" s="2">
        <v>2.5</v>
      </c>
      <c r="C148" s="2">
        <v>0.8</v>
      </c>
      <c r="D148" s="2">
        <v>0.85</v>
      </c>
    </row>
    <row r="149" spans="1:4" x14ac:dyDescent="0.25">
      <c r="A149" s="2">
        <v>0.89</v>
      </c>
      <c r="B149" s="2">
        <v>2.5</v>
      </c>
      <c r="C149" s="2">
        <v>0.8</v>
      </c>
      <c r="D149" s="2">
        <v>0.85</v>
      </c>
    </row>
    <row r="150" spans="1:4" x14ac:dyDescent="0.25">
      <c r="A150" s="2">
        <v>0.9</v>
      </c>
      <c r="B150" s="2">
        <v>2.5</v>
      </c>
      <c r="C150" s="2">
        <v>0.8</v>
      </c>
      <c r="D150" s="2">
        <v>0.85</v>
      </c>
    </row>
    <row r="151" spans="1:4" x14ac:dyDescent="0.25">
      <c r="A151" s="2">
        <v>0.91</v>
      </c>
      <c r="B151" s="2">
        <v>2.5</v>
      </c>
      <c r="C151" s="2">
        <v>0.8</v>
      </c>
      <c r="D151" s="2">
        <v>0.85</v>
      </c>
    </row>
    <row r="152" spans="1:4" x14ac:dyDescent="0.25">
      <c r="A152" s="2">
        <v>0.92</v>
      </c>
      <c r="B152" s="2">
        <v>2.5</v>
      </c>
      <c r="C152" s="2">
        <v>0.8</v>
      </c>
      <c r="D152" s="2">
        <v>0.85</v>
      </c>
    </row>
    <row r="153" spans="1:4" x14ac:dyDescent="0.25">
      <c r="A153" s="2">
        <v>0.93</v>
      </c>
      <c r="B153" s="2">
        <v>2.5</v>
      </c>
      <c r="C153" s="2">
        <v>0.8</v>
      </c>
      <c r="D153" s="2">
        <v>0.85</v>
      </c>
    </row>
    <row r="154" spans="1:4" x14ac:dyDescent="0.25">
      <c r="A154" s="2">
        <v>0.94</v>
      </c>
      <c r="B154" s="2">
        <v>2.5</v>
      </c>
      <c r="C154" s="2">
        <v>0.8</v>
      </c>
      <c r="D154" s="2">
        <v>0.85</v>
      </c>
    </row>
    <row r="155" spans="1:4" x14ac:dyDescent="0.25">
      <c r="A155" s="2">
        <v>0.95</v>
      </c>
      <c r="B155" s="2">
        <v>2.5</v>
      </c>
      <c r="C155" s="2">
        <v>0.8</v>
      </c>
      <c r="D155" s="2">
        <v>0.85</v>
      </c>
    </row>
    <row r="156" spans="1:4" x14ac:dyDescent="0.25">
      <c r="A156" s="2">
        <v>0.96</v>
      </c>
      <c r="B156" s="2">
        <v>2.5</v>
      </c>
      <c r="C156" s="2">
        <v>0.8</v>
      </c>
      <c r="D156" s="2">
        <v>0.85</v>
      </c>
    </row>
    <row r="157" spans="1:4" x14ac:dyDescent="0.25">
      <c r="A157" s="2">
        <v>0.97</v>
      </c>
      <c r="B157" s="2">
        <v>2.5</v>
      </c>
      <c r="C157" s="2">
        <v>0.8</v>
      </c>
      <c r="D157" s="2">
        <v>0.85</v>
      </c>
    </row>
    <row r="158" spans="1:4" x14ac:dyDescent="0.25">
      <c r="A158" s="2">
        <v>0.98</v>
      </c>
      <c r="B158" s="2">
        <v>2.5</v>
      </c>
      <c r="C158" s="2">
        <v>0.8</v>
      </c>
      <c r="D158" s="2">
        <v>0.85</v>
      </c>
    </row>
    <row r="159" spans="1:4" x14ac:dyDescent="0.25">
      <c r="A159" s="2">
        <v>0.99</v>
      </c>
      <c r="B159" s="2">
        <v>2.5</v>
      </c>
      <c r="C159" s="2">
        <v>0.8</v>
      </c>
      <c r="D159" s="2">
        <v>0.85</v>
      </c>
    </row>
    <row r="160" spans="1:4" x14ac:dyDescent="0.25">
      <c r="A160" s="2">
        <v>1</v>
      </c>
      <c r="B160" s="2">
        <v>2.5</v>
      </c>
      <c r="C160" s="2">
        <v>0.8</v>
      </c>
      <c r="D160" s="2">
        <v>0.85</v>
      </c>
    </row>
    <row r="161" spans="1:4" x14ac:dyDescent="0.25">
      <c r="A161" s="2">
        <v>1.01</v>
      </c>
      <c r="B161" s="2">
        <v>2.5</v>
      </c>
      <c r="C161" s="2">
        <v>0.8</v>
      </c>
      <c r="D161" s="2">
        <v>0.85</v>
      </c>
    </row>
    <row r="162" spans="1:4" x14ac:dyDescent="0.25">
      <c r="A162" s="2">
        <v>1.02</v>
      </c>
      <c r="B162" s="2">
        <v>2.5</v>
      </c>
      <c r="C162" s="2">
        <v>0.8</v>
      </c>
      <c r="D162" s="2">
        <v>0.85</v>
      </c>
    </row>
    <row r="163" spans="1:4" x14ac:dyDescent="0.25">
      <c r="A163" s="2">
        <v>1.03</v>
      </c>
      <c r="B163" s="2">
        <v>2.5</v>
      </c>
      <c r="C163" s="2">
        <v>0.8</v>
      </c>
      <c r="D163" s="2">
        <v>0.85</v>
      </c>
    </row>
    <row r="164" spans="1:4" x14ac:dyDescent="0.25">
      <c r="A164" s="2">
        <v>1.04</v>
      </c>
      <c r="B164" s="2">
        <v>2.5</v>
      </c>
      <c r="C164" s="2">
        <v>0.8</v>
      </c>
      <c r="D164" s="2">
        <v>0.85</v>
      </c>
    </row>
    <row r="165" spans="1:4" x14ac:dyDescent="0.25">
      <c r="A165" s="2">
        <v>1.05</v>
      </c>
      <c r="B165" s="2">
        <v>2.5</v>
      </c>
      <c r="C165" s="2">
        <v>0.8</v>
      </c>
      <c r="D165" s="2">
        <v>0.85</v>
      </c>
    </row>
    <row r="166" spans="1:4" x14ac:dyDescent="0.25">
      <c r="A166" s="2">
        <v>1.06</v>
      </c>
      <c r="B166" s="2">
        <v>2.5</v>
      </c>
      <c r="C166" s="2">
        <v>0.8</v>
      </c>
      <c r="D166" s="2">
        <v>0.85</v>
      </c>
    </row>
    <row r="167" spans="1:4" x14ac:dyDescent="0.25">
      <c r="A167" s="2">
        <v>1.07</v>
      </c>
      <c r="B167" s="2">
        <v>2.5</v>
      </c>
      <c r="C167" s="2">
        <v>0.8</v>
      </c>
      <c r="D167" s="2">
        <v>0.85</v>
      </c>
    </row>
    <row r="168" spans="1:4" x14ac:dyDescent="0.25">
      <c r="A168" s="2">
        <v>1.08</v>
      </c>
      <c r="B168" s="2">
        <v>2.5</v>
      </c>
      <c r="C168" s="2">
        <v>0.8</v>
      </c>
      <c r="D168" s="2">
        <v>0.85</v>
      </c>
    </row>
    <row r="169" spans="1:4" x14ac:dyDescent="0.25">
      <c r="A169" s="2">
        <v>1.0900000000000001</v>
      </c>
      <c r="B169" s="2">
        <v>2.5</v>
      </c>
      <c r="C169" s="2">
        <v>0.8</v>
      </c>
      <c r="D169" s="2">
        <v>0.85</v>
      </c>
    </row>
    <row r="170" spans="1:4" x14ac:dyDescent="0.25">
      <c r="A170" s="2">
        <v>1.1000000000000001</v>
      </c>
      <c r="B170" s="2">
        <v>2.5</v>
      </c>
      <c r="C170" s="2">
        <v>0.8</v>
      </c>
      <c r="D170" s="2">
        <v>0.85</v>
      </c>
    </row>
    <row r="171" spans="1:4" x14ac:dyDescent="0.25">
      <c r="A171" s="2">
        <v>1.1100000000000001</v>
      </c>
      <c r="B171" s="2">
        <v>2.5</v>
      </c>
      <c r="C171" s="2">
        <v>0.8</v>
      </c>
      <c r="D171" s="2">
        <v>0.85</v>
      </c>
    </row>
    <row r="172" spans="1:4" x14ac:dyDescent="0.25">
      <c r="A172" s="2">
        <v>1.1200000000000001</v>
      </c>
      <c r="B172" s="2">
        <v>2.5</v>
      </c>
      <c r="C172" s="2">
        <v>0.8</v>
      </c>
      <c r="D172" s="2">
        <v>0.85</v>
      </c>
    </row>
    <row r="173" spans="1:4" x14ac:dyDescent="0.25">
      <c r="A173" s="2">
        <v>1.1299999999999999</v>
      </c>
      <c r="B173" s="2">
        <v>2.5</v>
      </c>
      <c r="C173" s="2">
        <v>0.8</v>
      </c>
      <c r="D173" s="2">
        <v>0.85</v>
      </c>
    </row>
    <row r="174" spans="1:4" x14ac:dyDescent="0.25">
      <c r="A174" s="2">
        <v>1.1399999999999999</v>
      </c>
      <c r="B174" s="2">
        <v>2.5</v>
      </c>
      <c r="C174" s="2">
        <v>0.8</v>
      </c>
      <c r="D174" s="2">
        <v>0.85</v>
      </c>
    </row>
    <row r="175" spans="1:4" x14ac:dyDescent="0.25">
      <c r="A175" s="2">
        <v>1.1499999999999999</v>
      </c>
      <c r="B175" s="2">
        <v>2.5</v>
      </c>
      <c r="C175" s="2">
        <v>0.8</v>
      </c>
      <c r="D175" s="2">
        <v>0.85</v>
      </c>
    </row>
    <row r="176" spans="1:4" x14ac:dyDescent="0.25">
      <c r="A176" s="2">
        <v>1.1599999999999999</v>
      </c>
      <c r="B176" s="2">
        <v>2.5</v>
      </c>
      <c r="C176" s="2">
        <v>0.8</v>
      </c>
      <c r="D176" s="2">
        <v>0.85</v>
      </c>
    </row>
    <row r="177" spans="1:4" x14ac:dyDescent="0.25">
      <c r="A177" s="2">
        <v>1.17</v>
      </c>
      <c r="B177" s="2">
        <v>2.5</v>
      </c>
      <c r="C177" s="2">
        <v>0.8</v>
      </c>
      <c r="D177" s="2">
        <v>0.85</v>
      </c>
    </row>
    <row r="178" spans="1:4" x14ac:dyDescent="0.25">
      <c r="A178" s="2">
        <v>1.18</v>
      </c>
      <c r="B178" s="2">
        <v>2.5</v>
      </c>
      <c r="C178" s="2">
        <v>0.8</v>
      </c>
      <c r="D178" s="2">
        <v>0.85</v>
      </c>
    </row>
    <row r="179" spans="1:4" x14ac:dyDescent="0.25">
      <c r="A179" s="2">
        <v>1.19</v>
      </c>
      <c r="B179" s="2">
        <v>2.5</v>
      </c>
      <c r="C179" s="2">
        <v>0.8</v>
      </c>
      <c r="D179" s="2">
        <v>0.85</v>
      </c>
    </row>
    <row r="180" spans="1:4" x14ac:dyDescent="0.25">
      <c r="A180" s="2">
        <v>1.2</v>
      </c>
      <c r="B180" s="2">
        <v>2.5</v>
      </c>
      <c r="C180" s="2">
        <v>0.8</v>
      </c>
      <c r="D180" s="2">
        <v>0.85</v>
      </c>
    </row>
    <row r="181" spans="1:4" x14ac:dyDescent="0.25">
      <c r="A181" s="2">
        <v>1.21</v>
      </c>
      <c r="B181" s="2">
        <v>2.5</v>
      </c>
      <c r="C181" s="2">
        <v>0.8</v>
      </c>
      <c r="D181" s="2">
        <v>0.85</v>
      </c>
    </row>
    <row r="182" spans="1:4" x14ac:dyDescent="0.25">
      <c r="A182" s="2">
        <v>1.22</v>
      </c>
      <c r="B182" s="2">
        <v>2.5</v>
      </c>
      <c r="C182" s="2">
        <v>0.8</v>
      </c>
      <c r="D182" s="2">
        <v>0.85</v>
      </c>
    </row>
    <row r="183" spans="1:4" x14ac:dyDescent="0.25">
      <c r="A183" s="2">
        <v>1.23</v>
      </c>
      <c r="B183" s="2">
        <v>2.5</v>
      </c>
      <c r="C183" s="2">
        <v>0.8</v>
      </c>
      <c r="D183" s="2">
        <v>0.85</v>
      </c>
    </row>
    <row r="184" spans="1:4" x14ac:dyDescent="0.25">
      <c r="A184" s="2">
        <v>1.24</v>
      </c>
      <c r="B184" s="2">
        <v>2.5</v>
      </c>
      <c r="C184" s="2">
        <v>0.8</v>
      </c>
      <c r="D184" s="2">
        <v>0.85</v>
      </c>
    </row>
    <row r="185" spans="1:4" x14ac:dyDescent="0.25">
      <c r="A185" s="2">
        <v>1.25</v>
      </c>
      <c r="B185" s="2">
        <v>2.5</v>
      </c>
      <c r="C185" s="2">
        <v>0.8</v>
      </c>
      <c r="D185" s="2">
        <v>0.85</v>
      </c>
    </row>
    <row r="186" spans="1:4" x14ac:dyDescent="0.25">
      <c r="A186" s="2">
        <v>1.26</v>
      </c>
      <c r="B186" s="2">
        <v>2.5</v>
      </c>
      <c r="C186" s="2">
        <v>0.8</v>
      </c>
      <c r="D186" s="2">
        <v>0.85</v>
      </c>
    </row>
    <row r="187" spans="1:4" x14ac:dyDescent="0.25">
      <c r="A187" s="2">
        <v>1.27</v>
      </c>
      <c r="B187" s="2">
        <v>2.5</v>
      </c>
      <c r="C187" s="2">
        <v>0.8</v>
      </c>
      <c r="D187" s="2">
        <v>0.85</v>
      </c>
    </row>
    <row r="188" spans="1:4" x14ac:dyDescent="0.25">
      <c r="A188" s="2">
        <v>1.28</v>
      </c>
      <c r="B188" s="2">
        <v>2.5</v>
      </c>
      <c r="C188" s="2">
        <v>0.8</v>
      </c>
      <c r="D188" s="2">
        <v>0.85</v>
      </c>
    </row>
    <row r="189" spans="1:4" x14ac:dyDescent="0.25">
      <c r="A189" s="2">
        <v>1.29</v>
      </c>
      <c r="B189" s="2">
        <v>2.5</v>
      </c>
      <c r="C189" s="2">
        <v>0.8</v>
      </c>
      <c r="D189" s="2">
        <v>0.85</v>
      </c>
    </row>
    <row r="190" spans="1:4" x14ac:dyDescent="0.25">
      <c r="A190" s="2">
        <v>1.3</v>
      </c>
      <c r="B190" s="2">
        <v>2.5</v>
      </c>
      <c r="C190" s="2">
        <v>0.8</v>
      </c>
      <c r="D190" s="2">
        <v>0.85</v>
      </c>
    </row>
    <row r="191" spans="1:4" x14ac:dyDescent="0.25">
      <c r="A191" s="2">
        <v>1.31</v>
      </c>
      <c r="B191" s="2">
        <v>2.5</v>
      </c>
      <c r="C191" s="2">
        <v>0.8</v>
      </c>
      <c r="D191" s="2">
        <v>0.85</v>
      </c>
    </row>
    <row r="192" spans="1:4" x14ac:dyDescent="0.25">
      <c r="A192" s="2">
        <v>1.32</v>
      </c>
      <c r="B192" s="2">
        <v>2.5</v>
      </c>
      <c r="C192" s="2">
        <v>0.8</v>
      </c>
      <c r="D192" s="2">
        <v>0.85</v>
      </c>
    </row>
    <row r="193" spans="1:4" x14ac:dyDescent="0.25">
      <c r="A193" s="2">
        <v>1.33</v>
      </c>
      <c r="B193" s="2">
        <v>2.5</v>
      </c>
      <c r="C193" s="2">
        <v>0.8</v>
      </c>
      <c r="D193" s="2">
        <v>0.85</v>
      </c>
    </row>
    <row r="194" spans="1:4" x14ac:dyDescent="0.25">
      <c r="A194" s="2">
        <v>1.34</v>
      </c>
      <c r="B194" s="2">
        <v>2.5</v>
      </c>
      <c r="C194" s="2">
        <v>0.8</v>
      </c>
      <c r="D194" s="2">
        <v>0.85</v>
      </c>
    </row>
    <row r="195" spans="1:4" x14ac:dyDescent="0.25">
      <c r="A195" s="2">
        <v>1.35</v>
      </c>
      <c r="B195" s="2">
        <v>2.5</v>
      </c>
      <c r="C195" s="2">
        <v>0.8</v>
      </c>
      <c r="D195" s="2">
        <v>0.85</v>
      </c>
    </row>
    <row r="196" spans="1:4" x14ac:dyDescent="0.25">
      <c r="A196" s="2">
        <v>1.36</v>
      </c>
      <c r="B196" s="2">
        <v>2.5</v>
      </c>
      <c r="C196" s="2">
        <v>0.8</v>
      </c>
      <c r="D196" s="2">
        <v>0.85</v>
      </c>
    </row>
    <row r="197" spans="1:4" x14ac:dyDescent="0.25">
      <c r="A197" s="2">
        <v>1.37</v>
      </c>
      <c r="B197" s="2">
        <v>2.5</v>
      </c>
      <c r="C197" s="2">
        <v>0.8</v>
      </c>
      <c r="D197" s="2">
        <v>0.85</v>
      </c>
    </row>
    <row r="198" spans="1:4" x14ac:dyDescent="0.25">
      <c r="A198" s="2">
        <v>1.38</v>
      </c>
      <c r="B198" s="2">
        <v>2.5</v>
      </c>
      <c r="C198" s="2">
        <v>0.8</v>
      </c>
      <c r="D198" s="2">
        <v>0.85</v>
      </c>
    </row>
    <row r="199" spans="1:4" x14ac:dyDescent="0.25">
      <c r="A199" s="2">
        <v>1.39</v>
      </c>
      <c r="B199" s="2">
        <v>2.5</v>
      </c>
      <c r="C199" s="2">
        <v>0.8</v>
      </c>
      <c r="D199" s="2">
        <v>0.85</v>
      </c>
    </row>
    <row r="200" spans="1:4" x14ac:dyDescent="0.25">
      <c r="A200" s="2">
        <v>1.4</v>
      </c>
      <c r="B200" s="2">
        <v>2.5</v>
      </c>
      <c r="C200" s="2">
        <v>0.8</v>
      </c>
      <c r="D200" s="2">
        <v>0.85</v>
      </c>
    </row>
    <row r="201" spans="1:4" x14ac:dyDescent="0.25">
      <c r="A201" s="2">
        <v>1.41</v>
      </c>
      <c r="B201" s="2">
        <v>2.5</v>
      </c>
      <c r="C201" s="2">
        <v>0.8</v>
      </c>
      <c r="D201" s="2">
        <v>0.85</v>
      </c>
    </row>
    <row r="202" spans="1:4" x14ac:dyDescent="0.25">
      <c r="A202" s="2">
        <v>1.42</v>
      </c>
      <c r="B202" s="2">
        <v>2.5</v>
      </c>
      <c r="C202" s="2">
        <v>0.8</v>
      </c>
      <c r="D202" s="2">
        <v>0.85</v>
      </c>
    </row>
    <row r="203" spans="1:4" x14ac:dyDescent="0.25">
      <c r="A203" s="2">
        <v>1.43</v>
      </c>
      <c r="B203" s="2">
        <v>2.5</v>
      </c>
      <c r="C203" s="2">
        <v>0.8</v>
      </c>
      <c r="D203" s="2">
        <v>0.85</v>
      </c>
    </row>
    <row r="204" spans="1:4" x14ac:dyDescent="0.25">
      <c r="A204" s="2">
        <v>1.44</v>
      </c>
      <c r="B204" s="2">
        <v>2.5</v>
      </c>
      <c r="C204" s="2">
        <v>0.8</v>
      </c>
      <c r="D204" s="2">
        <v>0.85</v>
      </c>
    </row>
    <row r="205" spans="1:4" x14ac:dyDescent="0.25">
      <c r="A205" s="2">
        <v>1.4490000000000001</v>
      </c>
      <c r="B205" s="2">
        <v>2.5</v>
      </c>
      <c r="C205" s="2">
        <v>0.8</v>
      </c>
      <c r="D205" s="2">
        <v>0.85</v>
      </c>
    </row>
    <row r="206" spans="1:4" x14ac:dyDescent="0.25">
      <c r="A206" s="2">
        <v>1.46</v>
      </c>
      <c r="B206" s="2">
        <v>2.5</v>
      </c>
      <c r="C206" s="2">
        <v>0.8</v>
      </c>
      <c r="D206" s="2">
        <v>0.85</v>
      </c>
    </row>
    <row r="207" spans="1:4" x14ac:dyDescent="0.25">
      <c r="A207" s="2">
        <v>1.4710000000000001</v>
      </c>
      <c r="B207" s="2">
        <v>2.5</v>
      </c>
      <c r="C207" s="2">
        <v>0.8</v>
      </c>
      <c r="D207" s="2">
        <v>0.85</v>
      </c>
    </row>
    <row r="208" spans="1:4" x14ac:dyDescent="0.25">
      <c r="A208" s="2">
        <v>1.4810000000000001</v>
      </c>
      <c r="B208" s="2">
        <v>2.5</v>
      </c>
      <c r="C208" s="2">
        <v>0.8</v>
      </c>
      <c r="D208" s="2">
        <v>0.85</v>
      </c>
    </row>
    <row r="209" spans="1:4" x14ac:dyDescent="0.25">
      <c r="A209" s="2">
        <v>1.4930000000000001</v>
      </c>
      <c r="B209" s="2">
        <v>2.5</v>
      </c>
      <c r="C209" s="2">
        <v>0.8</v>
      </c>
      <c r="D209" s="2">
        <v>0.85</v>
      </c>
    </row>
    <row r="210" spans="1:4" x14ac:dyDescent="0.25">
      <c r="A210" s="2">
        <v>1.504</v>
      </c>
      <c r="B210" s="2">
        <v>2.5</v>
      </c>
      <c r="C210" s="2">
        <v>0.8</v>
      </c>
      <c r="D210" s="2">
        <v>0.85</v>
      </c>
    </row>
    <row r="211" spans="1:4" x14ac:dyDescent="0.25">
      <c r="A211" s="2">
        <v>1.5149999999999999</v>
      </c>
      <c r="B211" s="2">
        <v>2.5</v>
      </c>
      <c r="C211" s="2">
        <v>0.8</v>
      </c>
      <c r="D211" s="2">
        <v>0.85</v>
      </c>
    </row>
    <row r="212" spans="1:4" x14ac:dyDescent="0.25">
      <c r="A212" s="2">
        <v>1.5269999999999999</v>
      </c>
      <c r="B212" s="2">
        <v>2.5</v>
      </c>
      <c r="C212" s="2">
        <v>0.8</v>
      </c>
      <c r="D212" s="2">
        <v>0.85</v>
      </c>
    </row>
    <row r="213" spans="1:4" x14ac:dyDescent="0.25">
      <c r="A213" s="2">
        <v>1.538</v>
      </c>
      <c r="B213" s="2">
        <v>2.5</v>
      </c>
      <c r="C213" s="2">
        <v>0.8</v>
      </c>
      <c r="D213" s="2">
        <v>0.85</v>
      </c>
    </row>
    <row r="214" spans="1:4" x14ac:dyDescent="0.25">
      <c r="A214" s="2">
        <v>1.5629999999999999</v>
      </c>
      <c r="B214" s="2">
        <v>2.5</v>
      </c>
      <c r="C214" s="2">
        <v>0.8</v>
      </c>
      <c r="D214" s="2">
        <v>0.85</v>
      </c>
    </row>
    <row r="215" spans="1:4" x14ac:dyDescent="0.25">
      <c r="A215" s="2">
        <v>1.587</v>
      </c>
      <c r="B215" s="2">
        <v>2.5</v>
      </c>
      <c r="C215" s="2">
        <v>0.8</v>
      </c>
      <c r="D215" s="2">
        <v>0.85</v>
      </c>
    </row>
    <row r="216" spans="1:4" x14ac:dyDescent="0.25">
      <c r="A216" s="2">
        <v>1.613</v>
      </c>
      <c r="B216" s="2">
        <v>2.5</v>
      </c>
      <c r="C216" s="2">
        <v>0.8</v>
      </c>
      <c r="D216" s="2">
        <v>0.85</v>
      </c>
    </row>
    <row r="217" spans="1:4" x14ac:dyDescent="0.25">
      <c r="A217" s="2">
        <v>1.65</v>
      </c>
      <c r="B217" s="2">
        <v>2.5</v>
      </c>
      <c r="C217" s="2">
        <v>0.8</v>
      </c>
      <c r="D217" s="2">
        <v>0.85</v>
      </c>
    </row>
    <row r="218" spans="1:4" x14ac:dyDescent="0.25">
      <c r="A218" s="2">
        <v>1.68</v>
      </c>
      <c r="B218" s="2">
        <v>2.5</v>
      </c>
      <c r="C218" s="2">
        <v>0.8</v>
      </c>
      <c r="D218" s="2">
        <v>0.85</v>
      </c>
    </row>
    <row r="219" spans="1:4" x14ac:dyDescent="0.25">
      <c r="A219" s="2">
        <v>1.7</v>
      </c>
      <c r="B219" s="2">
        <v>2.5</v>
      </c>
      <c r="C219" s="2">
        <v>0.8</v>
      </c>
      <c r="D219" s="2">
        <v>0.85</v>
      </c>
    </row>
    <row r="220" spans="1:4" x14ac:dyDescent="0.25">
      <c r="A220" s="2">
        <v>1.73</v>
      </c>
      <c r="B220" s="2">
        <v>2.5</v>
      </c>
      <c r="C220" s="2">
        <v>0.8</v>
      </c>
      <c r="D220" s="2">
        <v>0.85</v>
      </c>
    </row>
    <row r="221" spans="1:4" x14ac:dyDescent="0.25">
      <c r="A221" s="2">
        <v>1.76</v>
      </c>
      <c r="B221" s="2">
        <v>2.5</v>
      </c>
      <c r="C221" s="2">
        <v>0.8</v>
      </c>
      <c r="D221" s="2">
        <v>0.85</v>
      </c>
    </row>
    <row r="222" spans="1:4" x14ac:dyDescent="0.25">
      <c r="A222" s="2">
        <v>1.8</v>
      </c>
      <c r="B222" s="2">
        <v>2.5</v>
      </c>
      <c r="C222" s="2">
        <v>0.8</v>
      </c>
      <c r="D222" s="2">
        <v>0.85</v>
      </c>
    </row>
    <row r="223" spans="1:4" x14ac:dyDescent="0.25">
      <c r="A223" s="2">
        <v>1.83</v>
      </c>
      <c r="B223" s="2">
        <v>2.5</v>
      </c>
      <c r="C223" s="2">
        <v>0.8</v>
      </c>
      <c r="D223" s="2">
        <v>0.85</v>
      </c>
    </row>
    <row r="224" spans="1:4" x14ac:dyDescent="0.25">
      <c r="A224" s="2">
        <v>1.84</v>
      </c>
      <c r="B224" s="2">
        <v>2.5</v>
      </c>
      <c r="C224" s="2">
        <v>0.8</v>
      </c>
      <c r="D224" s="2">
        <v>0.85</v>
      </c>
    </row>
    <row r="225" spans="1:4" x14ac:dyDescent="0.25">
      <c r="A225" s="2">
        <v>1.85</v>
      </c>
      <c r="B225" s="2">
        <v>2.5</v>
      </c>
      <c r="C225" s="2">
        <v>0.8</v>
      </c>
      <c r="D225" s="2">
        <v>0.85</v>
      </c>
    </row>
    <row r="226" spans="1:4" x14ac:dyDescent="0.25">
      <c r="A226" s="2">
        <v>1.855</v>
      </c>
      <c r="B226" s="2">
        <v>2.5</v>
      </c>
      <c r="C226" s="2">
        <v>0.8</v>
      </c>
      <c r="D226" s="2">
        <v>0.85</v>
      </c>
    </row>
    <row r="227" spans="1:4" x14ac:dyDescent="0.25">
      <c r="A227" s="2">
        <v>1.86</v>
      </c>
      <c r="B227" s="2">
        <v>2.5</v>
      </c>
      <c r="C227" s="2">
        <v>0.8</v>
      </c>
      <c r="D227" s="2">
        <v>0.85</v>
      </c>
    </row>
    <row r="228" spans="1:4" x14ac:dyDescent="0.25">
      <c r="A228" s="2">
        <v>1.87</v>
      </c>
      <c r="B228" s="2">
        <v>2.5</v>
      </c>
      <c r="C228" s="2">
        <v>0.8</v>
      </c>
      <c r="D228" s="2">
        <v>0.85</v>
      </c>
    </row>
    <row r="229" spans="1:4" x14ac:dyDescent="0.25">
      <c r="A229" s="2">
        <v>1.89</v>
      </c>
      <c r="B229" s="2">
        <v>2.5</v>
      </c>
      <c r="C229" s="2">
        <v>0.8</v>
      </c>
      <c r="D229" s="2">
        <v>0.85</v>
      </c>
    </row>
    <row r="230" spans="1:4" x14ac:dyDescent="0.25">
      <c r="A230" s="2">
        <v>1.905</v>
      </c>
      <c r="B230" s="2">
        <v>2.5</v>
      </c>
      <c r="C230" s="2">
        <v>0.8</v>
      </c>
      <c r="D230" s="2">
        <v>0.85</v>
      </c>
    </row>
    <row r="231" spans="1:4" x14ac:dyDescent="0.25">
      <c r="A231" s="2">
        <v>1.923</v>
      </c>
      <c r="B231" s="2">
        <v>2.5</v>
      </c>
      <c r="C231" s="2">
        <v>0.8</v>
      </c>
      <c r="D231" s="2">
        <v>0.85</v>
      </c>
    </row>
    <row r="232" spans="1:4" x14ac:dyDescent="0.25">
      <c r="A232" s="2">
        <v>1.9419999999999999</v>
      </c>
      <c r="B232" s="2">
        <v>2.5</v>
      </c>
      <c r="C232" s="2">
        <v>0.8</v>
      </c>
      <c r="D232" s="2">
        <v>0.85</v>
      </c>
    </row>
    <row r="233" spans="1:4" x14ac:dyDescent="0.25">
      <c r="A233" s="2">
        <v>1.9610000000000001</v>
      </c>
      <c r="B233" s="2">
        <v>2.5</v>
      </c>
      <c r="C233" s="2">
        <v>0.8</v>
      </c>
      <c r="D233" s="2">
        <v>0.85</v>
      </c>
    </row>
    <row r="234" spans="1:4" x14ac:dyDescent="0.25">
      <c r="A234" s="2">
        <v>1.98</v>
      </c>
      <c r="B234" s="2">
        <v>2.5</v>
      </c>
      <c r="C234" s="2">
        <v>0.8</v>
      </c>
      <c r="D234" s="2">
        <v>0.85</v>
      </c>
    </row>
    <row r="235" spans="1:4" x14ac:dyDescent="0.25">
      <c r="A235" s="2">
        <v>2</v>
      </c>
      <c r="B235" s="2">
        <v>2.5</v>
      </c>
      <c r="C235" s="2">
        <v>0.8</v>
      </c>
      <c r="D235" s="2">
        <v>0.85</v>
      </c>
    </row>
    <row r="236" spans="1:4" x14ac:dyDescent="0.25">
      <c r="A236" s="2">
        <v>2.02</v>
      </c>
      <c r="B236" s="2">
        <v>2.5</v>
      </c>
      <c r="C236" s="2">
        <v>0.8</v>
      </c>
      <c r="D236" s="2">
        <v>0.85</v>
      </c>
    </row>
    <row r="237" spans="1:4" x14ac:dyDescent="0.25">
      <c r="A237" s="2">
        <v>2.0409999999999999</v>
      </c>
      <c r="B237" s="2">
        <v>2.5</v>
      </c>
      <c r="C237" s="2">
        <v>0.8</v>
      </c>
      <c r="D237" s="2">
        <v>0.85</v>
      </c>
    </row>
    <row r="238" spans="1:4" x14ac:dyDescent="0.25">
      <c r="A238" s="2">
        <v>2.0619999999999998</v>
      </c>
      <c r="B238" s="2">
        <v>2.5</v>
      </c>
      <c r="C238" s="2">
        <v>0.8</v>
      </c>
      <c r="D238" s="2">
        <v>0.85</v>
      </c>
    </row>
    <row r="239" spans="1:4" x14ac:dyDescent="0.25">
      <c r="A239" s="2">
        <v>2.0830000000000002</v>
      </c>
      <c r="B239" s="2">
        <v>2.5</v>
      </c>
      <c r="C239" s="2">
        <v>0.8</v>
      </c>
      <c r="D239" s="2">
        <v>0.85</v>
      </c>
    </row>
    <row r="240" spans="1:4" x14ac:dyDescent="0.25">
      <c r="A240" s="2">
        <v>2.105</v>
      </c>
      <c r="B240" s="2">
        <v>2.5</v>
      </c>
      <c r="C240" s="2">
        <v>0.8</v>
      </c>
      <c r="D240" s="2">
        <v>0.85</v>
      </c>
    </row>
    <row r="241" spans="1:4" x14ac:dyDescent="0.25">
      <c r="A241" s="2">
        <v>2.13</v>
      </c>
      <c r="B241" s="2">
        <v>2.5</v>
      </c>
      <c r="C241" s="2">
        <v>0.8</v>
      </c>
      <c r="D241" s="2">
        <v>0.85</v>
      </c>
    </row>
    <row r="242" spans="1:4" x14ac:dyDescent="0.25">
      <c r="A242" s="2">
        <v>2.15</v>
      </c>
      <c r="B242" s="2">
        <v>2.5</v>
      </c>
      <c r="C242" s="2">
        <v>0.8</v>
      </c>
      <c r="D242" s="2">
        <v>0.85</v>
      </c>
    </row>
    <row r="243" spans="1:4" x14ac:dyDescent="0.25">
      <c r="A243" s="2">
        <v>2.17</v>
      </c>
      <c r="B243" s="2">
        <v>2.5</v>
      </c>
      <c r="C243" s="2">
        <v>0.8</v>
      </c>
      <c r="D243" s="2">
        <v>0.85</v>
      </c>
    </row>
    <row r="244" spans="1:4" x14ac:dyDescent="0.25">
      <c r="A244" s="2">
        <v>2.19</v>
      </c>
      <c r="B244" s="2">
        <v>2.5</v>
      </c>
      <c r="C244" s="2">
        <v>0.8</v>
      </c>
      <c r="D244" s="2">
        <v>0.85</v>
      </c>
    </row>
    <row r="245" spans="1:4" x14ac:dyDescent="0.25">
      <c r="A245" s="2">
        <v>2.2200000000000002</v>
      </c>
      <c r="B245" s="2">
        <v>2.5</v>
      </c>
      <c r="C245" s="2">
        <v>0.8</v>
      </c>
      <c r="D245" s="2">
        <v>0.85</v>
      </c>
    </row>
    <row r="246" spans="1:4" x14ac:dyDescent="0.25">
      <c r="A246" s="2">
        <v>2.2400000000000002</v>
      </c>
      <c r="B246" s="2">
        <v>2.5</v>
      </c>
      <c r="C246" s="2">
        <v>0.8</v>
      </c>
      <c r="D246" s="2">
        <v>0.85</v>
      </c>
    </row>
    <row r="247" spans="1:4" x14ac:dyDescent="0.25">
      <c r="A247" s="2">
        <v>2.2450000000000001</v>
      </c>
      <c r="B247" s="2">
        <v>2.5</v>
      </c>
      <c r="C247" s="2">
        <v>0.8</v>
      </c>
      <c r="D247" s="2">
        <v>0.85</v>
      </c>
    </row>
    <row r="248" spans="1:4" x14ac:dyDescent="0.25">
      <c r="A248" s="2">
        <v>2.25</v>
      </c>
      <c r="B248" s="2">
        <v>2.5</v>
      </c>
      <c r="C248" s="2">
        <v>0.8</v>
      </c>
      <c r="D248" s="2">
        <v>0.85</v>
      </c>
    </row>
    <row r="249" spans="1:4" x14ac:dyDescent="0.25">
      <c r="A249" s="2">
        <v>2.2599999999999998</v>
      </c>
      <c r="B249" s="2">
        <v>2.5</v>
      </c>
      <c r="C249" s="2">
        <v>0.8</v>
      </c>
      <c r="D249" s="2">
        <v>0.85</v>
      </c>
    </row>
    <row r="250" spans="1:4" x14ac:dyDescent="0.25">
      <c r="A250" s="2">
        <v>2.27</v>
      </c>
      <c r="B250" s="2">
        <v>2.5</v>
      </c>
      <c r="C250" s="2">
        <v>0.8</v>
      </c>
      <c r="D250" s="2">
        <v>0.85</v>
      </c>
    </row>
    <row r="251" spans="1:4" x14ac:dyDescent="0.25">
      <c r="A251" s="2">
        <v>2.29</v>
      </c>
      <c r="B251" s="2">
        <v>2.5</v>
      </c>
      <c r="C251" s="2">
        <v>0.8</v>
      </c>
      <c r="D251" s="2">
        <v>0.85</v>
      </c>
    </row>
    <row r="252" spans="1:4" x14ac:dyDescent="0.25">
      <c r="A252" s="2">
        <v>2.31</v>
      </c>
      <c r="B252" s="2">
        <v>2.5</v>
      </c>
      <c r="C252" s="2">
        <v>0.8</v>
      </c>
      <c r="D252" s="2">
        <v>0.85</v>
      </c>
    </row>
    <row r="253" spans="1:4" x14ac:dyDescent="0.25">
      <c r="A253" s="2">
        <v>2.33</v>
      </c>
      <c r="B253" s="2">
        <v>2.5</v>
      </c>
      <c r="C253" s="2">
        <v>0.8</v>
      </c>
      <c r="D253" s="2">
        <v>0.85</v>
      </c>
    </row>
    <row r="254" spans="1:4" x14ac:dyDescent="0.25">
      <c r="A254" s="2">
        <v>2.35</v>
      </c>
      <c r="B254" s="2">
        <v>2.5</v>
      </c>
      <c r="C254" s="2">
        <v>0.8</v>
      </c>
      <c r="D254" s="2">
        <v>0.85</v>
      </c>
    </row>
    <row r="255" spans="1:4" x14ac:dyDescent="0.25">
      <c r="A255" s="2">
        <v>2.37</v>
      </c>
      <c r="B255" s="2">
        <v>2.5</v>
      </c>
      <c r="C255" s="2">
        <v>0.8</v>
      </c>
      <c r="D255" s="2">
        <v>0.85</v>
      </c>
    </row>
    <row r="256" spans="1:4" x14ac:dyDescent="0.25">
      <c r="A256" s="2">
        <v>2.39</v>
      </c>
      <c r="B256" s="2">
        <v>2.5</v>
      </c>
      <c r="C256" s="2">
        <v>0.8</v>
      </c>
      <c r="D256" s="2">
        <v>0.85</v>
      </c>
    </row>
    <row r="257" spans="1:4" x14ac:dyDescent="0.25">
      <c r="A257" s="2">
        <v>2.41</v>
      </c>
      <c r="B257" s="2">
        <v>2.5</v>
      </c>
      <c r="C257" s="2">
        <v>0.8</v>
      </c>
      <c r="D257" s="2">
        <v>0.85</v>
      </c>
    </row>
    <row r="258" spans="1:4" x14ac:dyDescent="0.25">
      <c r="A258" s="2">
        <v>2.4300000000000002</v>
      </c>
      <c r="B258" s="2">
        <v>2.5</v>
      </c>
      <c r="C258" s="2">
        <v>0.8</v>
      </c>
      <c r="D258" s="2">
        <v>0.85</v>
      </c>
    </row>
    <row r="259" spans="1:4" x14ac:dyDescent="0.25">
      <c r="A259" s="2">
        <v>2.46</v>
      </c>
      <c r="B259" s="2">
        <v>2.5</v>
      </c>
      <c r="C259" s="2">
        <v>0.8</v>
      </c>
      <c r="D259" s="2">
        <v>0.85</v>
      </c>
    </row>
    <row r="260" spans="1:4" x14ac:dyDescent="0.25">
      <c r="A260" s="2">
        <v>2.5</v>
      </c>
      <c r="B260" s="2">
        <v>2.5</v>
      </c>
      <c r="C260" s="2">
        <v>0.8</v>
      </c>
      <c r="D260" s="2">
        <v>0.85</v>
      </c>
    </row>
    <row r="261" spans="1:4" x14ac:dyDescent="0.25">
      <c r="A261" s="2">
        <v>2.52</v>
      </c>
      <c r="B261" s="2">
        <v>2.5</v>
      </c>
      <c r="C261" s="2">
        <v>0.8</v>
      </c>
      <c r="D261" s="2">
        <v>0.85</v>
      </c>
    </row>
    <row r="262" spans="1:4" x14ac:dyDescent="0.25">
      <c r="A262" s="2">
        <v>2.5499999999999998</v>
      </c>
      <c r="B262" s="2">
        <v>2.5</v>
      </c>
      <c r="C262" s="2">
        <v>0.8</v>
      </c>
      <c r="D262" s="2">
        <v>0.85</v>
      </c>
    </row>
    <row r="263" spans="1:4" x14ac:dyDescent="0.25">
      <c r="A263" s="2">
        <v>2.5649999999999999</v>
      </c>
      <c r="B263" s="2">
        <v>2.5</v>
      </c>
      <c r="C263" s="2">
        <v>0.8</v>
      </c>
      <c r="D263" s="2">
        <v>0.85</v>
      </c>
    </row>
    <row r="264" spans="1:4" x14ac:dyDescent="0.25">
      <c r="A264" s="2">
        <v>2.58</v>
      </c>
      <c r="B264" s="2">
        <v>2.5</v>
      </c>
      <c r="C264" s="2">
        <v>0.8</v>
      </c>
      <c r="D264" s="2">
        <v>0.85</v>
      </c>
    </row>
    <row r="265" spans="1:4" x14ac:dyDescent="0.25">
      <c r="A265" s="2">
        <v>2.59</v>
      </c>
      <c r="B265" s="2">
        <v>2.5</v>
      </c>
      <c r="C265" s="2">
        <v>0.8</v>
      </c>
      <c r="D265" s="2">
        <v>0.85</v>
      </c>
    </row>
    <row r="266" spans="1:4" x14ac:dyDescent="0.25">
      <c r="A266" s="2">
        <v>2.6</v>
      </c>
      <c r="B266" s="2">
        <v>2.5</v>
      </c>
      <c r="C266" s="2">
        <v>0.8</v>
      </c>
      <c r="D266" s="2">
        <v>0.85</v>
      </c>
    </row>
    <row r="267" spans="1:4" x14ac:dyDescent="0.25">
      <c r="A267" s="2">
        <v>2.62</v>
      </c>
      <c r="B267" s="2">
        <v>2.5</v>
      </c>
      <c r="C267" s="2">
        <v>0.8</v>
      </c>
      <c r="D267" s="2">
        <v>0.85</v>
      </c>
    </row>
    <row r="268" spans="1:4" x14ac:dyDescent="0.25">
      <c r="A268" s="2">
        <v>2.6749999999999998</v>
      </c>
      <c r="B268" s="2">
        <v>2.5</v>
      </c>
      <c r="C268" s="2">
        <v>0.8</v>
      </c>
      <c r="D268" s="2">
        <v>0.85</v>
      </c>
    </row>
    <row r="269" spans="1:4" x14ac:dyDescent="0.25">
      <c r="A269" s="2">
        <v>2.7250000000000001</v>
      </c>
      <c r="B269" s="2">
        <v>2.5</v>
      </c>
      <c r="C269" s="2">
        <v>0.8</v>
      </c>
      <c r="D269" s="2">
        <v>0.85</v>
      </c>
    </row>
    <row r="270" spans="1:4" x14ac:dyDescent="0.25">
      <c r="A270" s="2">
        <v>2.778</v>
      </c>
      <c r="B270" s="2">
        <v>2.5</v>
      </c>
      <c r="C270" s="2">
        <v>0.8</v>
      </c>
      <c r="D270" s="2">
        <v>0.85</v>
      </c>
    </row>
    <row r="271" spans="1:4" x14ac:dyDescent="0.25">
      <c r="A271" s="2">
        <v>2.8170000000000002</v>
      </c>
      <c r="B271" s="2">
        <v>2.5</v>
      </c>
      <c r="C271" s="2">
        <v>0.8</v>
      </c>
      <c r="D271" s="2">
        <v>0.85</v>
      </c>
    </row>
    <row r="272" spans="1:4" x14ac:dyDescent="0.25">
      <c r="A272" s="2">
        <v>2.8330000000000002</v>
      </c>
      <c r="B272" s="2">
        <v>2.5</v>
      </c>
      <c r="C272" s="2">
        <v>0.8</v>
      </c>
      <c r="D272" s="2">
        <v>0.85</v>
      </c>
    </row>
    <row r="273" spans="1:4" x14ac:dyDescent="0.25">
      <c r="A273" s="2">
        <v>2.8490000000000002</v>
      </c>
      <c r="B273" s="2">
        <v>2.5</v>
      </c>
      <c r="C273" s="2">
        <v>0.8</v>
      </c>
      <c r="D273" s="2">
        <v>0.85</v>
      </c>
    </row>
    <row r="274" spans="1:4" x14ac:dyDescent="0.25">
      <c r="A274" s="2">
        <v>2.8650000000000002</v>
      </c>
      <c r="B274" s="2">
        <v>2.5</v>
      </c>
      <c r="C274" s="2">
        <v>0.8</v>
      </c>
      <c r="D274" s="2">
        <v>0.85</v>
      </c>
    </row>
    <row r="275" spans="1:4" x14ac:dyDescent="0.25">
      <c r="A275" s="2">
        <v>2.8820000000000001</v>
      </c>
      <c r="B275" s="2">
        <v>2.5</v>
      </c>
      <c r="C275" s="2">
        <v>0.8</v>
      </c>
      <c r="D275" s="2">
        <v>0.85</v>
      </c>
    </row>
    <row r="276" spans="1:4" x14ac:dyDescent="0.25">
      <c r="A276" s="2">
        <v>2.899</v>
      </c>
      <c r="B276" s="2">
        <v>2.5</v>
      </c>
      <c r="C276" s="2">
        <v>0.8</v>
      </c>
      <c r="D276" s="2">
        <v>0.85</v>
      </c>
    </row>
    <row r="277" spans="1:4" x14ac:dyDescent="0.25">
      <c r="A277" s="2">
        <v>2.915</v>
      </c>
      <c r="B277" s="2">
        <v>2.5</v>
      </c>
      <c r="C277" s="2">
        <v>0.8</v>
      </c>
      <c r="D277" s="2">
        <v>0.85</v>
      </c>
    </row>
    <row r="278" spans="1:4" x14ac:dyDescent="0.25">
      <c r="A278" s="2">
        <v>2.9329999999999998</v>
      </c>
      <c r="B278" s="2">
        <v>2.5</v>
      </c>
      <c r="C278" s="2">
        <v>0.8</v>
      </c>
      <c r="D278" s="2">
        <v>0.85</v>
      </c>
    </row>
    <row r="279" spans="1:4" x14ac:dyDescent="0.25">
      <c r="A279" s="2">
        <v>2.95</v>
      </c>
      <c r="B279" s="2">
        <v>2.5</v>
      </c>
      <c r="C279" s="2">
        <v>0.8</v>
      </c>
      <c r="D279" s="2">
        <v>0.85</v>
      </c>
    </row>
    <row r="280" spans="1:4" x14ac:dyDescent="0.25">
      <c r="A280" s="2">
        <v>2.9670000000000001</v>
      </c>
      <c r="B280" s="2">
        <v>2.5</v>
      </c>
      <c r="C280" s="2">
        <v>0.8</v>
      </c>
      <c r="D280" s="2">
        <v>0.85</v>
      </c>
    </row>
    <row r="281" spans="1:4" x14ac:dyDescent="0.25">
      <c r="A281" s="2">
        <v>2.9849999999999999</v>
      </c>
      <c r="B281" s="2">
        <v>2.5</v>
      </c>
      <c r="C281" s="2">
        <v>0.8</v>
      </c>
      <c r="D281" s="2">
        <v>0.85</v>
      </c>
    </row>
    <row r="282" spans="1:4" x14ac:dyDescent="0.25">
      <c r="A282" s="2">
        <v>3.0030000000000001</v>
      </c>
      <c r="B282" s="2">
        <v>2.5</v>
      </c>
      <c r="C282" s="2">
        <v>0.8</v>
      </c>
      <c r="D282" s="2">
        <v>0.85</v>
      </c>
    </row>
    <row r="283" spans="1:4" x14ac:dyDescent="0.25">
      <c r="A283" s="2">
        <v>3.0209999999999999</v>
      </c>
      <c r="B283" s="2">
        <v>2.5</v>
      </c>
      <c r="C283" s="2">
        <v>0.8</v>
      </c>
      <c r="D283" s="2">
        <v>0.85</v>
      </c>
    </row>
    <row r="284" spans="1:4" x14ac:dyDescent="0.25">
      <c r="A284" s="2">
        <v>3.04</v>
      </c>
      <c r="B284" s="2">
        <v>2.5</v>
      </c>
      <c r="C284" s="2">
        <v>0.8</v>
      </c>
      <c r="D284" s="2">
        <v>0.85</v>
      </c>
    </row>
    <row r="285" spans="1:4" x14ac:dyDescent="0.25">
      <c r="A285" s="2">
        <v>3.0579999999999998</v>
      </c>
      <c r="B285" s="2">
        <v>2.5</v>
      </c>
      <c r="C285" s="2">
        <v>0.8</v>
      </c>
      <c r="D285" s="2">
        <v>0.85</v>
      </c>
    </row>
    <row r="286" spans="1:4" x14ac:dyDescent="0.25">
      <c r="A286" s="2">
        <v>3.077</v>
      </c>
      <c r="B286" s="2">
        <v>2.5</v>
      </c>
      <c r="C286" s="2">
        <v>0.8</v>
      </c>
      <c r="D286" s="2">
        <v>0.85</v>
      </c>
    </row>
    <row r="287" spans="1:4" x14ac:dyDescent="0.25">
      <c r="A287" s="2">
        <v>3.0960000000000001</v>
      </c>
      <c r="B287" s="2">
        <v>2.5</v>
      </c>
      <c r="C287" s="2">
        <v>0.8</v>
      </c>
      <c r="D287" s="2">
        <v>0.85</v>
      </c>
    </row>
    <row r="288" spans="1:4" x14ac:dyDescent="0.25">
      <c r="A288" s="2">
        <v>3.1150000000000002</v>
      </c>
      <c r="B288" s="2">
        <v>2.5</v>
      </c>
      <c r="C288" s="2">
        <v>0.8</v>
      </c>
      <c r="D288" s="2">
        <v>0.85</v>
      </c>
    </row>
    <row r="289" spans="1:4" x14ac:dyDescent="0.25">
      <c r="A289" s="2">
        <v>3.1349999999999998</v>
      </c>
      <c r="B289" s="2">
        <v>2.5</v>
      </c>
      <c r="C289" s="2">
        <v>0.8</v>
      </c>
      <c r="D289" s="2">
        <v>0.85</v>
      </c>
    </row>
    <row r="290" spans="1:4" x14ac:dyDescent="0.25">
      <c r="A290" s="2">
        <v>3.1549999999999998</v>
      </c>
      <c r="B290" s="2">
        <v>2.5</v>
      </c>
      <c r="C290" s="2">
        <v>0.8</v>
      </c>
      <c r="D290" s="2">
        <v>0.85</v>
      </c>
    </row>
    <row r="291" spans="1:4" x14ac:dyDescent="0.25">
      <c r="A291" s="2">
        <v>3.1749999999999998</v>
      </c>
      <c r="B291" s="2">
        <v>2.5</v>
      </c>
      <c r="C291" s="2">
        <v>0.8</v>
      </c>
      <c r="D291" s="2">
        <v>0.85</v>
      </c>
    </row>
    <row r="292" spans="1:4" x14ac:dyDescent="0.25">
      <c r="A292" s="2">
        <v>3.1949999999999998</v>
      </c>
      <c r="B292" s="2">
        <v>2.5</v>
      </c>
      <c r="C292" s="2">
        <v>0.8</v>
      </c>
      <c r="D292" s="2">
        <v>0.85</v>
      </c>
    </row>
    <row r="293" spans="1:4" x14ac:dyDescent="0.25">
      <c r="A293" s="2">
        <v>3.2149999999999999</v>
      </c>
      <c r="B293" s="2">
        <v>2.5</v>
      </c>
      <c r="C293" s="2">
        <v>0.8</v>
      </c>
      <c r="D293" s="2">
        <v>0.85</v>
      </c>
    </row>
    <row r="294" spans="1:4" x14ac:dyDescent="0.25">
      <c r="A294" s="2">
        <v>3.2360000000000002</v>
      </c>
      <c r="B294" s="2">
        <v>2.5</v>
      </c>
      <c r="C294" s="2">
        <v>0.8</v>
      </c>
      <c r="D294" s="2">
        <v>0.85</v>
      </c>
    </row>
    <row r="295" spans="1:4" x14ac:dyDescent="0.25">
      <c r="A295" s="2">
        <v>3.2570000000000001</v>
      </c>
      <c r="B295" s="2">
        <v>2.5</v>
      </c>
      <c r="C295" s="2">
        <v>0.8</v>
      </c>
      <c r="D295" s="2">
        <v>0.85</v>
      </c>
    </row>
    <row r="296" spans="1:4" x14ac:dyDescent="0.25">
      <c r="A296" s="2">
        <v>3.2789999999999999</v>
      </c>
      <c r="B296" s="2">
        <v>2.5</v>
      </c>
      <c r="C296" s="2">
        <v>0.8</v>
      </c>
      <c r="D296" s="2">
        <v>0.85</v>
      </c>
    </row>
    <row r="297" spans="1:4" x14ac:dyDescent="0.25">
      <c r="A297" s="2">
        <v>3.3</v>
      </c>
      <c r="B297" s="2">
        <v>2.5</v>
      </c>
      <c r="C297" s="2">
        <v>0.8</v>
      </c>
      <c r="D297" s="2">
        <v>0.85</v>
      </c>
    </row>
    <row r="298" spans="1:4" x14ac:dyDescent="0.25">
      <c r="A298" s="2">
        <v>3.3220000000000001</v>
      </c>
      <c r="B298" s="2">
        <v>2.5</v>
      </c>
      <c r="C298" s="2">
        <v>0.8</v>
      </c>
      <c r="D298" s="2">
        <v>0.85</v>
      </c>
    </row>
    <row r="299" spans="1:4" x14ac:dyDescent="0.25">
      <c r="A299" s="2">
        <v>3.3450000000000002</v>
      </c>
      <c r="B299" s="2">
        <v>2.5</v>
      </c>
      <c r="C299" s="2">
        <v>0.8</v>
      </c>
      <c r="D299" s="2">
        <v>0.85</v>
      </c>
    </row>
    <row r="300" spans="1:4" x14ac:dyDescent="0.25">
      <c r="A300" s="2">
        <v>3.367</v>
      </c>
      <c r="B300" s="2">
        <v>2.5</v>
      </c>
      <c r="C300" s="2">
        <v>0.8</v>
      </c>
      <c r="D300" s="2">
        <v>0.85</v>
      </c>
    </row>
    <row r="301" spans="1:4" x14ac:dyDescent="0.25">
      <c r="A301" s="2">
        <v>3.39</v>
      </c>
      <c r="B301" s="2">
        <v>2.5</v>
      </c>
      <c r="C301" s="2">
        <v>0.8</v>
      </c>
      <c r="D301" s="2">
        <v>0.85</v>
      </c>
    </row>
    <row r="302" spans="1:4" x14ac:dyDescent="0.25">
      <c r="A302" s="2">
        <v>3.4129999999999998</v>
      </c>
      <c r="B302" s="2">
        <v>2.5</v>
      </c>
      <c r="C302" s="2">
        <v>0.8</v>
      </c>
      <c r="D302" s="2">
        <v>0.85</v>
      </c>
    </row>
    <row r="303" spans="1:4" x14ac:dyDescent="0.25">
      <c r="A303" s="2">
        <v>3.4359999999999999</v>
      </c>
      <c r="B303" s="2">
        <v>2.5</v>
      </c>
      <c r="C303" s="2">
        <v>0.8</v>
      </c>
      <c r="D303" s="2">
        <v>0.85</v>
      </c>
    </row>
    <row r="304" spans="1:4" x14ac:dyDescent="0.25">
      <c r="A304" s="2">
        <v>3.46</v>
      </c>
      <c r="B304" s="2">
        <v>2.5</v>
      </c>
      <c r="C304" s="2">
        <v>0.8</v>
      </c>
      <c r="D304" s="2">
        <v>0.85</v>
      </c>
    </row>
    <row r="305" spans="1:4" x14ac:dyDescent="0.25">
      <c r="A305" s="2">
        <v>3.484</v>
      </c>
      <c r="B305" s="2">
        <v>2.5</v>
      </c>
      <c r="C305" s="2">
        <v>0.8</v>
      </c>
      <c r="D305" s="2">
        <v>0.85</v>
      </c>
    </row>
    <row r="306" spans="1:4" x14ac:dyDescent="0.25">
      <c r="A306" s="2">
        <v>3.5089999999999999</v>
      </c>
      <c r="B306" s="2">
        <v>2.5</v>
      </c>
      <c r="C306" s="2">
        <v>0.8</v>
      </c>
      <c r="D306" s="2">
        <v>0.85</v>
      </c>
    </row>
    <row r="307" spans="1:4" x14ac:dyDescent="0.25">
      <c r="A307" s="2">
        <v>3.5339999999999998</v>
      </c>
      <c r="B307" s="2">
        <v>2.5</v>
      </c>
      <c r="C307" s="2">
        <v>0.8</v>
      </c>
      <c r="D307" s="2">
        <v>0.85</v>
      </c>
    </row>
    <row r="308" spans="1:4" x14ac:dyDescent="0.25">
      <c r="A308" s="2">
        <v>3.5590000000000002</v>
      </c>
      <c r="B308" s="2">
        <v>2.5</v>
      </c>
      <c r="C308" s="2">
        <v>0.8</v>
      </c>
      <c r="D308" s="2">
        <v>0.85</v>
      </c>
    </row>
    <row r="309" spans="1:4" x14ac:dyDescent="0.25">
      <c r="A309" s="2">
        <v>3.6240000000000001</v>
      </c>
      <c r="B309" s="2">
        <v>2.5</v>
      </c>
      <c r="C309" s="2">
        <v>0.8</v>
      </c>
      <c r="D309" s="2">
        <v>0.85</v>
      </c>
    </row>
    <row r="310" spans="1:4" x14ac:dyDescent="0.25">
      <c r="A310" s="2">
        <v>3.7320000000000002</v>
      </c>
      <c r="B310" s="2">
        <v>2.5</v>
      </c>
      <c r="C310" s="2">
        <v>0.8</v>
      </c>
      <c r="D310" s="2">
        <v>0.85</v>
      </c>
    </row>
    <row r="311" spans="1:4" x14ac:dyDescent="0.25">
      <c r="A311" s="2">
        <v>3.7749999999999999</v>
      </c>
      <c r="B311" s="2">
        <v>2.5</v>
      </c>
      <c r="C311" s="2">
        <v>0.8</v>
      </c>
      <c r="D311" s="2">
        <v>0.85</v>
      </c>
    </row>
    <row r="312" spans="1:4" x14ac:dyDescent="0.25">
      <c r="A312" s="2">
        <v>3.847</v>
      </c>
      <c r="B312" s="2">
        <v>2.5</v>
      </c>
      <c r="C312" s="2">
        <v>0.8</v>
      </c>
      <c r="D312" s="2">
        <v>0.85</v>
      </c>
    </row>
    <row r="313" spans="1:4" x14ac:dyDescent="0.25">
      <c r="A313" s="2">
        <v>3.9689999999999999</v>
      </c>
      <c r="B313" s="2">
        <v>2.5</v>
      </c>
      <c r="C313" s="2">
        <v>0.8</v>
      </c>
      <c r="D313" s="2">
        <v>0.85</v>
      </c>
    </row>
    <row r="314" spans="1:4" x14ac:dyDescent="0.25">
      <c r="A314" s="2">
        <v>4.0990000000000002</v>
      </c>
      <c r="B314" s="2">
        <v>2.5</v>
      </c>
      <c r="C314" s="2">
        <v>0.8</v>
      </c>
      <c r="D314" s="2">
        <v>0.85</v>
      </c>
    </row>
    <row r="315" spans="1:4" x14ac:dyDescent="0.25">
      <c r="A315" s="2">
        <v>4.2389999999999999</v>
      </c>
      <c r="B315" s="2">
        <v>2.5</v>
      </c>
      <c r="C315" s="2">
        <v>0.8</v>
      </c>
      <c r="D315" s="2">
        <v>0.85</v>
      </c>
    </row>
    <row r="316" spans="1:4" x14ac:dyDescent="0.25">
      <c r="A316" s="2">
        <v>4.3479999999999999</v>
      </c>
      <c r="B316" s="2">
        <v>2.5</v>
      </c>
      <c r="C316" s="2">
        <v>0.8</v>
      </c>
      <c r="D316" s="2">
        <v>0.85</v>
      </c>
    </row>
    <row r="317" spans="1:4" x14ac:dyDescent="0.25">
      <c r="A317" s="2">
        <v>4.3869999999999996</v>
      </c>
      <c r="B317" s="2">
        <v>2.5</v>
      </c>
      <c r="C317" s="2">
        <v>0.8</v>
      </c>
      <c r="D317" s="2">
        <v>0.85</v>
      </c>
    </row>
    <row r="318" spans="1:4" x14ac:dyDescent="0.25">
      <c r="A318" s="2">
        <v>4.444</v>
      </c>
      <c r="B318" s="2">
        <v>2.5</v>
      </c>
      <c r="C318" s="2">
        <v>0.8</v>
      </c>
      <c r="D318" s="2">
        <v>0.85</v>
      </c>
    </row>
    <row r="319" spans="1:4" x14ac:dyDescent="0.25">
      <c r="A319" s="2">
        <v>4.5049999999999999</v>
      </c>
      <c r="B319" s="2">
        <v>2.5</v>
      </c>
      <c r="C319" s="2">
        <v>0.8</v>
      </c>
      <c r="D319" s="2">
        <v>0.85</v>
      </c>
    </row>
    <row r="320" spans="1:4" x14ac:dyDescent="0.25">
      <c r="A320" s="2">
        <v>4.5469999999999997</v>
      </c>
      <c r="B320" s="2">
        <v>2.5</v>
      </c>
      <c r="C320" s="2">
        <v>0.8</v>
      </c>
      <c r="D320" s="2">
        <v>0.85</v>
      </c>
    </row>
    <row r="321" spans="1:4" x14ac:dyDescent="0.25">
      <c r="A321" s="2">
        <v>4.5599999999999996</v>
      </c>
      <c r="B321" s="2">
        <v>2.5</v>
      </c>
      <c r="C321" s="2">
        <v>0.8</v>
      </c>
      <c r="D321" s="2">
        <v>0.85</v>
      </c>
    </row>
    <row r="322" spans="1:4" x14ac:dyDescent="0.25">
      <c r="A322" s="2">
        <v>4.58</v>
      </c>
      <c r="B322" s="2">
        <v>2.5</v>
      </c>
      <c r="C322" s="2">
        <v>0.8</v>
      </c>
      <c r="D322" s="2">
        <v>0.85</v>
      </c>
    </row>
    <row r="323" spans="1:4" x14ac:dyDescent="0.25">
      <c r="A323" s="2">
        <v>4.7190000000000003</v>
      </c>
      <c r="B323" s="2">
        <v>2.5</v>
      </c>
      <c r="C323" s="2">
        <v>0.8</v>
      </c>
      <c r="D323" s="2">
        <v>0.85</v>
      </c>
    </row>
    <row r="324" spans="1:4" x14ac:dyDescent="0.25">
      <c r="A324" s="2">
        <v>4.9039999999999999</v>
      </c>
      <c r="B324" s="2">
        <v>2.5</v>
      </c>
      <c r="C324" s="2">
        <v>0.8</v>
      </c>
      <c r="D324" s="2">
        <v>0.85</v>
      </c>
    </row>
    <row r="325" spans="1:4" x14ac:dyDescent="0.25">
      <c r="A325" s="2">
        <v>5</v>
      </c>
      <c r="B325" s="2">
        <v>2.5</v>
      </c>
      <c r="C325" s="2">
        <v>0.8</v>
      </c>
      <c r="D325" s="2">
        <v>0.85</v>
      </c>
    </row>
    <row r="326" spans="1:4" x14ac:dyDescent="0.25">
      <c r="A326" s="2">
        <v>5.0999999999999996</v>
      </c>
      <c r="B326" s="2">
        <v>2.5</v>
      </c>
      <c r="C326" s="2">
        <v>0.8</v>
      </c>
      <c r="D326" s="2">
        <v>0.85</v>
      </c>
    </row>
    <row r="327" spans="1:4" x14ac:dyDescent="0.25">
      <c r="A327" s="2">
        <v>5.2</v>
      </c>
      <c r="B327" s="2">
        <v>2.5</v>
      </c>
      <c r="C327" s="2">
        <v>0.8</v>
      </c>
      <c r="D327" s="2">
        <v>0.85</v>
      </c>
    </row>
    <row r="328" spans="1:4" x14ac:dyDescent="0.25">
      <c r="A328" s="2">
        <v>5.2629999999999999</v>
      </c>
      <c r="B328" s="2">
        <v>2.5</v>
      </c>
      <c r="C328" s="2">
        <v>0.8</v>
      </c>
      <c r="D328" s="2">
        <v>0.85</v>
      </c>
    </row>
    <row r="329" spans="1:4" x14ac:dyDescent="0.25">
      <c r="A329" s="2">
        <v>5.4</v>
      </c>
      <c r="B329" s="2">
        <v>2.5</v>
      </c>
      <c r="C329" s="2">
        <v>0.8</v>
      </c>
      <c r="D329" s="2">
        <v>0.85</v>
      </c>
    </row>
    <row r="330" spans="1:4" x14ac:dyDescent="0.25">
      <c r="A330" s="2">
        <v>5.556</v>
      </c>
      <c r="B330" s="2">
        <v>2.5</v>
      </c>
      <c r="C330" s="2">
        <v>0.8</v>
      </c>
      <c r="D330" s="2">
        <v>0.85</v>
      </c>
    </row>
    <row r="331" spans="1:4" x14ac:dyDescent="0.25">
      <c r="A331" s="2">
        <v>5.7140000000000004</v>
      </c>
      <c r="B331" s="2">
        <v>2.5</v>
      </c>
      <c r="C331" s="2">
        <v>0.8</v>
      </c>
      <c r="D331" s="2">
        <v>0.85</v>
      </c>
    </row>
    <row r="332" spans="1:4" x14ac:dyDescent="0.25">
      <c r="A332" s="2">
        <v>5.7469999999999999</v>
      </c>
      <c r="B332" s="2">
        <v>2.5</v>
      </c>
      <c r="C332" s="2">
        <v>0.8</v>
      </c>
      <c r="D332" s="2">
        <v>0.85</v>
      </c>
    </row>
    <row r="333" spans="1:4" x14ac:dyDescent="0.25">
      <c r="A333" s="2">
        <v>5.78</v>
      </c>
      <c r="B333" s="2">
        <v>2.5</v>
      </c>
      <c r="C333" s="2">
        <v>0.8</v>
      </c>
      <c r="D333" s="2">
        <v>0.85</v>
      </c>
    </row>
    <row r="334" spans="1:4" x14ac:dyDescent="0.25">
      <c r="A334" s="2">
        <v>5.8140000000000001</v>
      </c>
      <c r="B334" s="2">
        <v>2.5</v>
      </c>
      <c r="C334" s="2">
        <v>0.8</v>
      </c>
      <c r="D334" s="2">
        <v>0.85</v>
      </c>
    </row>
    <row r="335" spans="1:4" x14ac:dyDescent="0.25">
      <c r="A335" s="2">
        <v>5.8479999999999999</v>
      </c>
      <c r="B335" s="2">
        <v>2.5</v>
      </c>
      <c r="C335" s="2">
        <v>0.8</v>
      </c>
      <c r="D335" s="2">
        <v>0.85</v>
      </c>
    </row>
    <row r="336" spans="1:4" x14ac:dyDescent="0.25">
      <c r="A336" s="2">
        <v>5.8819999999999997</v>
      </c>
      <c r="B336" s="2">
        <v>2.5</v>
      </c>
      <c r="C336" s="2">
        <v>0.8</v>
      </c>
      <c r="D336" s="2">
        <v>0.85</v>
      </c>
    </row>
    <row r="337" spans="1:4" x14ac:dyDescent="0.25">
      <c r="A337" s="2">
        <v>6.0609999999999999</v>
      </c>
      <c r="B337" s="2">
        <v>2.5</v>
      </c>
      <c r="C337" s="2">
        <v>0.8</v>
      </c>
      <c r="D337" s="2">
        <v>0.85</v>
      </c>
    </row>
    <row r="338" spans="1:4" x14ac:dyDescent="0.25">
      <c r="A338" s="2">
        <v>6.1349999999999998</v>
      </c>
      <c r="B338" s="2">
        <v>2.5</v>
      </c>
      <c r="C338" s="2">
        <v>0.8</v>
      </c>
      <c r="D338" s="2">
        <v>0.85</v>
      </c>
    </row>
    <row r="339" spans="1:4" x14ac:dyDescent="0.25">
      <c r="A339" s="2">
        <v>6.25</v>
      </c>
      <c r="B339" s="2">
        <v>2.5</v>
      </c>
      <c r="C339" s="2">
        <v>0.8</v>
      </c>
      <c r="D339" s="2">
        <v>0.85</v>
      </c>
    </row>
    <row r="340" spans="1:4" x14ac:dyDescent="0.25">
      <c r="A340" s="2">
        <v>6.2889999999999997</v>
      </c>
      <c r="B340" s="2">
        <v>2.5</v>
      </c>
      <c r="C340" s="2">
        <v>0.8</v>
      </c>
      <c r="D340" s="2">
        <v>0.85</v>
      </c>
    </row>
    <row r="341" spans="1:4" x14ac:dyDescent="0.25">
      <c r="A341" s="2">
        <v>6.3289999999999997</v>
      </c>
      <c r="B341" s="2">
        <v>2.5</v>
      </c>
      <c r="C341" s="2">
        <v>0.8</v>
      </c>
      <c r="D341" s="2">
        <v>0.85</v>
      </c>
    </row>
    <row r="342" spans="1:4" x14ac:dyDescent="0.25">
      <c r="A342" s="2">
        <v>6.3689999999999998</v>
      </c>
      <c r="B342" s="2">
        <v>2.5</v>
      </c>
      <c r="C342" s="2">
        <v>0.8</v>
      </c>
      <c r="D342" s="2">
        <v>0.85</v>
      </c>
    </row>
    <row r="343" spans="1:4" x14ac:dyDescent="0.25">
      <c r="A343" s="2">
        <v>6.41</v>
      </c>
      <c r="B343" s="2">
        <v>2.5</v>
      </c>
      <c r="C343" s="2">
        <v>0.8</v>
      </c>
      <c r="D343" s="2">
        <v>0.85</v>
      </c>
    </row>
    <row r="344" spans="1:4" x14ac:dyDescent="0.25">
      <c r="A344" s="2">
        <v>6.452</v>
      </c>
      <c r="B344" s="2">
        <v>2.5</v>
      </c>
      <c r="C344" s="2">
        <v>0.8</v>
      </c>
      <c r="D344" s="2">
        <v>0.85</v>
      </c>
    </row>
    <row r="345" spans="1:4" x14ac:dyDescent="0.25">
      <c r="A345" s="2">
        <v>6.4939999999999998</v>
      </c>
      <c r="B345" s="2">
        <v>2.5</v>
      </c>
      <c r="C345" s="2">
        <v>0.8</v>
      </c>
      <c r="D345" s="2">
        <v>0.85</v>
      </c>
    </row>
    <row r="346" spans="1:4" x14ac:dyDescent="0.25">
      <c r="A346" s="2">
        <v>6.5789999999999997</v>
      </c>
      <c r="B346" s="2">
        <v>2.5</v>
      </c>
      <c r="C346" s="2">
        <v>0.8</v>
      </c>
      <c r="D346" s="2">
        <v>0.85</v>
      </c>
    </row>
    <row r="347" spans="1:4" x14ac:dyDescent="0.25">
      <c r="A347" s="2">
        <v>6.6669999999999998</v>
      </c>
      <c r="B347" s="2">
        <v>2.5</v>
      </c>
      <c r="C347" s="2">
        <v>0.8</v>
      </c>
      <c r="D347" s="2">
        <v>0.85</v>
      </c>
    </row>
    <row r="348" spans="1:4" x14ac:dyDescent="0.25">
      <c r="A348" s="2">
        <v>6.7569999999999997</v>
      </c>
      <c r="B348" s="2">
        <v>2.5</v>
      </c>
      <c r="C348" s="2">
        <v>0.8</v>
      </c>
      <c r="D348" s="2">
        <v>0.85</v>
      </c>
    </row>
    <row r="349" spans="1:4" x14ac:dyDescent="0.25">
      <c r="A349" s="2">
        <v>6.8970000000000002</v>
      </c>
      <c r="B349" s="2">
        <v>2.5</v>
      </c>
      <c r="C349" s="2">
        <v>0.8</v>
      </c>
      <c r="D349" s="2">
        <v>0.85</v>
      </c>
    </row>
    <row r="350" spans="1:4" x14ac:dyDescent="0.25">
      <c r="A350" s="2">
        <v>7.0419999999999998</v>
      </c>
      <c r="B350" s="2">
        <v>2.5</v>
      </c>
      <c r="C350" s="2">
        <v>0.8</v>
      </c>
      <c r="D350" s="2">
        <v>0.85</v>
      </c>
    </row>
    <row r="351" spans="1:4" x14ac:dyDescent="0.25">
      <c r="A351" s="2">
        <v>7.1429999999999998</v>
      </c>
      <c r="B351" s="2">
        <v>2.5</v>
      </c>
      <c r="C351" s="2">
        <v>0.8</v>
      </c>
      <c r="D351" s="2">
        <v>0.85</v>
      </c>
    </row>
    <row r="352" spans="1:4" x14ac:dyDescent="0.25">
      <c r="A352" s="2">
        <v>7.2460000000000004</v>
      </c>
      <c r="B352" s="2">
        <v>2.5</v>
      </c>
      <c r="C352" s="2">
        <v>0.8</v>
      </c>
      <c r="D352" s="2">
        <v>0.85</v>
      </c>
    </row>
    <row r="353" spans="1:4" x14ac:dyDescent="0.25">
      <c r="A353" s="2">
        <v>7.3529999999999998</v>
      </c>
      <c r="B353" s="2">
        <v>2.5</v>
      </c>
      <c r="C353" s="2">
        <v>0.8</v>
      </c>
      <c r="D353" s="2">
        <v>0.85</v>
      </c>
    </row>
    <row r="354" spans="1:4" x14ac:dyDescent="0.25">
      <c r="A354" s="2">
        <v>7.4630000000000001</v>
      </c>
      <c r="B354" s="2">
        <v>2.5</v>
      </c>
      <c r="C354" s="2">
        <v>0.8</v>
      </c>
      <c r="D354" s="2">
        <v>0.85</v>
      </c>
    </row>
    <row r="355" spans="1:4" x14ac:dyDescent="0.25">
      <c r="A355" s="2">
        <v>7.5759999999999996</v>
      </c>
      <c r="B355" s="2">
        <v>2.5</v>
      </c>
      <c r="C355" s="2">
        <v>0.8</v>
      </c>
      <c r="D355" s="2">
        <v>0.85</v>
      </c>
    </row>
    <row r="356" spans="1:4" x14ac:dyDescent="0.25">
      <c r="A356" s="2">
        <v>7.6920000000000002</v>
      </c>
      <c r="B356" s="2">
        <v>2.5</v>
      </c>
      <c r="C356" s="2">
        <v>0.8</v>
      </c>
      <c r="D356" s="2">
        <v>0.85</v>
      </c>
    </row>
    <row r="357" spans="1:4" x14ac:dyDescent="0.25">
      <c r="A357" s="2">
        <v>7.8120000000000003</v>
      </c>
      <c r="B357" s="2">
        <v>2.5</v>
      </c>
      <c r="C357" s="2">
        <v>0.8</v>
      </c>
      <c r="D357" s="2">
        <v>0.85</v>
      </c>
    </row>
    <row r="358" spans="1:4" x14ac:dyDescent="0.25">
      <c r="A358" s="2">
        <v>7.9370000000000003</v>
      </c>
      <c r="B358" s="2">
        <v>2.5</v>
      </c>
      <c r="C358" s="2">
        <v>0.8</v>
      </c>
      <c r="D358" s="2">
        <v>0.85</v>
      </c>
    </row>
    <row r="359" spans="1:4" x14ac:dyDescent="0.25">
      <c r="A359" s="2">
        <v>8.0649999999999995</v>
      </c>
      <c r="B359" s="2">
        <v>2.5</v>
      </c>
      <c r="C359" s="2">
        <v>0.8</v>
      </c>
      <c r="D359" s="2">
        <v>0.85</v>
      </c>
    </row>
    <row r="360" spans="1:4" x14ac:dyDescent="0.25">
      <c r="A360" s="2">
        <v>8.1969999999999992</v>
      </c>
      <c r="B360" s="2">
        <v>2.5</v>
      </c>
      <c r="C360" s="2">
        <v>0.8</v>
      </c>
      <c r="D360" s="2">
        <v>0.85</v>
      </c>
    </row>
    <row r="361" spans="1:4" x14ac:dyDescent="0.25">
      <c r="A361" s="2">
        <v>8.3330000000000002</v>
      </c>
      <c r="B361" s="2">
        <v>2.5</v>
      </c>
      <c r="C361" s="2">
        <v>0.8</v>
      </c>
      <c r="D361" s="2">
        <v>0.85</v>
      </c>
    </row>
    <row r="362" spans="1:4" x14ac:dyDescent="0.25">
      <c r="A362" s="2">
        <v>8.4749999999999996</v>
      </c>
      <c r="B362" s="2">
        <v>2.5</v>
      </c>
      <c r="C362" s="2">
        <v>0.8</v>
      </c>
      <c r="D362" s="2">
        <v>0.85</v>
      </c>
    </row>
    <row r="363" spans="1:4" x14ac:dyDescent="0.25">
      <c r="A363" s="2">
        <v>8.6959999999999997</v>
      </c>
      <c r="B363" s="2">
        <v>2.5</v>
      </c>
      <c r="C363" s="2">
        <v>0.8</v>
      </c>
      <c r="D363" s="2">
        <v>0.85</v>
      </c>
    </row>
    <row r="364" spans="1:4" x14ac:dyDescent="0.25">
      <c r="A364" s="2">
        <v>8.9290000000000003</v>
      </c>
      <c r="B364" s="2">
        <v>2.5</v>
      </c>
      <c r="C364" s="2">
        <v>0.8</v>
      </c>
      <c r="D364" s="2">
        <v>0.85</v>
      </c>
    </row>
    <row r="365" spans="1:4" x14ac:dyDescent="0.25">
      <c r="A365" s="2">
        <v>9.0909999999999993</v>
      </c>
      <c r="B365" s="2">
        <v>2.5</v>
      </c>
      <c r="C365" s="2">
        <v>0.8</v>
      </c>
      <c r="D365" s="2">
        <v>0.85</v>
      </c>
    </row>
    <row r="366" spans="1:4" x14ac:dyDescent="0.25">
      <c r="A366" s="2">
        <v>9.2590000000000003</v>
      </c>
      <c r="B366" s="2">
        <v>2.5</v>
      </c>
      <c r="C366" s="2">
        <v>0.8</v>
      </c>
      <c r="D366" s="2">
        <v>0.85</v>
      </c>
    </row>
    <row r="367" spans="1:4" x14ac:dyDescent="0.25">
      <c r="A367" s="2">
        <v>9.5239999999999991</v>
      </c>
      <c r="B367" s="2">
        <v>2.5</v>
      </c>
      <c r="C367" s="2">
        <v>0.8</v>
      </c>
      <c r="D367" s="2">
        <v>0.85</v>
      </c>
    </row>
    <row r="368" spans="1:4" x14ac:dyDescent="0.25">
      <c r="A368" s="2">
        <v>9.8040000000000003</v>
      </c>
      <c r="B368" s="2">
        <v>2.5</v>
      </c>
      <c r="C368" s="2">
        <v>0.8</v>
      </c>
      <c r="D368" s="2">
        <v>0.85</v>
      </c>
    </row>
    <row r="369" spans="1:4" x14ac:dyDescent="0.25">
      <c r="A369" s="2">
        <v>10</v>
      </c>
      <c r="B369" s="2">
        <v>2.5</v>
      </c>
      <c r="C369" s="2">
        <v>0.8</v>
      </c>
      <c r="D369" s="2">
        <v>0.85</v>
      </c>
    </row>
    <row r="370" spans="1:4" x14ac:dyDescent="0.25">
      <c r="A370" s="2">
        <v>10.199999999999999</v>
      </c>
      <c r="B370" s="2">
        <v>2.5</v>
      </c>
      <c r="C370" s="2">
        <v>0.8</v>
      </c>
      <c r="D370" s="2">
        <v>0.85</v>
      </c>
    </row>
    <row r="371" spans="1:4" x14ac:dyDescent="0.25">
      <c r="A371" s="2">
        <v>10.31</v>
      </c>
      <c r="B371" s="2">
        <v>2.5</v>
      </c>
      <c r="C371" s="2">
        <v>0.8</v>
      </c>
      <c r="D371" s="2">
        <v>0.85</v>
      </c>
    </row>
    <row r="372" spans="1:4" x14ac:dyDescent="0.25">
      <c r="A372" s="2">
        <v>10.42</v>
      </c>
      <c r="B372" s="2">
        <v>2.5</v>
      </c>
      <c r="C372" s="2">
        <v>0.8</v>
      </c>
      <c r="D372" s="2">
        <v>0.85</v>
      </c>
    </row>
    <row r="373" spans="1:4" x14ac:dyDescent="0.25">
      <c r="A373" s="2">
        <v>10.53</v>
      </c>
      <c r="B373" s="2">
        <v>2.5</v>
      </c>
      <c r="C373" s="2">
        <v>0.8</v>
      </c>
      <c r="D373" s="2">
        <v>0.85</v>
      </c>
    </row>
    <row r="374" spans="1:4" x14ac:dyDescent="0.25">
      <c r="A374" s="2">
        <v>10.64</v>
      </c>
      <c r="B374" s="2">
        <v>2.5</v>
      </c>
      <c r="C374" s="2">
        <v>0.8</v>
      </c>
      <c r="D374" s="2">
        <v>0.85</v>
      </c>
    </row>
    <row r="375" spans="1:4" x14ac:dyDescent="0.25">
      <c r="A375" s="2">
        <v>10.75</v>
      </c>
      <c r="B375" s="2">
        <v>2.5</v>
      </c>
      <c r="C375" s="2">
        <v>0.8</v>
      </c>
      <c r="D375" s="2">
        <v>0.85</v>
      </c>
    </row>
    <row r="376" spans="1:4" x14ac:dyDescent="0.25">
      <c r="A376" s="2">
        <v>10.87</v>
      </c>
      <c r="B376" s="2">
        <v>2.5</v>
      </c>
      <c r="C376" s="2">
        <v>0.8</v>
      </c>
      <c r="D376" s="2">
        <v>0.85</v>
      </c>
    </row>
    <row r="377" spans="1:4" x14ac:dyDescent="0.25">
      <c r="A377" s="2">
        <v>11</v>
      </c>
      <c r="B377" s="2">
        <v>2.5</v>
      </c>
      <c r="C377" s="2">
        <v>0.8</v>
      </c>
      <c r="D377" s="2">
        <v>0.85</v>
      </c>
    </row>
    <row r="378" spans="1:4" x14ac:dyDescent="0.25">
      <c r="A378" s="2">
        <v>11.11</v>
      </c>
      <c r="B378" s="2">
        <v>2.5</v>
      </c>
      <c r="C378" s="2">
        <v>0.8</v>
      </c>
      <c r="D378" s="2">
        <v>0.85</v>
      </c>
    </row>
    <row r="379" spans="1:4" x14ac:dyDescent="0.25">
      <c r="A379" s="2">
        <v>11.36</v>
      </c>
      <c r="B379" s="2">
        <v>2.5</v>
      </c>
      <c r="C379" s="2">
        <v>0.8</v>
      </c>
      <c r="D379" s="2">
        <v>0.85</v>
      </c>
    </row>
    <row r="380" spans="1:4" x14ac:dyDescent="0.25">
      <c r="A380" s="2">
        <v>11.63</v>
      </c>
      <c r="B380" s="2">
        <v>2.5</v>
      </c>
      <c r="C380" s="2">
        <v>0.8</v>
      </c>
      <c r="D380" s="2">
        <v>0.85</v>
      </c>
    </row>
    <row r="381" spans="1:4" x14ac:dyDescent="0.25">
      <c r="A381" s="2">
        <v>11.9</v>
      </c>
      <c r="B381" s="2">
        <v>2.5</v>
      </c>
      <c r="C381" s="2">
        <v>0.8</v>
      </c>
      <c r="D381" s="2">
        <v>0.85</v>
      </c>
    </row>
    <row r="382" spans="1:4" x14ac:dyDescent="0.25">
      <c r="A382" s="2">
        <v>12.2</v>
      </c>
      <c r="B382" s="2">
        <v>2.5</v>
      </c>
      <c r="C382" s="2">
        <v>0.8</v>
      </c>
      <c r="D382" s="2">
        <v>0.85</v>
      </c>
    </row>
    <row r="383" spans="1:4" x14ac:dyDescent="0.25">
      <c r="A383" s="2">
        <v>12.5</v>
      </c>
      <c r="B383" s="2">
        <v>2.5</v>
      </c>
      <c r="C383" s="2">
        <v>0.8</v>
      </c>
      <c r="D383" s="2">
        <v>0.85</v>
      </c>
    </row>
    <row r="384" spans="1:4" x14ac:dyDescent="0.25">
      <c r="A384" s="2">
        <v>12.82</v>
      </c>
      <c r="B384" s="2">
        <v>2.5</v>
      </c>
      <c r="C384" s="2">
        <v>0.8</v>
      </c>
      <c r="D384" s="2">
        <v>0.85</v>
      </c>
    </row>
    <row r="385" spans="1:4" x14ac:dyDescent="0.25">
      <c r="A385" s="2">
        <v>12.99</v>
      </c>
      <c r="B385" s="2">
        <v>2.5</v>
      </c>
      <c r="C385" s="2">
        <v>0.8</v>
      </c>
      <c r="D385" s="2">
        <v>0.85</v>
      </c>
    </row>
    <row r="386" spans="1:4" x14ac:dyDescent="0.25">
      <c r="A386" s="2">
        <v>13.16</v>
      </c>
      <c r="B386" s="2">
        <v>2.5</v>
      </c>
      <c r="C386" s="2">
        <v>0.8</v>
      </c>
      <c r="D386" s="2">
        <v>0.85</v>
      </c>
    </row>
    <row r="387" spans="1:4" x14ac:dyDescent="0.25">
      <c r="A387" s="2">
        <v>13.33</v>
      </c>
      <c r="B387" s="2">
        <v>2.5</v>
      </c>
      <c r="C387" s="2">
        <v>0.8</v>
      </c>
      <c r="D387" s="2">
        <v>0.85</v>
      </c>
    </row>
    <row r="388" spans="1:4" x14ac:dyDescent="0.25">
      <c r="A388" s="2">
        <v>13.51</v>
      </c>
      <c r="B388" s="2">
        <v>2.5</v>
      </c>
      <c r="C388" s="2">
        <v>0.8</v>
      </c>
      <c r="D388" s="2">
        <v>0.85</v>
      </c>
    </row>
    <row r="389" spans="1:4" x14ac:dyDescent="0.25">
      <c r="A389" s="2">
        <v>13.7</v>
      </c>
      <c r="B389" s="2">
        <v>2.5</v>
      </c>
      <c r="C389" s="2">
        <v>0.8</v>
      </c>
      <c r="D389" s="2">
        <v>0.85</v>
      </c>
    </row>
    <row r="390" spans="1:4" x14ac:dyDescent="0.25">
      <c r="A390" s="2">
        <v>13.89</v>
      </c>
      <c r="B390" s="2">
        <v>2.5</v>
      </c>
      <c r="C390" s="2">
        <v>0.8</v>
      </c>
      <c r="D390" s="2">
        <v>0.85</v>
      </c>
    </row>
    <row r="391" spans="1:4" x14ac:dyDescent="0.25">
      <c r="A391" s="2">
        <v>14.08</v>
      </c>
      <c r="B391" s="2">
        <v>2.5</v>
      </c>
      <c r="C391" s="2">
        <v>0.8</v>
      </c>
      <c r="D391" s="2">
        <v>0.85</v>
      </c>
    </row>
    <row r="392" spans="1:4" x14ac:dyDescent="0.25">
      <c r="A392" s="2">
        <v>14.29</v>
      </c>
      <c r="B392" s="2">
        <v>2.5</v>
      </c>
      <c r="C392" s="2">
        <v>0.8</v>
      </c>
      <c r="D392" s="2">
        <v>0.85</v>
      </c>
    </row>
    <row r="393" spans="1:4" x14ac:dyDescent="0.25">
      <c r="A393" s="2">
        <v>14.71</v>
      </c>
      <c r="B393" s="2">
        <v>2.5</v>
      </c>
      <c r="C393" s="2">
        <v>0.8</v>
      </c>
      <c r="D393" s="2">
        <v>0.85</v>
      </c>
    </row>
    <row r="394" spans="1:4" x14ac:dyDescent="0.25">
      <c r="A394" s="2">
        <v>15.15</v>
      </c>
      <c r="B394" s="2">
        <v>2.5</v>
      </c>
      <c r="C394" s="2">
        <v>0.8</v>
      </c>
      <c r="D394" s="2">
        <v>0.85</v>
      </c>
    </row>
    <row r="395" spans="1:4" x14ac:dyDescent="0.25">
      <c r="A395" s="2">
        <v>15.38</v>
      </c>
      <c r="B395" s="2">
        <v>2.5</v>
      </c>
      <c r="C395" s="2">
        <v>0.8</v>
      </c>
      <c r="D395" s="2">
        <v>0.85</v>
      </c>
    </row>
    <row r="396" spans="1:4" x14ac:dyDescent="0.25">
      <c r="A396" s="2">
        <v>15.63</v>
      </c>
      <c r="B396" s="2">
        <v>2.5</v>
      </c>
      <c r="C396" s="2">
        <v>0.8</v>
      </c>
      <c r="D396" s="2">
        <v>0.85</v>
      </c>
    </row>
    <row r="397" spans="1:4" x14ac:dyDescent="0.25">
      <c r="A397" s="2">
        <v>16.13</v>
      </c>
      <c r="B397" s="2">
        <v>2.5</v>
      </c>
      <c r="C397" s="2">
        <v>0.8</v>
      </c>
      <c r="D397" s="2">
        <v>0.85</v>
      </c>
    </row>
    <row r="398" spans="1:4" x14ac:dyDescent="0.25">
      <c r="A398" s="2">
        <v>16.39</v>
      </c>
      <c r="B398" s="2">
        <v>2.5</v>
      </c>
      <c r="C398" s="2">
        <v>0.8</v>
      </c>
      <c r="D398" s="2">
        <v>0.85</v>
      </c>
    </row>
    <row r="399" spans="1:4" x14ac:dyDescent="0.25">
      <c r="A399" s="2">
        <v>16.670000000000002</v>
      </c>
      <c r="B399" s="2">
        <v>2.5</v>
      </c>
      <c r="C399" s="2">
        <v>0.8</v>
      </c>
      <c r="D399" s="2">
        <v>0.85</v>
      </c>
    </row>
    <row r="400" spans="1:4" x14ac:dyDescent="0.25">
      <c r="A400" s="2">
        <v>16.95</v>
      </c>
      <c r="B400" s="2">
        <v>2.5</v>
      </c>
      <c r="C400" s="2">
        <v>0.8</v>
      </c>
      <c r="D400" s="2">
        <v>0.85</v>
      </c>
    </row>
    <row r="401" spans="1:4" x14ac:dyDescent="0.25">
      <c r="A401" s="2">
        <v>17.239999999999998</v>
      </c>
      <c r="B401" s="2">
        <v>2.5</v>
      </c>
      <c r="C401" s="2">
        <v>0.8</v>
      </c>
      <c r="D401" s="2">
        <v>0.85</v>
      </c>
    </row>
    <row r="402" spans="1:4" x14ac:dyDescent="0.25">
      <c r="A402" s="2">
        <v>18.18</v>
      </c>
      <c r="B402" s="2">
        <v>2.5</v>
      </c>
      <c r="C402" s="2">
        <v>0.8</v>
      </c>
      <c r="D402" s="2">
        <v>0.85</v>
      </c>
    </row>
    <row r="403" spans="1:4" x14ac:dyDescent="0.25">
      <c r="A403" s="2">
        <v>18.32</v>
      </c>
      <c r="B403" s="2">
        <v>2.5</v>
      </c>
      <c r="C403" s="2">
        <v>0.8</v>
      </c>
      <c r="D403" s="2">
        <v>0.85</v>
      </c>
    </row>
    <row r="404" spans="1:4" x14ac:dyDescent="0.25">
      <c r="A404" s="2">
        <v>18.61</v>
      </c>
      <c r="B404" s="2">
        <v>2.5</v>
      </c>
      <c r="C404" s="2">
        <v>0.8</v>
      </c>
      <c r="D404" s="2">
        <v>0.85</v>
      </c>
    </row>
    <row r="405" spans="1:4" x14ac:dyDescent="0.25">
      <c r="A405" s="2">
        <v>18.87</v>
      </c>
      <c r="B405" s="2">
        <v>2.5</v>
      </c>
      <c r="C405" s="2">
        <v>0.8</v>
      </c>
      <c r="D405" s="2">
        <v>0.85</v>
      </c>
    </row>
    <row r="406" spans="1:4" x14ac:dyDescent="0.25">
      <c r="A406" s="2">
        <v>19.23</v>
      </c>
      <c r="B406" s="2">
        <v>2.5</v>
      </c>
      <c r="C406" s="2">
        <v>0.8</v>
      </c>
      <c r="D406" s="2">
        <v>0.85</v>
      </c>
    </row>
    <row r="407" spans="1:4" x14ac:dyDescent="0.25">
      <c r="A407" s="2">
        <v>19.61</v>
      </c>
      <c r="B407" s="2">
        <v>2.5</v>
      </c>
      <c r="C407" s="2">
        <v>0.8</v>
      </c>
      <c r="D407" s="2">
        <v>0.85</v>
      </c>
    </row>
    <row r="408" spans="1:4" x14ac:dyDescent="0.25">
      <c r="A408" s="2">
        <v>20</v>
      </c>
      <c r="B408" s="2">
        <v>2.5</v>
      </c>
      <c r="C408" s="2">
        <v>0.8</v>
      </c>
      <c r="D408" s="2">
        <v>0.85</v>
      </c>
    </row>
    <row r="409" spans="1:4" x14ac:dyDescent="0.25">
      <c r="A409" s="2">
        <v>20.41</v>
      </c>
      <c r="B409" s="2">
        <v>2.5</v>
      </c>
      <c r="C409" s="2">
        <v>0.8</v>
      </c>
      <c r="D409" s="2">
        <v>0.85</v>
      </c>
    </row>
    <row r="410" spans="1:4" x14ac:dyDescent="0.25">
      <c r="A410" s="2">
        <v>20.83</v>
      </c>
      <c r="B410" s="2">
        <v>2.5</v>
      </c>
      <c r="C410" s="2">
        <v>0.8</v>
      </c>
      <c r="D410" s="2">
        <v>0.85</v>
      </c>
    </row>
    <row r="411" spans="1:4" x14ac:dyDescent="0.25">
      <c r="A411" s="2">
        <v>22.22</v>
      </c>
      <c r="B411" s="2">
        <v>2.5</v>
      </c>
      <c r="C411" s="2">
        <v>0.8</v>
      </c>
      <c r="D411" s="2">
        <v>0.85</v>
      </c>
    </row>
    <row r="412" spans="1:4" x14ac:dyDescent="0.25">
      <c r="A412" s="2">
        <v>22.6</v>
      </c>
      <c r="B412" s="2">
        <v>2.5</v>
      </c>
      <c r="C412" s="2">
        <v>0.8</v>
      </c>
      <c r="D412" s="2">
        <v>0.85</v>
      </c>
    </row>
    <row r="413" spans="1:4" x14ac:dyDescent="0.25">
      <c r="A413" s="2">
        <v>23.05</v>
      </c>
      <c r="B413" s="2">
        <v>2.5</v>
      </c>
      <c r="C413" s="2">
        <v>0.8</v>
      </c>
      <c r="D413" s="2">
        <v>0.85</v>
      </c>
    </row>
    <row r="414" spans="1:4" x14ac:dyDescent="0.25">
      <c r="A414" s="2">
        <v>23.6</v>
      </c>
      <c r="B414" s="2">
        <v>2.5</v>
      </c>
      <c r="C414" s="2">
        <v>0.8</v>
      </c>
      <c r="D414" s="2">
        <v>0.85</v>
      </c>
    </row>
    <row r="415" spans="1:4" x14ac:dyDescent="0.25">
      <c r="A415" s="2">
        <v>24.6</v>
      </c>
      <c r="B415" s="2">
        <v>2.5</v>
      </c>
      <c r="C415" s="2">
        <v>0.8</v>
      </c>
      <c r="D415" s="2">
        <v>0.85</v>
      </c>
    </row>
    <row r="416" spans="1:4" x14ac:dyDescent="0.25">
      <c r="A416" s="2">
        <v>25</v>
      </c>
      <c r="B416" s="2">
        <v>2.5</v>
      </c>
      <c r="C416" s="2">
        <v>0.8</v>
      </c>
      <c r="D416" s="2">
        <v>0.85</v>
      </c>
    </row>
    <row r="417" spans="1:4" x14ac:dyDescent="0.25">
      <c r="A417" s="2">
        <v>26</v>
      </c>
      <c r="B417" s="2">
        <v>2.5</v>
      </c>
      <c r="C417" s="2">
        <v>0.8</v>
      </c>
      <c r="D417" s="2">
        <v>0.85</v>
      </c>
    </row>
    <row r="418" spans="1:4" x14ac:dyDescent="0.25">
      <c r="A418" s="2">
        <v>28.57</v>
      </c>
      <c r="B418" s="2">
        <v>2.5</v>
      </c>
      <c r="C418" s="2">
        <v>0.8</v>
      </c>
      <c r="D418" s="2">
        <v>0.85</v>
      </c>
    </row>
    <row r="419" spans="1:4" x14ac:dyDescent="0.25">
      <c r="A419" s="2">
        <v>31</v>
      </c>
      <c r="B419" s="2">
        <v>2.5</v>
      </c>
      <c r="C419" s="2">
        <v>0.8</v>
      </c>
      <c r="D419" s="2">
        <v>0.85</v>
      </c>
    </row>
    <row r="420" spans="1:4" x14ac:dyDescent="0.25">
      <c r="A420" s="2">
        <v>33.33</v>
      </c>
      <c r="B420" s="2">
        <v>2.5</v>
      </c>
      <c r="C420" s="2">
        <v>0.8</v>
      </c>
      <c r="D420" s="2">
        <v>0.85</v>
      </c>
    </row>
    <row r="421" spans="1:4" x14ac:dyDescent="0.25">
      <c r="A421" s="2">
        <v>34.479999999999997</v>
      </c>
      <c r="B421" s="2">
        <v>2.5</v>
      </c>
      <c r="C421" s="2">
        <v>0.8</v>
      </c>
      <c r="D421" s="2">
        <v>0.85</v>
      </c>
    </row>
    <row r="422" spans="1:4" x14ac:dyDescent="0.25">
      <c r="A422" s="2">
        <v>35.64</v>
      </c>
      <c r="B422" s="2">
        <v>2.5</v>
      </c>
      <c r="C422" s="2">
        <v>0.8</v>
      </c>
      <c r="D422" s="2">
        <v>0.85</v>
      </c>
    </row>
    <row r="423" spans="1:4" x14ac:dyDescent="0.25">
      <c r="A423" s="2">
        <v>37</v>
      </c>
      <c r="B423" s="2">
        <v>2.5</v>
      </c>
      <c r="C423" s="2">
        <v>0.8</v>
      </c>
      <c r="D423" s="2">
        <v>0.85</v>
      </c>
    </row>
    <row r="424" spans="1:4" x14ac:dyDescent="0.25">
      <c r="A424" s="2">
        <v>38.24</v>
      </c>
      <c r="B424" s="2">
        <v>2.5</v>
      </c>
      <c r="C424" s="2">
        <v>0.8</v>
      </c>
      <c r="D424" s="2">
        <v>0.85</v>
      </c>
    </row>
    <row r="425" spans="1:4" x14ac:dyDescent="0.25">
      <c r="A425" s="2">
        <v>39.6</v>
      </c>
      <c r="B425" s="2">
        <v>2.5</v>
      </c>
      <c r="C425" s="2">
        <v>0.8</v>
      </c>
      <c r="D425" s="2">
        <v>0.85</v>
      </c>
    </row>
    <row r="426" spans="1:4" x14ac:dyDescent="0.25">
      <c r="A426" s="2">
        <v>41.14</v>
      </c>
      <c r="B426" s="2">
        <v>2.5</v>
      </c>
      <c r="C426" s="2">
        <v>0.8</v>
      </c>
      <c r="D426" s="2">
        <v>0.85</v>
      </c>
    </row>
    <row r="427" spans="1:4" x14ac:dyDescent="0.25">
      <c r="A427" s="2">
        <v>42.76</v>
      </c>
      <c r="B427" s="2">
        <v>2.5</v>
      </c>
      <c r="C427" s="2">
        <v>0.8</v>
      </c>
      <c r="D427" s="2">
        <v>0.85</v>
      </c>
    </row>
    <row r="428" spans="1:4" x14ac:dyDescent="0.25">
      <c r="A428" s="2">
        <v>43.58</v>
      </c>
      <c r="B428" s="2">
        <v>2.5</v>
      </c>
      <c r="C428" s="2">
        <v>0.8</v>
      </c>
      <c r="D428" s="2">
        <v>0.85</v>
      </c>
    </row>
    <row r="429" spans="1:4" x14ac:dyDescent="0.25">
      <c r="A429" s="2">
        <v>44.58</v>
      </c>
      <c r="B429" s="2">
        <v>2.5</v>
      </c>
      <c r="C429" s="2">
        <v>0.8</v>
      </c>
      <c r="D429" s="2">
        <v>0.85</v>
      </c>
    </row>
    <row r="430" spans="1:4" x14ac:dyDescent="0.25">
      <c r="A430" s="2">
        <v>45.5</v>
      </c>
      <c r="B430" s="2">
        <v>2.5</v>
      </c>
      <c r="C430" s="2">
        <v>0.8</v>
      </c>
      <c r="D430" s="2">
        <v>0.85</v>
      </c>
    </row>
    <row r="431" spans="1:4" x14ac:dyDescent="0.25">
      <c r="A431" s="2">
        <v>46.15</v>
      </c>
      <c r="B431" s="2">
        <v>2.5</v>
      </c>
      <c r="C431" s="2">
        <v>0.8</v>
      </c>
      <c r="D431" s="2">
        <v>0.85</v>
      </c>
    </row>
    <row r="432" spans="1:4" x14ac:dyDescent="0.25">
      <c r="A432" s="2">
        <v>46.71</v>
      </c>
      <c r="B432" s="2">
        <v>2.5</v>
      </c>
      <c r="C432" s="2">
        <v>0.8</v>
      </c>
      <c r="D432" s="2">
        <v>0.85</v>
      </c>
    </row>
    <row r="433" spans="1:4" x14ac:dyDescent="0.25">
      <c r="A433" s="2">
        <v>47.36</v>
      </c>
      <c r="B433" s="2">
        <v>2.5</v>
      </c>
      <c r="C433" s="2">
        <v>0.8</v>
      </c>
      <c r="D433" s="2">
        <v>0.85</v>
      </c>
    </row>
    <row r="434" spans="1:4" x14ac:dyDescent="0.25">
      <c r="A434" s="2">
        <v>48</v>
      </c>
      <c r="B434" s="2">
        <v>2.5</v>
      </c>
      <c r="C434" s="2">
        <v>0.8</v>
      </c>
      <c r="D434" s="2">
        <v>0.85</v>
      </c>
    </row>
    <row r="435" spans="1:4" x14ac:dyDescent="0.25">
      <c r="A435" s="2">
        <v>48.78</v>
      </c>
      <c r="B435" s="2">
        <v>2.5</v>
      </c>
      <c r="C435" s="2">
        <v>0.8</v>
      </c>
      <c r="D435" s="2">
        <v>0.85</v>
      </c>
    </row>
    <row r="436" spans="1:4" x14ac:dyDescent="0.25">
      <c r="A436" s="2">
        <v>50.03</v>
      </c>
      <c r="B436" s="2">
        <v>2.5</v>
      </c>
      <c r="C436" s="2">
        <v>0.8</v>
      </c>
      <c r="D436" s="2">
        <v>0.85</v>
      </c>
    </row>
    <row r="437" spans="1:4" x14ac:dyDescent="0.25">
      <c r="A437" s="2">
        <v>51.28</v>
      </c>
      <c r="B437" s="2">
        <v>2.5</v>
      </c>
      <c r="C437" s="2">
        <v>0.8</v>
      </c>
      <c r="D437" s="2">
        <v>0.85</v>
      </c>
    </row>
    <row r="438" spans="1:4" x14ac:dyDescent="0.25">
      <c r="A438" s="2">
        <v>52.75</v>
      </c>
      <c r="B438" s="2">
        <v>2.5</v>
      </c>
      <c r="C438" s="2">
        <v>0.8</v>
      </c>
      <c r="D438" s="2">
        <v>0.85</v>
      </c>
    </row>
    <row r="439" spans="1:4" x14ac:dyDescent="0.25">
      <c r="A439" s="2">
        <v>53.5</v>
      </c>
      <c r="B439" s="2">
        <v>2.5</v>
      </c>
      <c r="C439" s="2">
        <v>0.8</v>
      </c>
      <c r="D439" s="2">
        <v>0.85</v>
      </c>
    </row>
    <row r="440" spans="1:4" x14ac:dyDescent="0.25">
      <c r="A440" s="2">
        <v>54.24</v>
      </c>
      <c r="B440" s="2">
        <v>2.5</v>
      </c>
      <c r="C440" s="2">
        <v>0.8</v>
      </c>
      <c r="D440" s="2">
        <v>0.85</v>
      </c>
    </row>
    <row r="441" spans="1:4" x14ac:dyDescent="0.25">
      <c r="A441" s="2">
        <v>55</v>
      </c>
      <c r="B441" s="2">
        <v>2.5</v>
      </c>
      <c r="C441" s="2">
        <v>0.8</v>
      </c>
      <c r="D441" s="2">
        <v>0.85</v>
      </c>
    </row>
    <row r="442" spans="1:4" x14ac:dyDescent="0.25">
      <c r="A442" s="2">
        <v>55.74</v>
      </c>
      <c r="B442" s="2">
        <v>2.5</v>
      </c>
      <c r="C442" s="2">
        <v>0.8</v>
      </c>
      <c r="D442" s="2">
        <v>0.85</v>
      </c>
    </row>
    <row r="443" spans="1:4" x14ac:dyDescent="0.25">
      <c r="A443" s="2">
        <v>56.4</v>
      </c>
      <c r="B443" s="2">
        <v>2.5</v>
      </c>
      <c r="C443" s="2">
        <v>0.8</v>
      </c>
      <c r="D443" s="2">
        <v>0.85</v>
      </c>
    </row>
    <row r="444" spans="1:4" x14ac:dyDescent="0.25">
      <c r="A444" s="2">
        <v>57</v>
      </c>
      <c r="B444" s="2">
        <v>2.5</v>
      </c>
      <c r="C444" s="2">
        <v>0.8</v>
      </c>
      <c r="D444" s="2">
        <v>0.85</v>
      </c>
    </row>
    <row r="445" spans="1:4" x14ac:dyDescent="0.25">
      <c r="A445" s="2">
        <v>57.46</v>
      </c>
      <c r="B445" s="2">
        <v>2.5</v>
      </c>
      <c r="C445" s="2">
        <v>0.8</v>
      </c>
      <c r="D445" s="2">
        <v>0.85</v>
      </c>
    </row>
    <row r="446" spans="1:4" x14ac:dyDescent="0.25">
      <c r="A446" s="2">
        <v>58.4</v>
      </c>
      <c r="B446" s="2">
        <v>2.5</v>
      </c>
      <c r="C446" s="2">
        <v>0.8</v>
      </c>
      <c r="D446" s="2">
        <v>0.85</v>
      </c>
    </row>
    <row r="447" spans="1:4" x14ac:dyDescent="0.25">
      <c r="A447" s="2">
        <v>59.29</v>
      </c>
      <c r="B447" s="2">
        <v>2.5</v>
      </c>
      <c r="C447" s="2">
        <v>0.8</v>
      </c>
      <c r="D447" s="2">
        <v>0.85</v>
      </c>
    </row>
    <row r="448" spans="1:4" x14ac:dyDescent="0.25">
      <c r="A448" s="2">
        <v>60</v>
      </c>
      <c r="B448" s="2">
        <v>2.5</v>
      </c>
      <c r="C448" s="2">
        <v>0.8</v>
      </c>
      <c r="D448" s="2">
        <v>0.85</v>
      </c>
    </row>
    <row r="449" spans="1:4" x14ac:dyDescent="0.25">
      <c r="A449" s="2">
        <v>61</v>
      </c>
      <c r="B449" s="2">
        <v>2.5</v>
      </c>
      <c r="C449" s="2">
        <v>0.8</v>
      </c>
      <c r="D449" s="2">
        <v>0.85</v>
      </c>
    </row>
    <row r="450" spans="1:4" x14ac:dyDescent="0.25">
      <c r="A450" s="2">
        <v>61.25</v>
      </c>
      <c r="B450" s="2">
        <v>2.5</v>
      </c>
      <c r="C450" s="2">
        <v>0.8</v>
      </c>
      <c r="D450" s="2">
        <v>0.85</v>
      </c>
    </row>
    <row r="451" spans="1:4" x14ac:dyDescent="0.25">
      <c r="A451" s="2">
        <v>62.5</v>
      </c>
      <c r="B451" s="2">
        <v>2.5</v>
      </c>
      <c r="C451" s="2">
        <v>0.8</v>
      </c>
      <c r="D451" s="2">
        <v>0.85</v>
      </c>
    </row>
    <row r="452" spans="1:4" x14ac:dyDescent="0.25">
      <c r="A452" s="2">
        <v>63.78</v>
      </c>
      <c r="B452" s="2">
        <v>2.5</v>
      </c>
      <c r="C452" s="2">
        <v>0.8</v>
      </c>
      <c r="D452" s="2">
        <v>0.85</v>
      </c>
    </row>
    <row r="453" spans="1:4" x14ac:dyDescent="0.25">
      <c r="A453" s="2">
        <v>64.67</v>
      </c>
      <c r="B453" s="2">
        <v>2.5</v>
      </c>
      <c r="C453" s="2">
        <v>0.8</v>
      </c>
      <c r="D453" s="2">
        <v>0.85</v>
      </c>
    </row>
    <row r="454" spans="1:4" x14ac:dyDescent="0.25">
      <c r="A454" s="2">
        <v>65.58</v>
      </c>
      <c r="B454" s="2">
        <v>2.5</v>
      </c>
      <c r="C454" s="2">
        <v>0.8</v>
      </c>
      <c r="D454" s="2">
        <v>0.85</v>
      </c>
    </row>
    <row r="455" spans="1:4" x14ac:dyDescent="0.25">
      <c r="A455" s="2">
        <v>66.55</v>
      </c>
      <c r="B455" s="2">
        <v>2.5</v>
      </c>
      <c r="C455" s="2">
        <v>0.8</v>
      </c>
      <c r="D455" s="2">
        <v>0.85</v>
      </c>
    </row>
    <row r="456" spans="1:4" x14ac:dyDescent="0.25">
      <c r="A456" s="2">
        <v>67.599999999999994</v>
      </c>
      <c r="B456" s="2">
        <v>2.5</v>
      </c>
      <c r="C456" s="2">
        <v>0.8</v>
      </c>
      <c r="D456" s="2">
        <v>0.85</v>
      </c>
    </row>
    <row r="457" spans="1:4" x14ac:dyDescent="0.25">
      <c r="A457" s="2">
        <v>69</v>
      </c>
      <c r="B457" s="2">
        <v>2.5</v>
      </c>
      <c r="C457" s="2">
        <v>0.8</v>
      </c>
      <c r="D457" s="2">
        <v>0.85</v>
      </c>
    </row>
    <row r="458" spans="1:4" x14ac:dyDescent="0.25">
      <c r="A458" s="2">
        <v>70.53</v>
      </c>
      <c r="B458" s="2">
        <v>2.5</v>
      </c>
      <c r="C458" s="2">
        <v>0.8</v>
      </c>
      <c r="D458" s="2">
        <v>0.85</v>
      </c>
    </row>
    <row r="459" spans="1:4" x14ac:dyDescent="0.25">
      <c r="A459" s="2">
        <v>73</v>
      </c>
      <c r="B459" s="2">
        <v>2.5</v>
      </c>
      <c r="C459" s="2">
        <v>0.8</v>
      </c>
      <c r="D459" s="2">
        <v>0.85</v>
      </c>
    </row>
    <row r="460" spans="1:4" x14ac:dyDescent="0.25">
      <c r="A460" s="2">
        <v>75</v>
      </c>
      <c r="B460" s="2">
        <v>2.5</v>
      </c>
      <c r="C460" s="2">
        <v>0.8</v>
      </c>
      <c r="D460" s="2">
        <v>0.85</v>
      </c>
    </row>
    <row r="461" spans="1:4" x14ac:dyDescent="0.25">
      <c r="A461" s="2">
        <v>76.290000000000006</v>
      </c>
      <c r="B461" s="2">
        <v>2.5</v>
      </c>
      <c r="C461" s="2">
        <v>0.8</v>
      </c>
      <c r="D461" s="2">
        <v>0.85</v>
      </c>
    </row>
    <row r="462" spans="1:4" x14ac:dyDescent="0.25">
      <c r="A462" s="2">
        <v>80</v>
      </c>
      <c r="B462" s="2">
        <v>2.5</v>
      </c>
      <c r="C462" s="2">
        <v>0.8</v>
      </c>
      <c r="D462" s="2">
        <v>0.85</v>
      </c>
    </row>
    <row r="463" spans="1:4" x14ac:dyDescent="0.25">
      <c r="A463" s="2">
        <v>82.97</v>
      </c>
      <c r="B463" s="2">
        <v>2.5</v>
      </c>
      <c r="C463" s="2">
        <v>0.8</v>
      </c>
      <c r="D463" s="2">
        <v>0.85</v>
      </c>
    </row>
    <row r="464" spans="1:4" x14ac:dyDescent="0.25">
      <c r="A464" s="2">
        <v>85</v>
      </c>
      <c r="B464" s="2">
        <v>2.5</v>
      </c>
      <c r="C464" s="2">
        <v>0.8</v>
      </c>
      <c r="D464" s="2">
        <v>0.85</v>
      </c>
    </row>
    <row r="465" spans="1:4" x14ac:dyDescent="0.25">
      <c r="A465" s="2">
        <v>86.8</v>
      </c>
      <c r="B465" s="2">
        <v>2.5</v>
      </c>
      <c r="C465" s="2">
        <v>0.8</v>
      </c>
      <c r="D465" s="2">
        <v>0.85</v>
      </c>
    </row>
    <row r="466" spans="1:4" x14ac:dyDescent="0.25">
      <c r="A466" s="2">
        <v>90.8</v>
      </c>
      <c r="B466" s="2">
        <v>2.5</v>
      </c>
      <c r="C466" s="2">
        <v>0.8</v>
      </c>
      <c r="D466" s="2">
        <v>0.85</v>
      </c>
    </row>
    <row r="467" spans="1:4" x14ac:dyDescent="0.25">
      <c r="A467" s="2">
        <v>95.17</v>
      </c>
      <c r="B467" s="2">
        <v>2.5</v>
      </c>
      <c r="C467" s="2">
        <v>0.8</v>
      </c>
      <c r="D467" s="2">
        <v>0.85</v>
      </c>
    </row>
    <row r="468" spans="1:4" x14ac:dyDescent="0.25">
      <c r="A468" s="2">
        <v>100</v>
      </c>
      <c r="B468" s="2">
        <v>2.5</v>
      </c>
      <c r="C468" s="2">
        <v>0.8</v>
      </c>
      <c r="D468" s="2">
        <v>0.85</v>
      </c>
    </row>
    <row r="469" spans="1:4" x14ac:dyDescent="0.25">
      <c r="A469" s="2">
        <v>120</v>
      </c>
      <c r="B469" s="2">
        <v>2.5</v>
      </c>
      <c r="C469" s="2">
        <v>0.8</v>
      </c>
      <c r="D469" s="2">
        <v>0.85</v>
      </c>
    </row>
    <row r="470" spans="1:4" x14ac:dyDescent="0.25">
      <c r="A470" s="2">
        <v>160</v>
      </c>
      <c r="B470" s="2">
        <v>2.5</v>
      </c>
      <c r="C470" s="2">
        <v>0.8</v>
      </c>
      <c r="D470" s="2">
        <v>0.85</v>
      </c>
    </row>
    <row r="471" spans="1:4" x14ac:dyDescent="0.25">
      <c r="A471" s="2">
        <v>210</v>
      </c>
      <c r="B471" s="2">
        <v>2.5</v>
      </c>
      <c r="C471" s="2">
        <v>0.8</v>
      </c>
      <c r="D471" s="2">
        <v>0.85</v>
      </c>
    </row>
    <row r="472" spans="1:4" x14ac:dyDescent="0.25">
      <c r="A472" s="2">
        <v>300</v>
      </c>
      <c r="B472" s="2">
        <v>2.5</v>
      </c>
      <c r="C472" s="2">
        <v>0.8</v>
      </c>
      <c r="D472" s="2">
        <v>0.85</v>
      </c>
    </row>
    <row r="473" spans="1:4" x14ac:dyDescent="0.25">
      <c r="A473" s="2">
        <v>500</v>
      </c>
      <c r="B473" s="2">
        <v>2.5</v>
      </c>
      <c r="C473" s="2">
        <v>0.8</v>
      </c>
      <c r="D473" s="2">
        <v>0.85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Part1-MieParam</vt:lpstr>
      <vt:lpstr>Part1-AlbedoModel</vt:lpstr>
      <vt:lpstr>Part2-BRDFmodel</vt:lpstr>
      <vt:lpstr>Part3-AlbedoCalculations</vt:lpstr>
      <vt:lpstr>Part4-ImageCalculations</vt:lpstr>
      <vt:lpstr>Part4-DustCalculations</vt:lpstr>
      <vt:lpstr>Ice</vt:lpstr>
      <vt:lpstr>Dust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Tara Tomlinson</dc:creator>
  <cp:keywords/>
  <dc:description/>
  <cp:lastModifiedBy>Tara Tomlinson</cp:lastModifiedBy>
  <cp:revision/>
  <dcterms:created xsi:type="dcterms:W3CDTF">2018-06-08T18:22:15Z</dcterms:created>
  <dcterms:modified xsi:type="dcterms:W3CDTF">2018-07-20T17:37:33Z</dcterms:modified>
  <cp:category/>
  <cp:contentStatus/>
</cp:coreProperties>
</file>