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\OneDrive\Desktop\My Reserach\SoftwareX\"/>
    </mc:Choice>
  </mc:AlternateContent>
  <xr:revisionPtr revIDLastSave="0" documentId="13_ncr:1_{9603073E-7F30-46FD-9F1C-CFC5BE56B7E4}" xr6:coauthVersionLast="36" xr6:coauthVersionMax="36" xr10:uidLastSave="{00000000-0000-0000-0000-000000000000}"/>
  <bookViews>
    <workbookView xWindow="0" yWindow="0" windowWidth="28800" windowHeight="12225" activeTab="1" xr2:uid="{BD5E90B8-BAF0-4504-ABAC-708CC625C52F}"/>
  </bookViews>
  <sheets>
    <sheet name="Molar volume" sheetId="1" r:id="rId1"/>
    <sheet name="Thermo-phsyical Properties" sheetId="2" r:id="rId2"/>
  </sheets>
  <externalReferences>
    <externalReference r:id="rId3"/>
  </externalReferences>
  <definedNames>
    <definedName name="_xlchart.v1.0" hidden="1">'Thermo-phsyical Properties'!$AT$9:$AT$24</definedName>
    <definedName name="_xlchart.v1.1" hidden="1">'Thermo-phsyical Properties'!$AT$9:$AT$31</definedName>
    <definedName name="_xlchart.v1.10" hidden="1">'Thermo-phsyical Properties'!$L$13:$L$34</definedName>
    <definedName name="_xlchart.v1.2" hidden="1">'Thermo-phsyical Properties'!$BB$9:$BB$31</definedName>
    <definedName name="_xlchart.v1.3" hidden="1">'Thermo-phsyical Properties'!$BC$9:$BC$23</definedName>
    <definedName name="_xlchart.v1.4" hidden="1">'Thermo-phsyical Properties'!$BD$9:$BD$31</definedName>
    <definedName name="_xlchart.v1.5" hidden="1">'Thermo-phsyical Properties'!$J$13:$J$34</definedName>
    <definedName name="_xlchart.v1.6" hidden="1">'Thermo-phsyical Properties'!$K$13:$K$34</definedName>
    <definedName name="_xlchart.v1.7" hidden="1">'Thermo-phsyical Properties'!$L$13:$L$34</definedName>
    <definedName name="_xlchart.v1.8" hidden="1">'Thermo-phsyical Properties'!$J$13:$J$34</definedName>
    <definedName name="_xlchart.v1.9" hidden="1">'Thermo-phsyical Properties'!$K$13:$K$34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24" i="2" l="1"/>
  <c r="BB25" i="2"/>
  <c r="BB26" i="2"/>
  <c r="BB27" i="2"/>
  <c r="BB28" i="2"/>
  <c r="BB29" i="2"/>
  <c r="BB30" i="2"/>
  <c r="BB31" i="2"/>
  <c r="BA24" i="2"/>
  <c r="BA25" i="2"/>
  <c r="BA26" i="2"/>
  <c r="BA27" i="2"/>
  <c r="BA28" i="2"/>
  <c r="BA29" i="2"/>
  <c r="BA30" i="2"/>
  <c r="BA31" i="2"/>
  <c r="AZ25" i="2"/>
  <c r="AZ26" i="2"/>
  <c r="AZ27" i="2"/>
  <c r="AZ28" i="2"/>
  <c r="AZ29" i="2"/>
  <c r="AZ30" i="2"/>
  <c r="AZ31" i="2"/>
  <c r="AZ24" i="2"/>
  <c r="AY24" i="2"/>
  <c r="AY25" i="2"/>
  <c r="AY26" i="2"/>
  <c r="AY27" i="2"/>
  <c r="AY28" i="2"/>
  <c r="AY29" i="2"/>
  <c r="AY30" i="2"/>
  <c r="AY31" i="2"/>
  <c r="AX24" i="2"/>
  <c r="AX25" i="2"/>
  <c r="AX26" i="2"/>
  <c r="AX27" i="2"/>
  <c r="AX28" i="2"/>
  <c r="AX29" i="2"/>
  <c r="AX30" i="2"/>
  <c r="AX31" i="2"/>
  <c r="AW24" i="2"/>
  <c r="AW25" i="2"/>
  <c r="AW26" i="2"/>
  <c r="AW27" i="2"/>
  <c r="AW28" i="2"/>
  <c r="AW29" i="2"/>
  <c r="AW30" i="2"/>
  <c r="AW31" i="2"/>
  <c r="AV24" i="2"/>
  <c r="AV25" i="2"/>
  <c r="AV26" i="2"/>
  <c r="AV27" i="2"/>
  <c r="AV28" i="2"/>
  <c r="AV29" i="2"/>
  <c r="AV30" i="2"/>
  <c r="AV31" i="2"/>
  <c r="AU24" i="2"/>
  <c r="AU25" i="2"/>
  <c r="AU26" i="2"/>
  <c r="AU27" i="2"/>
  <c r="AU28" i="2"/>
  <c r="AU29" i="2"/>
  <c r="AU30" i="2"/>
  <c r="AU31" i="2"/>
  <c r="BB9" i="2"/>
  <c r="BB10" i="2"/>
  <c r="BB11" i="2"/>
  <c r="BB12" i="2"/>
  <c r="BB13" i="2"/>
  <c r="BB14" i="2"/>
  <c r="BA9" i="2"/>
  <c r="BA10" i="2"/>
  <c r="BA11" i="2"/>
  <c r="BA12" i="2"/>
  <c r="BA13" i="2"/>
  <c r="BA14" i="2"/>
  <c r="AZ9" i="2"/>
  <c r="AZ10" i="2"/>
  <c r="AZ11" i="2"/>
  <c r="AZ12" i="2"/>
  <c r="AZ13" i="2"/>
  <c r="AZ14" i="2"/>
  <c r="AY9" i="2"/>
  <c r="AY10" i="2"/>
  <c r="AY11" i="2"/>
  <c r="AY12" i="2"/>
  <c r="AY13" i="2"/>
  <c r="AY14" i="2"/>
  <c r="AX9" i="2"/>
  <c r="AX10" i="2"/>
  <c r="AX11" i="2"/>
  <c r="AX12" i="2"/>
  <c r="AX13" i="2"/>
  <c r="AX14" i="2"/>
  <c r="AW9" i="2"/>
  <c r="AW10" i="2"/>
  <c r="AW11" i="2"/>
  <c r="AW12" i="2"/>
  <c r="AW13" i="2"/>
  <c r="AW14" i="2"/>
  <c r="AV9" i="2"/>
  <c r="AV10" i="2"/>
  <c r="AV11" i="2"/>
  <c r="AV12" i="2"/>
  <c r="AV13" i="2"/>
  <c r="AV14" i="2"/>
  <c r="AV15" i="2"/>
  <c r="AV16" i="2"/>
  <c r="AV19" i="2"/>
  <c r="AY19" i="2" s="1"/>
  <c r="AU9" i="2"/>
  <c r="AU10" i="2"/>
  <c r="AU11" i="2"/>
  <c r="AU12" i="2"/>
  <c r="AU13" i="2"/>
  <c r="AU14" i="2"/>
  <c r="AF3" i="2"/>
  <c r="AF4" i="2"/>
  <c r="AF5" i="2"/>
  <c r="AF6" i="2"/>
  <c r="AF7" i="2"/>
  <c r="AF8" i="2"/>
  <c r="AF9" i="2"/>
  <c r="AF18" i="2"/>
  <c r="AV4" i="2"/>
  <c r="AZ17" i="2"/>
  <c r="AZ18" i="2"/>
  <c r="AZ19" i="2"/>
  <c r="AZ20" i="2"/>
  <c r="AZ21" i="2"/>
  <c r="AZ22" i="2"/>
  <c r="AZ23" i="2"/>
  <c r="AZ15" i="2"/>
  <c r="AV17" i="2"/>
  <c r="AY17" i="2" s="1"/>
  <c r="AV18" i="2"/>
  <c r="AY18" i="2" s="1"/>
  <c r="AV20" i="2"/>
  <c r="AY20" i="2" s="1"/>
  <c r="AV21" i="2"/>
  <c r="AY21" i="2" s="1"/>
  <c r="AV22" i="2"/>
  <c r="AW22" i="2" s="1"/>
  <c r="AV23" i="2"/>
  <c r="AY23" i="2" s="1"/>
  <c r="AU16" i="2"/>
  <c r="AU17" i="2"/>
  <c r="AU18" i="2"/>
  <c r="AU19" i="2"/>
  <c r="AU20" i="2"/>
  <c r="AU21" i="2"/>
  <c r="AU22" i="2"/>
  <c r="AU23" i="2"/>
  <c r="AU15" i="2"/>
  <c r="AZ16" i="2"/>
  <c r="AV5" i="2"/>
  <c r="AW23" i="2" l="1"/>
  <c r="AY16" i="2"/>
  <c r="AW21" i="2"/>
  <c r="AW19" i="2"/>
  <c r="AW17" i="2"/>
  <c r="BA17" i="2" s="1"/>
  <c r="BB17" i="2" s="1"/>
  <c r="AX22" i="2"/>
  <c r="AY22" i="2"/>
  <c r="AW20" i="2"/>
  <c r="BA20" i="2" s="1"/>
  <c r="BB20" i="2" s="1"/>
  <c r="AX21" i="2"/>
  <c r="AW18" i="2"/>
  <c r="BA18" i="2" s="1"/>
  <c r="BB18" i="2" s="1"/>
  <c r="AX19" i="2"/>
  <c r="AX20" i="2"/>
  <c r="AX18" i="2"/>
  <c r="AW16" i="2"/>
  <c r="AX17" i="2"/>
  <c r="AX16" i="2"/>
  <c r="AX23" i="2"/>
  <c r="BA23" i="2" s="1"/>
  <c r="BB23" i="2" s="1"/>
  <c r="BA21" i="2" l="1"/>
  <c r="BB21" i="2" s="1"/>
  <c r="BA22" i="2"/>
  <c r="BB22" i="2" s="1"/>
  <c r="BA19" i="2"/>
  <c r="BB19" i="2" s="1"/>
  <c r="BA16" i="2"/>
  <c r="BB16" i="2" s="1"/>
  <c r="AX15" i="2"/>
  <c r="AY15" i="2"/>
  <c r="AW15" i="2"/>
  <c r="BA15" i="2" l="1"/>
  <c r="BB15" i="2" s="1"/>
  <c r="AF11" i="2" l="1"/>
  <c r="AF12" i="2"/>
  <c r="AF13" i="2"/>
  <c r="AF14" i="2"/>
  <c r="AF15" i="2"/>
  <c r="AF16" i="2"/>
  <c r="AF17" i="2"/>
  <c r="AF10" i="2"/>
  <c r="L3" i="2"/>
  <c r="L34" i="2"/>
  <c r="L33" i="2"/>
  <c r="U32" i="2"/>
  <c r="V32" i="2" s="1"/>
  <c r="L32" i="2"/>
  <c r="U31" i="2"/>
  <c r="V31" i="2" s="1"/>
  <c r="L31" i="2"/>
  <c r="U30" i="2"/>
  <c r="V30" i="2" s="1"/>
  <c r="L30" i="2"/>
  <c r="U29" i="2"/>
  <c r="V29" i="2" s="1"/>
  <c r="L29" i="2"/>
  <c r="U28" i="2"/>
  <c r="V28" i="2" s="1"/>
  <c r="L28" i="2"/>
  <c r="U27" i="2"/>
  <c r="V27" i="2" s="1"/>
  <c r="L27" i="2"/>
  <c r="U26" i="2"/>
  <c r="V26" i="2" s="1"/>
  <c r="L26" i="2"/>
  <c r="U25" i="2"/>
  <c r="V25" i="2" s="1"/>
  <c r="L25" i="2"/>
  <c r="Y24" i="2"/>
  <c r="Z24" i="2" s="1"/>
  <c r="U24" i="2"/>
  <c r="V24" i="2" s="1"/>
  <c r="L24" i="2"/>
  <c r="Y23" i="2"/>
  <c r="Z23" i="2" s="1"/>
  <c r="U23" i="2"/>
  <c r="V23" i="2" s="1"/>
  <c r="L23" i="2"/>
  <c r="Y22" i="2"/>
  <c r="Z22" i="2" s="1"/>
  <c r="U22" i="2"/>
  <c r="V22" i="2" s="1"/>
  <c r="P22" i="2"/>
  <c r="L22" i="2"/>
  <c r="Y21" i="2"/>
  <c r="Z21" i="2" s="1"/>
  <c r="U21" i="2"/>
  <c r="V21" i="2" s="1"/>
  <c r="P21" i="2"/>
  <c r="L21" i="2"/>
  <c r="Y20" i="2"/>
  <c r="Z20" i="2" s="1"/>
  <c r="U20" i="2"/>
  <c r="V20" i="2" s="1"/>
  <c r="P20" i="2"/>
  <c r="L20" i="2"/>
  <c r="Y19" i="2"/>
  <c r="Z19" i="2" s="1"/>
  <c r="U19" i="2"/>
  <c r="V19" i="2" s="1"/>
  <c r="P19" i="2"/>
  <c r="L19" i="2"/>
  <c r="Y18" i="2"/>
  <c r="Z18" i="2" s="1"/>
  <c r="U18" i="2"/>
  <c r="V18" i="2" s="1"/>
  <c r="P18" i="2"/>
  <c r="L18" i="2"/>
  <c r="Y17" i="2"/>
  <c r="Z17" i="2" s="1"/>
  <c r="U17" i="2"/>
  <c r="V17" i="2" s="1"/>
  <c r="P17" i="2"/>
  <c r="L17" i="2"/>
  <c r="Y16" i="2"/>
  <c r="Z16" i="2" s="1"/>
  <c r="U16" i="2"/>
  <c r="V16" i="2" s="1"/>
  <c r="P16" i="2"/>
  <c r="Q16" i="2" s="1"/>
  <c r="L16" i="2"/>
  <c r="Y15" i="2"/>
  <c r="Z15" i="2" s="1"/>
  <c r="U15" i="2"/>
  <c r="V15" i="2" s="1"/>
  <c r="P15" i="2"/>
  <c r="L15" i="2"/>
  <c r="Y14" i="2"/>
  <c r="U14" i="2"/>
  <c r="V14" i="2" s="1"/>
  <c r="P14" i="2"/>
  <c r="L14" i="2"/>
  <c r="Y13" i="2"/>
  <c r="Z13" i="2" s="1"/>
  <c r="U13" i="2"/>
  <c r="V13" i="2" s="1"/>
  <c r="P13" i="2"/>
  <c r="L13" i="2"/>
  <c r="Y12" i="2"/>
  <c r="U12" i="2"/>
  <c r="V12" i="2" s="1"/>
  <c r="P12" i="2"/>
  <c r="L12" i="2"/>
  <c r="Y11" i="2"/>
  <c r="Z11" i="2" s="1"/>
  <c r="U11" i="2"/>
  <c r="V11" i="2" s="1"/>
  <c r="P11" i="2"/>
  <c r="L11" i="2"/>
  <c r="Y10" i="2"/>
  <c r="U10" i="2"/>
  <c r="V10" i="2" s="1"/>
  <c r="P10" i="2"/>
  <c r="Q10" i="2" s="1"/>
  <c r="L10" i="2"/>
  <c r="Y9" i="2"/>
  <c r="Z9" i="2" s="1"/>
  <c r="U9" i="2"/>
  <c r="V9" i="2" s="1"/>
  <c r="P9" i="2"/>
  <c r="Q9" i="2" s="1"/>
  <c r="L9" i="2"/>
  <c r="Y8" i="2"/>
  <c r="U8" i="2"/>
  <c r="P8" i="2"/>
  <c r="Q8" i="2" s="1"/>
  <c r="L8" i="2"/>
  <c r="K8" i="2"/>
  <c r="Y7" i="2"/>
  <c r="Z7" i="2" s="1"/>
  <c r="U7" i="2"/>
  <c r="P7" i="2"/>
  <c r="L7" i="2"/>
  <c r="Y6" i="2"/>
  <c r="U6" i="2"/>
  <c r="P6" i="2"/>
  <c r="L6" i="2"/>
  <c r="K6" i="2"/>
  <c r="Y5" i="2"/>
  <c r="Z5" i="2" s="1"/>
  <c r="U5" i="2"/>
  <c r="P5" i="2"/>
  <c r="L5" i="2"/>
  <c r="Y4" i="2"/>
  <c r="U4" i="2"/>
  <c r="P4" i="2"/>
  <c r="L4" i="2"/>
  <c r="Y3" i="2"/>
  <c r="Z3" i="2" s="1"/>
  <c r="U3" i="2"/>
  <c r="P3" i="2"/>
  <c r="F28" i="1"/>
  <c r="G13" i="1"/>
  <c r="G21" i="1"/>
  <c r="G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D14" i="1"/>
  <c r="F2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P22" i="1"/>
  <c r="P21" i="1"/>
  <c r="G14" i="1" s="1"/>
  <c r="Q12" i="2" l="1"/>
  <c r="Q13" i="2"/>
  <c r="Q19" i="2"/>
  <c r="Q21" i="2"/>
  <c r="Q6" i="2"/>
  <c r="Q3" i="2"/>
  <c r="Q5" i="2"/>
  <c r="Q22" i="2"/>
  <c r="Q7" i="2"/>
  <c r="Q14" i="2"/>
  <c r="Q18" i="2"/>
  <c r="Q11" i="2"/>
  <c r="Q20" i="2"/>
  <c r="Q15" i="2"/>
  <c r="Q4" i="2"/>
  <c r="Q17" i="2"/>
  <c r="V33" i="2"/>
  <c r="F19" i="1"/>
  <c r="G28" i="1"/>
  <c r="G20" i="1"/>
  <c r="F26" i="1"/>
  <c r="F18" i="1"/>
  <c r="G27" i="1"/>
  <c r="G19" i="1"/>
  <c r="F27" i="1"/>
  <c r="F25" i="1"/>
  <c r="F17" i="1"/>
  <c r="G26" i="1"/>
  <c r="G18" i="1"/>
  <c r="F24" i="1"/>
  <c r="F16" i="1"/>
  <c r="G25" i="1"/>
  <c r="G17" i="1"/>
  <c r="F23" i="1"/>
  <c r="F15" i="1"/>
  <c r="G24" i="1"/>
  <c r="G16" i="1"/>
  <c r="F14" i="1"/>
  <c r="G23" i="1"/>
  <c r="G15" i="1"/>
  <c r="F22" i="1"/>
  <c r="F21" i="1"/>
  <c r="F13" i="1"/>
  <c r="F12" i="1"/>
  <c r="G22" i="1"/>
</calcChain>
</file>

<file path=xl/sharedStrings.xml><?xml version="1.0" encoding="utf-8"?>
<sst xmlns="http://schemas.openxmlformats.org/spreadsheetml/2006/main" count="140" uniqueCount="111">
  <si>
    <t>DIPPR correlations are used for 6&lt;CN&lt;21</t>
  </si>
  <si>
    <t>GCVOL contribution method is used for the rest of carbon numbers</t>
  </si>
  <si>
    <t>DIPPR</t>
  </si>
  <si>
    <t>A</t>
  </si>
  <si>
    <t>B</t>
  </si>
  <si>
    <t>C</t>
  </si>
  <si>
    <t>D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</si>
  <si>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</si>
  <si>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</si>
  <si>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</si>
  <si>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</si>
  <si>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</si>
  <si>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</si>
  <si>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</si>
  <si>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</si>
  <si>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</si>
  <si>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</si>
  <si>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</si>
  <si>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</si>
  <si>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</si>
  <si>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</si>
  <si>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DIPPR Coefficients</t>
  </si>
  <si>
    <t>CN</t>
  </si>
  <si>
    <t>GCVOL</t>
  </si>
  <si>
    <t>Comp</t>
  </si>
  <si>
    <t>CH3</t>
  </si>
  <si>
    <t>CH2</t>
  </si>
  <si>
    <t>m3/Kmole</t>
  </si>
  <si>
    <t>GCVOL method</t>
  </si>
  <si>
    <t>Unit</t>
  </si>
  <si>
    <t>Model</t>
  </si>
  <si>
    <t>Temp[K]</t>
  </si>
  <si>
    <t>Exp*</t>
  </si>
  <si>
    <t>Richard et al</t>
  </si>
  <si>
    <t>Enthalpy of Transition</t>
  </si>
  <si>
    <t>CompNum</t>
  </si>
  <si>
    <t>Broadhurst(Exp)</t>
  </si>
  <si>
    <t>Corr_tot</t>
  </si>
  <si>
    <t>H_t2</t>
  </si>
  <si>
    <t>Inputs</t>
  </si>
  <si>
    <t>Enthalpy of Fusion</t>
  </si>
  <si>
    <t>Fusion Temperature</t>
  </si>
  <si>
    <t>Transition Temperature</t>
  </si>
  <si>
    <t xml:space="preserve">Description </t>
  </si>
  <si>
    <t>Symbol</t>
  </si>
  <si>
    <t>Source</t>
  </si>
  <si>
    <t>Component</t>
  </si>
  <si>
    <t>Corr</t>
  </si>
  <si>
    <t>Carbon number</t>
  </si>
  <si>
    <t xml:space="preserve">C1  </t>
  </si>
  <si>
    <t xml:space="preserve">C2  </t>
  </si>
  <si>
    <t>KJ/mol</t>
  </si>
  <si>
    <t xml:space="preserve">C3  </t>
  </si>
  <si>
    <t xml:space="preserve">iC4 </t>
  </si>
  <si>
    <t xml:space="preserve">Enthalpy of Vaporization </t>
  </si>
  <si>
    <t xml:space="preserve">C4  </t>
  </si>
  <si>
    <t>Sublimation Enthalpy</t>
  </si>
  <si>
    <t xml:space="preserve">iC5 </t>
  </si>
  <si>
    <t>K</t>
  </si>
  <si>
    <t xml:space="preserve">C5  </t>
  </si>
  <si>
    <t xml:space="preserve">C6  </t>
  </si>
  <si>
    <t xml:space="preserve">C7  </t>
  </si>
  <si>
    <t xml:space="preserve">C8  </t>
  </si>
  <si>
    <t xml:space="preserve">C9  </t>
  </si>
  <si>
    <t xml:space="preserve">C10 </t>
  </si>
  <si>
    <t xml:space="preserve">C11 </t>
  </si>
  <si>
    <t xml:space="preserve">C12 </t>
  </si>
  <si>
    <t xml:space="preserve">C13 </t>
  </si>
  <si>
    <t xml:space="preserve">C14 </t>
  </si>
  <si>
    <t xml:space="preserve">C15 </t>
  </si>
  <si>
    <t xml:space="preserve">C16 </t>
  </si>
  <si>
    <t xml:space="preserve">C17 </t>
  </si>
  <si>
    <t xml:space="preserve">C18 </t>
  </si>
  <si>
    <t xml:space="preserve">C19 </t>
  </si>
  <si>
    <t xml:space="preserve">C20 </t>
  </si>
  <si>
    <t xml:space="preserve">C21 </t>
  </si>
  <si>
    <t xml:space="preserve">C22 </t>
  </si>
  <si>
    <t>The Corr is good for odd carbon numbers and more than 10</t>
  </si>
  <si>
    <t xml:space="preserve">C23 </t>
  </si>
  <si>
    <t xml:space="preserve">C24 </t>
  </si>
  <si>
    <t xml:space="preserve">C25 </t>
  </si>
  <si>
    <t xml:space="preserve">C26 </t>
  </si>
  <si>
    <t xml:space="preserve">C27 </t>
  </si>
  <si>
    <t xml:space="preserve">C28 </t>
  </si>
  <si>
    <t xml:space="preserve">C29 </t>
  </si>
  <si>
    <t>C30</t>
  </si>
  <si>
    <t>C31+</t>
  </si>
  <si>
    <t>The Corr is good for odd carbon numbers and more than 8</t>
  </si>
  <si>
    <t>Coutinho</t>
  </si>
  <si>
    <t xml:space="preserve">Pitzer CSP </t>
  </si>
  <si>
    <t>DH (Kcal/mol)</t>
  </si>
  <si>
    <t>Check Crtitical Temperature</t>
  </si>
  <si>
    <t>Net</t>
  </si>
  <si>
    <t>b1</t>
  </si>
  <si>
    <t>b2</t>
  </si>
  <si>
    <t>b3</t>
  </si>
  <si>
    <t>b4</t>
  </si>
  <si>
    <t>Check Heat of Vaporiation</t>
  </si>
  <si>
    <t>b5</t>
  </si>
  <si>
    <t xml:space="preserve">Comp </t>
  </si>
  <si>
    <t>T [k]</t>
  </si>
  <si>
    <t>x</t>
  </si>
  <si>
    <t>DH*0</t>
  </si>
  <si>
    <t>DH*1</t>
  </si>
  <si>
    <t>DH*2</t>
  </si>
  <si>
    <t>Omega</t>
  </si>
  <si>
    <t>DH*</t>
  </si>
  <si>
    <t>DH</t>
  </si>
  <si>
    <t>b6</t>
  </si>
  <si>
    <t>till C100</t>
  </si>
  <si>
    <t>ERNST MORAWETZ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</si>
</sst>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vertical="center"/>
    </xf>
    <xf numFmtId="0" fontId="0" fillId="0" borderId="8" xfId="0" applyBorder="1"/>
    <xf numFmtId="0" fontId="4" fillId="0" borderId="8" xfId="0" applyFont="1" applyBorder="1" applyAlignment="1">
      <alignment horizontal="justify" vertic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/>
    <xf numFmtId="168" fontId="0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 applyFill="1"/>
    <xf numFmtId="0" fontId="0" fillId="3" borderId="1" xfId="0" applyFill="1" applyBorder="1"/>
    <xf numFmtId="0" fontId="0" fillId="3" borderId="17" xfId="0" applyFill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T=288.15K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DIPPR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'Molar volume'!$C$14:$C$27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'Molar volume'!$D$14:$D$27</c:f>
              <c:numCache>
                <c:formatCode>General</c:formatCode>
                <c:ptCount val="14"/>
                <c:pt idx="0">
                  <c:v>0.14522768653120147</c:v>
                </c:pt>
                <c:pt idx="1">
                  <c:v>0.16171877417487068</c:v>
                </c:pt>
                <c:pt idx="2">
                  <c:v>0.17742578753609281</c:v>
                </c:pt>
                <c:pt idx="3">
                  <c:v>0.19338620260164785</c:v>
                </c:pt>
                <c:pt idx="4">
                  <c:v>0.21005269576624616</c:v>
                </c:pt>
                <c:pt idx="5">
                  <c:v>0.22648410317345632</c:v>
                </c:pt>
                <c:pt idx="6">
                  <c:v>0.24214513949963259</c:v>
                </c:pt>
                <c:pt idx="7">
                  <c:v>0.25961818594474118</c:v>
                </c:pt>
                <c:pt idx="8">
                  <c:v>0.27522904296156459</c:v>
                </c:pt>
                <c:pt idx="9">
                  <c:v>0.2915007007128958</c:v>
                </c:pt>
                <c:pt idx="10">
                  <c:v>0.30859500153187513</c:v>
                </c:pt>
                <c:pt idx="11">
                  <c:v>0.32603804823182181</c:v>
                </c:pt>
                <c:pt idx="12">
                  <c:v>0.34143902837222212</c:v>
                </c:pt>
                <c:pt idx="13">
                  <c:v>0.35787467215481272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5-46E7-A9C3-0BB50E414733}"/>
            </c:ext>
          </c:extLst>
        </c:ser>
        <c:ser>
          <c:idx val="1"/>
          <c:order val="1"/>
          <c:tx>
            <c:v>GCVOL-Elbro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'Molar volume'!$C$12:$C$27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volume'!$F$12:$F$27</c:f>
              <c:numCache>
                <c:formatCode>General</c:formatCode>
                <c:ptCount val="16"/>
                <c:pt idx="0">
                  <c:v>0.113093259</c:v>
                </c:pt>
                <c:pt idx="1">
                  <c:v>0.12940662</c:v>
                </c:pt>
                <c:pt idx="2">
                  <c:v>0.14571998100000003</c:v>
                </c:pt>
                <c:pt idx="3">
                  <c:v>0.162033342</c:v>
                </c:pt>
                <c:pt idx="4">
                  <c:v>0.178346703</c:v>
                </c:pt>
                <c:pt idx="5">
                  <c:v>0.19466006399999999</c:v>
                </c:pt>
                <c:pt idx="6">
                  <c:v>0.21097342499999999</c:v>
                </c:pt>
                <c:pt idx="7">
                  <c:v>0.22728678600000002</c:v>
                </c:pt>
                <c:pt idx="8">
                  <c:v>0.24360014700000002</c:v>
                </c:pt>
                <c:pt idx="9">
                  <c:v>0.25991350799999996</c:v>
                </c:pt>
                <c:pt idx="10">
                  <c:v>0.27622686899999999</c:v>
                </c:pt>
                <c:pt idx="11">
                  <c:v>0.29254023000000001</c:v>
                </c:pt>
                <c:pt idx="12">
                  <c:v>0.30885359100000004</c:v>
                </c:pt>
                <c:pt idx="13">
                  <c:v>0.32516695200000006</c:v>
                </c:pt>
                <c:pt idx="14">
                  <c:v>0.34148031300000004</c:v>
                </c:pt>
                <c:pt idx="15">
                  <c:v>0.35779367400000001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85-46E7-A9C3-0BB50E41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58016"/>
        <c:axId val="702761296"/>
      </c:scatterChart>
      <c:scatterChart>
        <c:scatterStyle val="lineMarker"/>
        <c:varyColors val="0"/>
        <c:ser>
          <c:idx val="2"/>
          <c:order val="2"/>
          <c:tx>
            <c:v>Richard et al. (Exp)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'Molar volume'!$C$12:$C$27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volume'!$H$12:$H$19</c:f>
              <c:numCache>
                <c:formatCode>General</c:formatCode>
                <c:ptCount val="8"/>
                <c:pt idx="0">
                  <c:v>0.11427</c:v>
                </c:pt>
                <c:pt idx="1">
                  <c:v>0.12989200000000001</c:v>
                </c:pt>
                <c:pt idx="2">
                  <c:v>0.14574400000000001</c:v>
                </c:pt>
                <c:pt idx="3">
                  <c:v>0.16170699999999999</c:v>
                </c:pt>
                <c:pt idx="4">
                  <c:v>0.17780699999999999</c:v>
                </c:pt>
                <c:pt idx="5">
                  <c:v>0.19592400000000001</c:v>
                </c:pt>
                <c:pt idx="6">
                  <c:v>0.21022200000000002</c:v>
                </c:pt>
                <c:pt idx="7">
                  <c:v>0.24251400000000001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5-46E7-A9C3-0BB50E41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58016"/>
        <c:axId val="702761296"/>
      </c:scatterChart>
      <c:valAx>
        <c:axId val="702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9904054033527934"/>
              <c:y val="0.8249362925574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61296"/>
        <c:crosses val="autoZero"/>
        <c:crossBetween val="midCat"/>
      </c:valAx>
      <c:valAx>
        <c:axId val="70276129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m3/Kmole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5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T=298.15K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DIPPR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'Molar volume'!$C$14:$C$27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xVal>
          <c:yVal>
            <c:numRef>
              <c:f>'Molar volume'!$E$14:$E$27</c:f>
              <c:numCache>
                <c:formatCode>General</c:formatCode>
                <c:ptCount val="14"/>
                <c:pt idx="0">
                  <c:v>0.14701393785688166</c:v>
                </c:pt>
                <c:pt idx="1">
                  <c:v>0.16350662627537679</c:v>
                </c:pt>
                <c:pt idx="2">
                  <c:v>0.17931974876396312</c:v>
                </c:pt>
                <c:pt idx="3">
                  <c:v>0.19534232344589525</c:v>
                </c:pt>
                <c:pt idx="4">
                  <c:v>0.21208232938455038</c:v>
                </c:pt>
                <c:pt idx="5">
                  <c:v>0.22858288778353539</c:v>
                </c:pt>
                <c:pt idx="6">
                  <c:v>0.24444543099482788</c:v>
                </c:pt>
                <c:pt idx="7">
                  <c:v>0.26170865072967059</c:v>
                </c:pt>
                <c:pt idx="8">
                  <c:v>0.27767295755387461</c:v>
                </c:pt>
                <c:pt idx="9">
                  <c:v>0.29406420705051645</c:v>
                </c:pt>
                <c:pt idx="10">
                  <c:v>0.31112045627602736</c:v>
                </c:pt>
                <c:pt idx="11">
                  <c:v>0.32838336413854785</c:v>
                </c:pt>
                <c:pt idx="12">
                  <c:v>0.34414599366588139</c:v>
                </c:pt>
                <c:pt idx="13">
                  <c:v>0.36067710538840619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C-4EC5-AAA2-3C059D57FEB2}"/>
            </c:ext>
          </c:extLst>
        </c:ser>
        <c:ser>
          <c:idx val="1"/>
          <c:order val="1"/>
          <c:tx>
            <c:v>GCVOL-Elbro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'Molar volume'!$C$12:$C$27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volume'!$G$12:$G$27</c:f>
              <c:numCache>
                <c:formatCode>General</c:formatCode>
                <c:ptCount val="16"/>
                <c:pt idx="0">
                  <c:v>0.11400365899999999</c:v>
                </c:pt>
                <c:pt idx="1">
                  <c:v>0.13031702000000001</c:v>
                </c:pt>
                <c:pt idx="2">
                  <c:v>0.146630381</c:v>
                </c:pt>
                <c:pt idx="3">
                  <c:v>0.16294374199999997</c:v>
                </c:pt>
                <c:pt idx="4">
                  <c:v>0.179257103</c:v>
                </c:pt>
                <c:pt idx="5">
                  <c:v>0.19557046400000003</c:v>
                </c:pt>
                <c:pt idx="6">
                  <c:v>0.211883825</c:v>
                </c:pt>
                <c:pt idx="7">
                  <c:v>0.228197186</c:v>
                </c:pt>
                <c:pt idx="8">
                  <c:v>0.24451054700000002</c:v>
                </c:pt>
                <c:pt idx="9">
                  <c:v>0.26082390799999999</c:v>
                </c:pt>
                <c:pt idx="10">
                  <c:v>0.27713726900000002</c:v>
                </c:pt>
                <c:pt idx="11">
                  <c:v>0.29345062999999999</c:v>
                </c:pt>
                <c:pt idx="12">
                  <c:v>0.30976399100000002</c:v>
                </c:pt>
                <c:pt idx="13">
                  <c:v>0.32607735200000004</c:v>
                </c:pt>
                <c:pt idx="14">
                  <c:v>0.34239071300000001</c:v>
                </c:pt>
                <c:pt idx="15">
                  <c:v>0.35870407399999998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C-4EC5-AAA2-3C059D57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58016"/>
        <c:axId val="702761296"/>
      </c:scatterChart>
      <c:scatterChart>
        <c:scatterStyle val="lineMarker"/>
        <c:varyColors val="0"/>
        <c:ser>
          <c:idx val="2"/>
          <c:order val="2"/>
          <c:tx>
            <c:v>Ricahrd et 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'Molar volume'!$C$12:$C$27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'Molar volume'!$I$12:$I$19</c:f>
              <c:numCache>
                <c:formatCode>General</c:formatCode>
                <c:ptCount val="8"/>
                <c:pt idx="0">
                  <c:v>0.11599899999999999</c:v>
                </c:pt>
                <c:pt idx="1">
                  <c:v>0.13150100000000001</c:v>
                </c:pt>
                <c:pt idx="2">
                  <c:v>0.14746700000000001</c:v>
                </c:pt>
                <c:pt idx="3">
                  <c:v>0.16347500000000001</c:v>
                </c:pt>
                <c:pt idx="4">
                  <c:v>0.17963699999999999</c:v>
                </c:pt>
                <c:pt idx="5">
                  <c:v>0.19592400000000001</c:v>
                </c:pt>
                <c:pt idx="6">
                  <c:v>0.21222900000000003</c:v>
                </c:pt>
                <c:pt idx="7">
                  <c:v>0.24479100000000001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C-4EC5-AAA2-3C059D57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58016"/>
        <c:axId val="702761296"/>
      </c:scatterChart>
      <c:valAx>
        <c:axId val="7027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9904054033527934"/>
              <c:y val="0.8249362925574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61296"/>
        <c:crosses val="autoZero"/>
        <c:crossBetween val="midCat"/>
      </c:valAx>
      <c:valAx>
        <c:axId val="70276129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m3/Kmole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275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Enthalpy of 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Properties'!$J$13:$J$34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Properties'!$L$13:$L$34</c:f>
              <c:numCache>
                <c:formatCode>General</c:formatCode>
                <c:ptCount val="22"/>
                <c:pt idx="0">
                  <c:v>15.128350000000005</c:v>
                </c:pt>
                <c:pt idx="1">
                  <c:v>18.976000000000006</c:v>
                </c:pt>
                <c:pt idx="2">
                  <c:v>22.561450000000001</c:v>
                </c:pt>
                <c:pt idx="3">
                  <c:v>25.906000000000013</c:v>
                </c:pt>
                <c:pt idx="4">
                  <c:v>29.030950000000004</c:v>
                </c:pt>
                <c:pt idx="5">
                  <c:v>31.957600000000006</c:v>
                </c:pt>
                <c:pt idx="6">
                  <c:v>34.707250000000009</c:v>
                </c:pt>
                <c:pt idx="7">
                  <c:v>37.301200000000001</c:v>
                </c:pt>
                <c:pt idx="8">
                  <c:v>39.760750000000023</c:v>
                </c:pt>
                <c:pt idx="9">
                  <c:v>42.107200000000013</c:v>
                </c:pt>
                <c:pt idx="10">
                  <c:v>44.361849999999997</c:v>
                </c:pt>
                <c:pt idx="11">
                  <c:v>46.546000000000014</c:v>
                </c:pt>
                <c:pt idx="12">
                  <c:v>48.680949999999989</c:v>
                </c:pt>
                <c:pt idx="13">
                  <c:v>50.788000000000004</c:v>
                </c:pt>
                <c:pt idx="14">
                  <c:v>52.888449999999999</c:v>
                </c:pt>
                <c:pt idx="15">
                  <c:v>55.003600000000027</c:v>
                </c:pt>
                <c:pt idx="16">
                  <c:v>57.154750000000014</c:v>
                </c:pt>
                <c:pt idx="17">
                  <c:v>59.363199999999999</c:v>
                </c:pt>
                <c:pt idx="18">
                  <c:v>61.650249999999993</c:v>
                </c:pt>
                <c:pt idx="19">
                  <c:v>64.037200000000013</c:v>
                </c:pt>
                <c:pt idx="20">
                  <c:v>66.545350000000013</c:v>
                </c:pt>
                <c:pt idx="21">
                  <c:v>69.195999999999998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D-434F-8FB2-FA981AC1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scatterChart>
        <c:scatterStyle val="lineMarker"/>
        <c:varyColors val="0"/>
        <c:ser>
          <c:idx val="0"/>
          <c:order val="1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Properties'!$J$13:$J$34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Properties'!$K$13:$K$34</c:f>
              <c:numCache>
                <c:formatCode>General</c:formatCode>
                <c:ptCount val="22"/>
                <c:pt idx="0">
                  <c:v>15.468248000000001</c:v>
                </c:pt>
                <c:pt idx="1">
                  <c:v>28.714792000000003</c:v>
                </c:pt>
                <c:pt idx="2">
                  <c:v>22.179383999999999</c:v>
                </c:pt>
                <c:pt idx="3">
                  <c:v>36.835936000000004</c:v>
                </c:pt>
                <c:pt idx="4">
                  <c:v>28.501408000000001</c:v>
                </c:pt>
                <c:pt idx="5">
                  <c:v>45.070048</c:v>
                </c:pt>
                <c:pt idx="6">
                  <c:v>34.593312000000005</c:v>
                </c:pt>
                <c:pt idx="7">
                  <c:v>53.358552000000003</c:v>
                </c:pt>
                <c:pt idx="8">
                  <c:v>40.484384000000006</c:v>
                </c:pt>
                <c:pt idx="9">
                  <c:v>61.965040000000002</c:v>
                </c:pt>
                <c:pt idx="10">
                  <c:v>45.814799999999998</c:v>
                </c:pt>
                <c:pt idx="11">
                  <c:v>69.872799999999998</c:v>
                </c:pt>
                <c:pt idx="12">
                  <c:v>47.697600000000001</c:v>
                </c:pt>
                <c:pt idx="13">
                  <c:v>48.952799999999996</c:v>
                </c:pt>
                <c:pt idx="14">
                  <c:v>53.973600000000005</c:v>
                </c:pt>
                <c:pt idx="15">
                  <c:v>54.894080000000002</c:v>
                </c:pt>
                <c:pt idx="16">
                  <c:v>57.739200000000004</c:v>
                </c:pt>
                <c:pt idx="17">
                  <c:v>59.496480000000005</c:v>
                </c:pt>
                <c:pt idx="18">
                  <c:v>60.416960000000003</c:v>
                </c:pt>
                <c:pt idx="19">
                  <c:v>64.642799999999994</c:v>
                </c:pt>
                <c:pt idx="20">
                  <c:v>66.107200000000006</c:v>
                </c:pt>
                <c:pt idx="21">
                  <c:v>68.826800000000006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D-434F-8FB2-FA981AC1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valAx>
        <c:axId val="709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52672"/>
        <c:crosses val="autoZero"/>
        <c:crossBetween val="midCat"/>
      </c:valAx>
      <c:valAx>
        <c:axId val="709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of 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Properties'!$S$9:$S$32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'Thermo-phsyical Properties'!$U$9:$U$32</c:f>
              <c:numCache>
                <c:formatCode>General</c:formatCode>
                <c:ptCount val="24"/>
                <c:pt idx="0">
                  <c:v>177.973736274412</c:v>
                </c:pt>
                <c:pt idx="1">
                  <c:v>201.19274953860605</c:v>
                </c:pt>
                <c:pt idx="2">
                  <c:v>219.69195265139041</c:v>
                </c:pt>
                <c:pt idx="3">
                  <c:v>234.84760170300311</c:v>
                </c:pt>
                <c:pt idx="4">
                  <c:v>247.53630220767465</c:v>
                </c:pt>
                <c:pt idx="5">
                  <c:v>258.34571657172853</c:v>
                </c:pt>
                <c:pt idx="6">
                  <c:v>267.6861077836499</c:v>
                </c:pt>
                <c:pt idx="7">
                  <c:v>275.85349046112094</c:v>
                </c:pt>
                <c:pt idx="8">
                  <c:v>283.06736725585898</c:v>
                </c:pt>
                <c:pt idx="9">
                  <c:v>289.49430239077606</c:v>
                </c:pt>
                <c:pt idx="10">
                  <c:v>295.26320603609548</c:v>
                </c:pt>
                <c:pt idx="11">
                  <c:v>300.47556293795901</c:v>
                </c:pt>
                <c:pt idx="12">
                  <c:v>305.2124668838228</c:v>
                </c:pt>
                <c:pt idx="13">
                  <c:v>309.53957474724734</c:v>
                </c:pt>
                <c:pt idx="14">
                  <c:v>313.51066899806438</c:v>
                </c:pt>
                <c:pt idx="15">
                  <c:v>317.17026738343924</c:v>
                </c:pt>
                <c:pt idx="16">
                  <c:v>320.55556645194906</c:v>
                </c:pt>
                <c:pt idx="17">
                  <c:v>323.69791059125657</c:v>
                </c:pt>
                <c:pt idx="18">
                  <c:v>326.62391739169277</c:v>
                </c:pt>
                <c:pt idx="19">
                  <c:v>329.35635028217769</c:v>
                </c:pt>
                <c:pt idx="20">
                  <c:v>331.91480273869979</c:v>
                </c:pt>
                <c:pt idx="21">
                  <c:v>334.31624022657201</c:v>
                </c:pt>
                <c:pt idx="22">
                  <c:v>336.57543348217479</c:v>
                </c:pt>
                <c:pt idx="23">
                  <c:v>338.70530791538323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1-42D3-B637-46921E3E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scatterChart>
        <c:scatterStyle val="lineMarker"/>
        <c:varyColors val="0"/>
        <c:ser>
          <c:idx val="0"/>
          <c:order val="1"/>
          <c:tx>
            <c:v>EXP data (Broadhurst)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Properties'!$S$9:$S$32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'Thermo-phsyical Properties'!$T$9:$T$32</c:f>
              <c:numCache>
                <c:formatCode>General</c:formatCode>
                <c:ptCount val="24"/>
                <c:pt idx="0">
                  <c:v>182.5</c:v>
                </c:pt>
                <c:pt idx="1">
                  <c:v>216.4</c:v>
                </c:pt>
                <c:pt idx="2">
                  <c:v>219.7</c:v>
                </c:pt>
                <c:pt idx="3">
                  <c:v>243.5</c:v>
                </c:pt>
                <c:pt idx="4">
                  <c:v>247.6</c:v>
                </c:pt>
                <c:pt idx="5">
                  <c:v>263.60000000000002</c:v>
                </c:pt>
                <c:pt idx="6">
                  <c:v>267.8</c:v>
                </c:pt>
                <c:pt idx="7">
                  <c:v>279</c:v>
                </c:pt>
                <c:pt idx="8">
                  <c:v>283.10000000000002</c:v>
                </c:pt>
                <c:pt idx="9">
                  <c:v>291.3</c:v>
                </c:pt>
                <c:pt idx="10">
                  <c:v>295.10000000000002</c:v>
                </c:pt>
                <c:pt idx="11">
                  <c:v>301.3</c:v>
                </c:pt>
                <c:pt idx="12">
                  <c:v>305.2</c:v>
                </c:pt>
                <c:pt idx="13">
                  <c:v>309.8</c:v>
                </c:pt>
                <c:pt idx="14">
                  <c:v>313.39999999999998</c:v>
                </c:pt>
                <c:pt idx="15">
                  <c:v>317.2</c:v>
                </c:pt>
                <c:pt idx="16">
                  <c:v>320.7</c:v>
                </c:pt>
                <c:pt idx="17">
                  <c:v>323.8</c:v>
                </c:pt>
                <c:pt idx="18">
                  <c:v>326.7</c:v>
                </c:pt>
                <c:pt idx="19">
                  <c:v>329.5</c:v>
                </c:pt>
                <c:pt idx="20">
                  <c:v>332</c:v>
                </c:pt>
                <c:pt idx="21">
                  <c:v>334.4</c:v>
                </c:pt>
                <c:pt idx="22">
                  <c:v>336.6</c:v>
                </c:pt>
                <c:pt idx="23">
                  <c:v>338.6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1-42D3-B637-46921E3E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valAx>
        <c:axId val="709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52672"/>
        <c:crosses val="autoZero"/>
        <c:crossBetween val="midCat"/>
      </c:valAx>
      <c:valAx>
        <c:axId val="709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Enthalpy of Solid-phase transition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Properties'!$N$3:$N$22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'Thermo-phsyical Properties'!$O$3:$O$22</c:f>
              <c:numCache>
                <c:formatCode>General</c:formatCode>
                <c:ptCount val="20"/>
                <c:pt idx="0">
                  <c:v>6.8575759999999999</c:v>
                </c:pt>
                <c:pt idx="2">
                  <c:v>7.6609040000000004</c:v>
                </c:pt>
                <c:pt idx="4">
                  <c:v>9.1671440000000004</c:v>
                </c:pt>
                <c:pt idx="6">
                  <c:v>11.06668</c:v>
                </c:pt>
                <c:pt idx="8">
                  <c:v>13.8072</c:v>
                </c:pt>
                <c:pt idx="10">
                  <c:v>15.480800000000002</c:v>
                </c:pt>
                <c:pt idx="11">
                  <c:v>28.20016</c:v>
                </c:pt>
                <c:pt idx="12">
                  <c:v>21.756800000000002</c:v>
                </c:pt>
                <c:pt idx="13">
                  <c:v>31.296320000000001</c:v>
                </c:pt>
                <c:pt idx="14">
                  <c:v>26.066320000000001</c:v>
                </c:pt>
                <c:pt idx="15">
                  <c:v>34.225119999999997</c:v>
                </c:pt>
                <c:pt idx="16">
                  <c:v>28.953279999999999</c:v>
                </c:pt>
                <c:pt idx="17">
                  <c:v>35.438480000000006</c:v>
                </c:pt>
                <c:pt idx="18">
                  <c:v>31.547360000000001</c:v>
                </c:pt>
                <c:pt idx="19">
                  <c:v>37.488640000000004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D-40CF-BFE4-D70375A2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scatterChart>
        <c:scatterStyle val="smoothMarker"/>
        <c:varyColors val="0"/>
        <c:ser>
          <c:idx val="0"/>
          <c:order val="1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Properties'!$N$3:$N$22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'Thermo-phsyical Properties'!$Q$3:$Q$22</c:f>
              <c:numCache>
                <c:formatCode>General</c:formatCode>
                <c:ptCount val="20"/>
                <c:pt idx="0">
                  <c:v>6.354650000000003</c:v>
                </c:pt>
                <c:pt idx="1">
                  <c:v>6.7891999999999868</c:v>
                </c:pt>
                <c:pt idx="2">
                  <c:v>7.4433499999999952</c:v>
                </c:pt>
                <c:pt idx="3">
                  <c:v>8.2957999999999927</c:v>
                </c:pt>
                <c:pt idx="4">
                  <c:v>9.3252499999999898</c:v>
                </c:pt>
                <c:pt idx="5">
                  <c:v>10.510399999999997</c:v>
                </c:pt>
                <c:pt idx="6">
                  <c:v>11.82994999999999</c:v>
                </c:pt>
                <c:pt idx="7">
                  <c:v>13.262599999999999</c:v>
                </c:pt>
                <c:pt idx="8">
                  <c:v>14.787050000000015</c:v>
                </c:pt>
                <c:pt idx="9">
                  <c:v>16.381999999999998</c:v>
                </c:pt>
                <c:pt idx="10">
                  <c:v>18.026150000000023</c:v>
                </c:pt>
                <c:pt idx="11">
                  <c:v>19.698200000000007</c:v>
                </c:pt>
                <c:pt idx="12">
                  <c:v>21.376850000000012</c:v>
                </c:pt>
                <c:pt idx="13">
                  <c:v>23.040799999999983</c:v>
                </c:pt>
                <c:pt idx="14">
                  <c:v>24.668749999999996</c:v>
                </c:pt>
                <c:pt idx="15">
                  <c:v>26.23940000000001</c:v>
                </c:pt>
                <c:pt idx="16">
                  <c:v>27.731450000000017</c:v>
                </c:pt>
                <c:pt idx="17">
                  <c:v>29.123599999999996</c:v>
                </c:pt>
                <c:pt idx="18">
                  <c:v>30.394549999999995</c:v>
                </c:pt>
                <c:pt idx="19">
                  <c:v>31.52300000000001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D-40CF-BFE4-D70375A2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valAx>
        <c:axId val="709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52672"/>
        <c:crosses val="autoZero"/>
        <c:crossBetween val="midCat"/>
      </c:valAx>
      <c:valAx>
        <c:axId val="709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5085541781237"/>
          <c:y val="0.47241460945623437"/>
          <c:w val="0.36420804316523869"/>
          <c:h val="0.17202987864746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Temperature of Solid-phase transition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Coutinho Correlation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Properties'!$W$3:$W$26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Properties'!$Y$3:$Y$26</c:f>
              <c:numCache>
                <c:formatCode>General</c:formatCode>
                <c:ptCount val="24"/>
                <c:pt idx="0">
                  <c:v>216.14320609714554</c:v>
                </c:pt>
                <c:pt idx="1">
                  <c:v>227.90416964089277</c:v>
                </c:pt>
                <c:pt idx="2">
                  <c:v>238.44718294290192</c:v>
                </c:pt>
                <c:pt idx="3">
                  <c:v>247.95294628174017</c:v>
                </c:pt>
                <c:pt idx="4">
                  <c:v>256.56782309791686</c:v>
                </c:pt>
                <c:pt idx="5">
                  <c:v>264.41167888824316</c:v>
                </c:pt>
                <c:pt idx="6">
                  <c:v>271.58365551849533</c:v>
                </c:pt>
                <c:pt idx="7">
                  <c:v>278.16649116667816</c:v>
                </c:pt>
                <c:pt idx="8">
                  <c:v>284.22979769854419</c:v>
                </c:pt>
                <c:pt idx="9">
                  <c:v>289.83257878984676</c:v>
                </c:pt>
                <c:pt idx="10">
                  <c:v>295.02518714208406</c:v>
                </c:pt>
                <c:pt idx="11">
                  <c:v>299.85086187297446</c:v>
                </c:pt>
                <c:pt idx="12">
                  <c:v>304.34694789488736</c:v>
                </c:pt>
                <c:pt idx="13">
                  <c:v>308.54587173862512</c:v>
                </c:pt>
                <c:pt idx="14">
                  <c:v>312.47592894409661</c:v>
                </c:pt>
                <c:pt idx="15">
                  <c:v>316.16192428830948</c:v>
                </c:pt>
                <c:pt idx="16">
                  <c:v>319.62569607550074</c:v>
                </c:pt>
                <c:pt idx="17">
                  <c:v>322.88654834458862</c:v>
                </c:pt>
                <c:pt idx="18">
                  <c:v>325.96160938464686</c:v>
                </c:pt>
                <c:pt idx="19">
                  <c:v>328.86613085680631</c:v>
                </c:pt>
                <c:pt idx="20">
                  <c:v>331.61373872766268</c:v>
                </c:pt>
                <c:pt idx="21">
                  <c:v>334.21664486063736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8-4ADA-BDA5-3167F630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scatterChart>
        <c:scatterStyle val="lineMarker"/>
        <c:varyColors val="0"/>
        <c:ser>
          <c:idx val="0"/>
          <c:order val="1"/>
          <c:tx>
            <c:v>Exp data (Broadhust)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Properties'!$W$3:$W$24</c:f>
              <c:numCache>
                <c:formatCode>General</c:formatCod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'Thermo-phsyical Properties'!$X$3:$X$24</c:f>
              <c:numCache>
                <c:formatCode>General</c:formatCode>
                <c:ptCount val="22"/>
                <c:pt idx="0">
                  <c:v>217.2</c:v>
                </c:pt>
                <c:pt idx="2">
                  <c:v>236.6</c:v>
                </c:pt>
                <c:pt idx="4">
                  <c:v>255</c:v>
                </c:pt>
                <c:pt idx="6">
                  <c:v>270.89999999999998</c:v>
                </c:pt>
                <c:pt idx="8">
                  <c:v>283.7</c:v>
                </c:pt>
                <c:pt idx="10">
                  <c:v>295.2</c:v>
                </c:pt>
                <c:pt idx="12">
                  <c:v>305.7</c:v>
                </c:pt>
                <c:pt idx="13">
                  <c:v>316.2</c:v>
                </c:pt>
                <c:pt idx="14">
                  <c:v>313.7</c:v>
                </c:pt>
                <c:pt idx="15">
                  <c:v>321.3</c:v>
                </c:pt>
                <c:pt idx="16">
                  <c:v>320.2</c:v>
                </c:pt>
                <c:pt idx="17">
                  <c:v>326.5</c:v>
                </c:pt>
                <c:pt idx="18">
                  <c:v>326.2</c:v>
                </c:pt>
                <c:pt idx="19">
                  <c:v>331.2</c:v>
                </c:pt>
                <c:pt idx="20">
                  <c:v>331.4</c:v>
                </c:pt>
                <c:pt idx="21">
                  <c:v>335.2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8-4ADA-BDA5-3167F630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48736"/>
        <c:axId val="709352672"/>
      </c:scatterChart>
      <c:valAx>
        <c:axId val="709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 Number</a:t>
                </a:r>
              </a:p>
            </c:rich>
          </c:tx>
          <c:layout>
            <c:manualLayout>
              <c:xMode val="edge"/>
              <c:yMode val="edge"/>
              <c:x val="0.45481009645945869"/>
              <c:y val="0.8305256612453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52672"/>
        <c:crosses val="autoZero"/>
        <c:crossBetween val="midCat"/>
      </c:valAx>
      <c:valAx>
        <c:axId val="709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Temperature,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K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934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63867348733074"/>
          <c:y val="0.37804623737101356"/>
          <c:w val="0.42883164264496387"/>
          <c:h val="0.1892148755378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at T=25C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890254077498"/>
          <c:y val="0.14396896911429269"/>
          <c:w val="0.84312133677023038"/>
          <c:h val="0.68367464516111287"/>
        </c:manualLayout>
      </c:layout>
      <c:scatterChart>
        <c:scatterStyle val="smoothMarker"/>
        <c:varyColors val="0"/>
        <c:ser>
          <c:idx val="0"/>
          <c:order val="0"/>
          <c:tx>
            <c:v>Pitzer CSP models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'Thermo-phsyical Properties'!$AT$9:$AT$31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</c:numCache>
            </c:numRef>
          </c:xVal>
          <c:yVal>
            <c:numRef>
              <c:f>'Thermo-phsyical Properties'!$BB$9:$BB$31</c:f>
              <c:numCache>
                <c:formatCode>General</c:formatCode>
                <c:ptCount val="23"/>
                <c:pt idx="0">
                  <c:v>21.63681138384003</c:v>
                </c:pt>
                <c:pt idx="1">
                  <c:v>26.934099908441254</c:v>
                </c:pt>
                <c:pt idx="2">
                  <c:v>31.948521033827106</c:v>
                </c:pt>
                <c:pt idx="3">
                  <c:v>36.854380823886686</c:v>
                </c:pt>
                <c:pt idx="4">
                  <c:v>41.7301153659362</c:v>
                </c:pt>
                <c:pt idx="5">
                  <c:v>46.613504841758406</c:v>
                </c:pt>
                <c:pt idx="6">
                  <c:v>51.522608142776534</c:v>
                </c:pt>
                <c:pt idx="7">
                  <c:v>61.443165380112333</c:v>
                </c:pt>
                <c:pt idx="8">
                  <c:v>66.455551050108014</c:v>
                </c:pt>
                <c:pt idx="9">
                  <c:v>71.499416991520263</c:v>
                </c:pt>
                <c:pt idx="10">
                  <c:v>76.570931288446275</c:v>
                </c:pt>
                <c:pt idx="11">
                  <c:v>81.665802405262596</c:v>
                </c:pt>
                <c:pt idx="12">
                  <c:v>86.779573360703083</c:v>
                </c:pt>
                <c:pt idx="13">
                  <c:v>91.907799346133856</c:v>
                </c:pt>
                <c:pt idx="14">
                  <c:v>97.046153546066378</c:v>
                </c:pt>
                <c:pt idx="15">
                  <c:v>102.1904880240667</c:v>
                </c:pt>
                <c:pt idx="16">
                  <c:v>132.97743469398904</c:v>
                </c:pt>
                <c:pt idx="17">
                  <c:v>143.13506486301517</c:v>
                </c:pt>
                <c:pt idx="18">
                  <c:v>153.20615310965806</c:v>
                </c:pt>
                <c:pt idx="19">
                  <c:v>158.20399051795746</c:v>
                </c:pt>
                <c:pt idx="20">
                  <c:v>163.17416832064706</c:v>
                </c:pt>
                <c:pt idx="21">
                  <c:v>168.1149514337279</c:v>
                </c:pt>
                <c:pt idx="22">
                  <c:v>173.02471803308154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C-4EE1-824C-EE1DABE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68576"/>
        <c:axId val="1008670872"/>
      </c:scatterChart>
      <c:scatterChart>
        <c:scatterStyle val="lineMarker"/>
        <c:varyColors val="0"/>
        <c:ser>
          <c:idx val="1"/>
          <c:order val="1"/>
          <c:tx>
            <c:v>Morawetz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'Thermo-phsyical Properties'!$AT$9:$AT$21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xVal>
          <c:yVal>
            <c:numRef>
              <c:f>'Thermo-phsyical Properties'!$BC$9:$BC$21</c:f>
              <c:numCache>
                <c:formatCode>General</c:formatCode>
                <c:ptCount val="13"/>
                <c:pt idx="0">
                  <c:v>20.604226415094331</c:v>
                </c:pt>
                <c:pt idx="1">
                  <c:v>26.130264150943379</c:v>
                </c:pt>
                <c:pt idx="2">
                  <c:v>30.708981132075454</c:v>
                </c:pt>
                <c:pt idx="3">
                  <c:v>36.235018867924545</c:v>
                </c:pt>
                <c:pt idx="4">
                  <c:v>40.971622641509434</c:v>
                </c:pt>
                <c:pt idx="5">
                  <c:v>46.181886792452822</c:v>
                </c:pt>
                <c:pt idx="6">
                  <c:v>50.444830188679227</c:v>
                </c:pt>
                <c:pt idx="7">
                  <c:v>60.375120000000003</c:v>
                </c:pt>
                <c:pt idx="8">
                  <c:v>65.437760000000011</c:v>
                </c:pt>
                <c:pt idx="9">
                  <c:v>70.165679999999995</c:v>
                </c:pt>
                <c:pt idx="10">
                  <c:v>75.27015999999999</c:v>
                </c:pt>
                <c:pt idx="11">
                  <c:v>80.458320000000001</c:v>
                </c:pt>
                <c:pt idx="12">
                  <c:v>84.307599999999994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C-4EE1-824C-EE1DABE1DBBC}"/>
            </c:ext>
          </c:extLst>
        </c:ser>
        <c:ser>
          <c:idx val="2"/>
          <c:order val="2"/>
          <c:tx>
            <c:v>Chickos et al.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19050">
                <a:solidFill>
                  <a:srgbClr val="7030A0"/>
                </a:solidFill>
              </a:ln>
              <a:effectLst/>
            </c:spPr>
          </c:marker>
          <c:xVal>
            <c:numRef>
              <c:f>'Thermo-phsyical Properties'!$AT$9:$AT$31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</c:numCache>
            </c:numRef>
          </c:xVal>
          <c:yVal>
            <c:numRef>
              <c:f>'Thermo-phsyical Properties'!$BD$9:$BD$31</c:f>
              <c:numCache>
                <c:formatCode>General</c:formatCode>
                <c:ptCount val="23"/>
                <c:pt idx="6">
                  <c:v>51.4</c:v>
                </c:pt>
                <c:pt idx="7">
                  <c:v>61.5</c:v>
                </c:pt>
                <c:pt idx="9">
                  <c:v>71.7</c:v>
                </c:pt>
                <c:pt idx="10">
                  <c:v>76.8</c:v>
                </c:pt>
                <c:pt idx="16">
                  <c:v>131.69999999999999</c:v>
                </c:pt>
                <c:pt idx="17">
                  <c:v>141.9</c:v>
                </c:pt>
                <c:pt idx="18">
                  <c:v>152.30000000000001</c:v>
                </c:pt>
                <c:pt idx="19">
                  <c:v>157.30000000000001</c:v>
                </c:pt>
                <c:pt idx="20">
                  <c:v>162.5</c:v>
                </c:pt>
                <c:pt idx="21">
                  <c:v>167.6</c:v>
                </c:pt>
                <c:pt idx="22">
                  <c:v>172.7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C-4EE1-824C-EE1DABE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68576"/>
        <c:axId val="1008670872"/>
      </c:scatterChart>
      <c:valAx>
        <c:axId val="10086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Carbon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8670872"/>
        <c:crosses val="autoZero"/>
        <c:crossBetween val="midCat"/>
      </c:valAx>
      <c:valAx>
        <c:axId val="10086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Heat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vaporization [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KJ/mole]</a:t>
                </a:r>
              </a:p>
            </c:rich>
          </c:tx>
          <c:layout>
            <c:manualLayout>
              <c:xMode val="edge"/>
              <c:yMode val="edge"/>
              <c:x val="1.1302572391089725E-2"/>
              <c:y val="0.1643859397641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8668576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71719764607758"/>
          <c:y val="0.47955292393844806"/>
          <c:w val="0.30792219779196972"/>
          <c:h val="0.26249535047131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11" Type="http://schemas.openxmlformats.org/officeDocument/2006/relationships/image" Target="../media/image9.png"/><Relationship Id="rId5" Type="http://schemas.openxmlformats.org/officeDocument/2006/relationships/chart" Target="../charts/chart5.xml"/><Relationship Id="rId15" Type="http://schemas.openxmlformats.org/officeDocument/2006/relationships/chart" Target="../charts/chart7.xml"/><Relationship Id="rId10" Type="http://schemas.openxmlformats.org/officeDocument/2006/relationships/image" Target="../media/image8.png"/><Relationship Id="rId4" Type="http://schemas.openxmlformats.org/officeDocument/2006/relationships/chart" Target="../charts/chart4.xml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22</xdr:row>
      <xdr:rowOff>114300</xdr:rowOff>
    </xdr:from>
    <xdr:to>
      <xdr:col>16</xdr:col>
      <xdr:colOff>380670</xdr:colOff>
      <xdr:row>27</xdr:row>
      <xdr:rowOff>152274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0D7146-7D72-4FA2-9414-6A3932B4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362450"/>
          <a:ext cx="2647619" cy="1009524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0</xdr:row>
      <xdr:rowOff>38100</xdr:rowOff>
    </xdr:from>
    <xdr:to>
      <xdr:col>23</xdr:col>
      <xdr:colOff>28217</xdr:colOff>
      <xdr:row>6</xdr:row>
      <xdr:rowOff>47479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E956EE3-5ADE-4945-AA2A-9EC2F6F6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1025" y="38100"/>
          <a:ext cx="2866667" cy="1171429"/>
        </a:xfrm>
        <a:prstGeom prst="rect">
          <a:avLst/>
        </a:prstGeom>
      </xdr:spPr>
    </xdr:pic>
    <xdr:clientData/>
  </xdr:twoCellAnchor>
  <xdr:twoCellAnchor>
    <xdr:from>
      <xdr:col>6</xdr:col>
      <xdr:colOff>551162</xdr:colOff>
      <xdr:row>35</xdr:row>
      <xdr:rowOff>157034</xdr:rowOff>
    </xdr:from>
    <xdr:to>
      <xdr:col>15</xdr:col>
      <xdr:colOff>931133</xdr:colOff>
      <xdr:row>55</xdr:row>
      <xdr:rowOff>1158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2D3ED5-49E1-47CF-A7DC-F02060C55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51487</xdr:colOff>
      <xdr:row>34</xdr:row>
      <xdr:rowOff>180203</xdr:rowOff>
    </xdr:from>
    <xdr:to>
      <xdr:col>26</xdr:col>
      <xdr:colOff>257691</xdr:colOff>
      <xdr:row>54</xdr:row>
      <xdr:rowOff>24327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0F9259-3287-4124-861F-F9C51CCE6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</xdr:row>
      <xdr:rowOff>7620</xdr:rowOff>
    </xdr:from>
    <xdr:ext cx="400687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2F236E-5C6B-47FC-AFDE-048D5862A5AC}"/>
                </a:ext>
              </a:extLst>
            </xdr:cNvPr>
            <xdr:cNvSpPr txBox="1"/>
          </xdr:nvSpPr>
          <xdr:spPr>
            <a:xfrm>
              <a:off x="1485900" y="779145"/>
              <a:ext cx="40068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𝑓𝑢𝑠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2F236E-5C6B-47FC-AFDE-048D5862A5AC}"/>
                </a:ext>
              </a:extLst>
            </xdr:cNvPr>
            <xdr:cNvSpPr txBox="1"/>
          </xdr:nvSpPr>
          <xdr:spPr>
            <a:xfrm>
              <a:off x="1485900" y="779145"/>
              <a:ext cx="40068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Δ_𝑓𝑢𝑠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</xdr:row>
      <xdr:rowOff>7620</xdr:rowOff>
    </xdr:from>
    <xdr:ext cx="328487" cy="1840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AF2C88-DE21-46A1-AF4C-A2261BF07638}"/>
                </a:ext>
              </a:extLst>
            </xdr:cNvPr>
            <xdr:cNvSpPr txBox="1"/>
          </xdr:nvSpPr>
          <xdr:spPr>
            <a:xfrm>
              <a:off x="1485900" y="398145"/>
              <a:ext cx="32848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AF2C88-DE21-46A1-AF4C-A2261BF07638}"/>
                </a:ext>
              </a:extLst>
            </xdr:cNvPr>
            <xdr:cNvSpPr txBox="1"/>
          </xdr:nvSpPr>
          <xdr:spPr>
            <a:xfrm>
              <a:off x="1485900" y="398145"/>
              <a:ext cx="32848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Δ_(𝑡_2 )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4</xdr:row>
      <xdr:rowOff>0</xdr:rowOff>
    </xdr:from>
    <xdr:ext cx="426142" cy="182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60EB1E-5E58-466D-AE94-90DCBF6170F8}"/>
                </a:ext>
              </a:extLst>
            </xdr:cNvPr>
            <xdr:cNvSpPr txBox="1"/>
          </xdr:nvSpPr>
          <xdr:spPr>
            <a:xfrm>
              <a:off x="1478280" y="1152525"/>
              <a:ext cx="426142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𝑉𝑎𝑝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660EB1E-5E58-466D-AE94-90DCBF6170F8}"/>
                </a:ext>
              </a:extLst>
            </xdr:cNvPr>
            <xdr:cNvSpPr txBox="1"/>
          </xdr:nvSpPr>
          <xdr:spPr>
            <a:xfrm>
              <a:off x="1478280" y="1152525"/>
              <a:ext cx="426142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Δ_𝑉𝑎𝑝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</xdr:row>
      <xdr:rowOff>0</xdr:rowOff>
    </xdr:from>
    <xdr:ext cx="4128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75D581-5D0D-4CCC-8355-CF81C9A36421}"/>
                </a:ext>
              </a:extLst>
            </xdr:cNvPr>
            <xdr:cNvSpPr txBox="1"/>
          </xdr:nvSpPr>
          <xdr:spPr>
            <a:xfrm>
              <a:off x="1447800" y="1343025"/>
              <a:ext cx="412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𝑆𝑢𝑏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75D581-5D0D-4CCC-8355-CF81C9A36421}"/>
                </a:ext>
              </a:extLst>
            </xdr:cNvPr>
            <xdr:cNvSpPr txBox="1"/>
          </xdr:nvSpPr>
          <xdr:spPr>
            <a:xfrm>
              <a:off x="1447800" y="1343025"/>
              <a:ext cx="412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Δ_𝑆𝑢𝑏 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6</xdr:row>
      <xdr:rowOff>15240</xdr:rowOff>
    </xdr:from>
    <xdr:ext cx="2114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98E513-E221-4143-B745-81CB120DED5A}"/>
                </a:ext>
              </a:extLst>
            </xdr:cNvPr>
            <xdr:cNvSpPr txBox="1"/>
          </xdr:nvSpPr>
          <xdr:spPr>
            <a:xfrm>
              <a:off x="1562100" y="1548765"/>
              <a:ext cx="21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B98E513-E221-4143-B745-81CB120DED5A}"/>
                </a:ext>
              </a:extLst>
            </xdr:cNvPr>
            <xdr:cNvSpPr txBox="1"/>
          </xdr:nvSpPr>
          <xdr:spPr>
            <a:xfrm>
              <a:off x="1562100" y="1548765"/>
              <a:ext cx="21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𝑇_𝑡2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106680</xdr:colOff>
      <xdr:row>7</xdr:row>
      <xdr:rowOff>0</xdr:rowOff>
    </xdr:from>
    <xdr:ext cx="278601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1023DB-780D-4C7C-85E1-B4644408536B}"/>
                </a:ext>
              </a:extLst>
            </xdr:cNvPr>
            <xdr:cNvSpPr txBox="1"/>
          </xdr:nvSpPr>
          <xdr:spPr>
            <a:xfrm>
              <a:off x="1554480" y="1724025"/>
              <a:ext cx="27860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𝑓𝑢𝑠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1023DB-780D-4C7C-85E1-B4644408536B}"/>
                </a:ext>
              </a:extLst>
            </xdr:cNvPr>
            <xdr:cNvSpPr txBox="1"/>
          </xdr:nvSpPr>
          <xdr:spPr>
            <a:xfrm>
              <a:off x="1554480" y="1724025"/>
              <a:ext cx="27860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𝑇_𝑓𝑢𝑠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106680</xdr:colOff>
      <xdr:row>0</xdr:row>
      <xdr:rowOff>182880</xdr:rowOff>
    </xdr:from>
    <xdr:ext cx="3677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85743CF-80F0-4A9F-99F2-E7AB2DACA5C8}"/>
                </a:ext>
              </a:extLst>
            </xdr:cNvPr>
            <xdr:cNvSpPr txBox="1"/>
          </xdr:nvSpPr>
          <xdr:spPr>
            <a:xfrm>
              <a:off x="5974080" y="182880"/>
              <a:ext cx="367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𝑌𝑎𝑤𝑠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85743CF-80F0-4A9F-99F2-E7AB2DACA5C8}"/>
                </a:ext>
              </a:extLst>
            </xdr:cNvPr>
            <xdr:cNvSpPr txBox="1"/>
          </xdr:nvSpPr>
          <xdr:spPr>
            <a:xfrm>
              <a:off x="5974080" y="182880"/>
              <a:ext cx="3677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𝑌𝑎𝑤𝑠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161925</xdr:colOff>
      <xdr:row>15</xdr:row>
      <xdr:rowOff>122213</xdr:rowOff>
    </xdr:from>
    <xdr:to>
      <xdr:col>5</xdr:col>
      <xdr:colOff>188595</xdr:colOff>
      <xdr:row>25</xdr:row>
      <xdr:rowOff>177164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754CDE-8A99-4DDD-B632-E834855A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989238"/>
          <a:ext cx="3989070" cy="1959951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34</xdr:row>
      <xdr:rowOff>76200</xdr:rowOff>
    </xdr:from>
    <xdr:to>
      <xdr:col>11</xdr:col>
      <xdr:colOff>289560</xdr:colOff>
      <xdr:row>37</xdr:row>
      <xdr:rowOff>45720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2B82F33-21C2-4B19-98EE-9D7101B2AA5C}"/>
            </a:ext>
          </a:extLst>
        </xdr:cNvPr>
        <xdr:cNvCxnSpPr/>
      </xdr:nvCxnSpPr>
      <xdr:spPr>
        <a:xfrm>
          <a:off x="8349615" y="6562725"/>
          <a:ext cx="7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289560</xdr:colOff>
      <xdr:row>22</xdr:row>
      <xdr:rowOff>7620</xdr:rowOff>
    </xdr:from>
    <xdr:to>
      <xdr:col>16</xdr:col>
      <xdr:colOff>297180</xdr:colOff>
      <xdr:row>24</xdr:row>
      <xdr:rowOff>160020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8A24D9B-4A4E-43B4-B2CF-7D400C92D7CE}"/>
            </a:ext>
          </a:extLst>
        </xdr:cNvPr>
        <xdr:cNvCxnSpPr/>
      </xdr:nvCxnSpPr>
      <xdr:spPr>
        <a:xfrm>
          <a:off x="11738610" y="4208145"/>
          <a:ext cx="762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27</xdr:row>
      <xdr:rowOff>145408</xdr:rowOff>
    </xdr:from>
    <xdr:to>
      <xdr:col>6</xdr:col>
      <xdr:colOff>28847</xdr:colOff>
      <xdr:row>36</xdr:row>
      <xdr:rowOff>45177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9390DD-9D81-42BE-BC78-DDC4CB233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98433"/>
          <a:ext cx="4600847" cy="1614269"/>
        </a:xfrm>
        <a:prstGeom prst="rect">
          <a:avLst/>
        </a:prstGeom>
      </xdr:spPr>
    </xdr:pic>
    <xdr:clientData/>
  </xdr:twoCellAnchor>
  <xdr:twoCellAnchor>
    <xdr:from>
      <xdr:col>12</xdr:col>
      <xdr:colOff>200025</xdr:colOff>
      <xdr:row>46</xdr:row>
      <xdr:rowOff>61912</xdr:rowOff>
    </xdr:from>
    <xdr:to>
      <xdr:col>19</xdr:col>
      <xdr:colOff>509587</xdr:colOff>
      <xdr:row>67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6E83796-6851-4559-9D4E-A2778DDB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</xdr:colOff>
      <xdr:row>45</xdr:row>
      <xdr:rowOff>142875</xdr:rowOff>
    </xdr:from>
    <xdr:to>
      <xdr:col>28</xdr:col>
      <xdr:colOff>395287</xdr:colOff>
      <xdr:row>67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247A24-1DE1-4C18-8C0E-601336E6C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219075</xdr:colOff>
      <xdr:row>24</xdr:row>
      <xdr:rowOff>114300</xdr:rowOff>
    </xdr:from>
    <xdr:to>
      <xdr:col>19</xdr:col>
      <xdr:colOff>528637</xdr:colOff>
      <xdr:row>45</xdr:row>
      <xdr:rowOff>185738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857CD0-6B91-474A-8814-90A5215DE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714375</xdr:colOff>
      <xdr:row>15</xdr:row>
      <xdr:rowOff>142875</xdr:rowOff>
    </xdr:from>
    <xdr:to>
      <xdr:col>28</xdr:col>
      <xdr:colOff>109537</xdr:colOff>
      <xdr:row>37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ECF93D-7064-48F4-8995-59B35F6D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36</xdr:col>
      <xdr:colOff>13464</xdr:colOff>
      <xdr:row>27</xdr:row>
      <xdr:rowOff>8622</xdr:rowOff>
    </xdr:from>
    <xdr:to>
      <xdr:col>43</xdr:col>
      <xdr:colOff>483327</xdr:colOff>
      <xdr:row>33</xdr:row>
      <xdr:rowOff>66380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87B47D-3034-49F2-B298-F563C6818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64" y="5047347"/>
          <a:ext cx="4737063" cy="1200758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10</xdr:row>
      <xdr:rowOff>43732</xdr:rowOff>
    </xdr:from>
    <xdr:to>
      <xdr:col>42</xdr:col>
      <xdr:colOff>164571</xdr:colOff>
      <xdr:row>11</xdr:row>
      <xdr:rowOff>42861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D0F6AA0-429D-4F8E-9810-E5AEFAC64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43957"/>
          <a:ext cx="3822171" cy="189629"/>
        </a:xfrm>
        <a:prstGeom prst="rect">
          <a:avLst/>
        </a:prstGeom>
      </xdr:spPr>
    </xdr:pic>
    <xdr:clientData/>
  </xdr:twoCellAnchor>
  <xdr:twoCellAnchor>
    <xdr:from>
      <xdr:col>37</xdr:col>
      <xdr:colOff>125895</xdr:colOff>
      <xdr:row>1</xdr:row>
      <xdr:rowOff>99390</xdr:rowOff>
    </xdr:from>
    <xdr:to>
      <xdr:col>37</xdr:col>
      <xdr:colOff>549964</xdr:colOff>
      <xdr:row>2</xdr:row>
      <xdr:rowOff>178904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A5316B2-24AD-4CE8-8CC8-DF8302A97EFA}"/>
                </a:ext>
              </a:extLst>
            </xdr:cNvPr>
            <xdr:cNvSpPr txBox="1"/>
          </xdr:nvSpPr>
          <xdr:spPr>
            <a:xfrm>
              <a:off x="735495" y="99390"/>
              <a:ext cx="424069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∗(0)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A5316B2-24AD-4CE8-8CC8-DF8302A97EFA}"/>
                </a:ext>
              </a:extLst>
            </xdr:cNvPr>
            <xdr:cNvSpPr txBox="1"/>
          </xdr:nvSpPr>
          <xdr:spPr>
            <a:xfrm>
              <a:off x="735495" y="99390"/>
              <a:ext cx="424069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Δ𝐻_𝑣^(∗(0))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38</xdr:col>
      <xdr:colOff>86139</xdr:colOff>
      <xdr:row>1</xdr:row>
      <xdr:rowOff>99391</xdr:rowOff>
    </xdr:from>
    <xdr:to>
      <xdr:col>38</xdr:col>
      <xdr:colOff>516835</xdr:colOff>
      <xdr:row>2</xdr:row>
      <xdr:rowOff>178905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0AB76E6-086F-49A0-9E90-FF91389DC878}"/>
                </a:ext>
              </a:extLst>
            </xdr:cNvPr>
            <xdr:cNvSpPr txBox="1"/>
          </xdr:nvSpPr>
          <xdr:spPr>
            <a:xfrm>
              <a:off x="1305339" y="9939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∗(1)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0AB76E6-086F-49A0-9E90-FF91389DC878}"/>
                </a:ext>
              </a:extLst>
            </xdr:cNvPr>
            <xdr:cNvSpPr txBox="1"/>
          </xdr:nvSpPr>
          <xdr:spPr>
            <a:xfrm>
              <a:off x="1305339" y="9939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Δ𝐻_𝑣^(∗(1))</a:t>
              </a:r>
              <a:endParaRPr lang="en-US" sz="900"/>
            </a:p>
          </xdr:txBody>
        </xdr:sp>
      </mc:Fallback>
    </mc:AlternateContent>
    <xdr:clientData/>
  </xdr:twoCellAnchor>
  <xdr:twoCellAnchor>
    <xdr:from>
      <xdr:col>39</xdr:col>
      <xdr:colOff>99391</xdr:colOff>
      <xdr:row>1</xdr:row>
      <xdr:rowOff>66261</xdr:rowOff>
    </xdr:from>
    <xdr:to>
      <xdr:col>39</xdr:col>
      <xdr:colOff>530087</xdr:colOff>
      <xdr:row>2</xdr:row>
      <xdr:rowOff>145775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F988ABE-A5E8-4973-AF59-196ECC338EF5}"/>
                </a:ext>
              </a:extLst>
            </xdr:cNvPr>
            <xdr:cNvSpPr txBox="1"/>
          </xdr:nvSpPr>
          <xdr:spPr>
            <a:xfrm>
              <a:off x="1928191" y="6626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0">
                        <a:latin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∗(2)</m:t>
                        </m:r>
                      </m:sup>
                    </m:sSubSup>
                  </m:oMath>
                </m:oMathPara>
              </a14:m>
              <a:endParaRPr lang="en-US" sz="9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F988ABE-A5E8-4973-AF59-196ECC338EF5}"/>
                </a:ext>
              </a:extLst>
            </xdr:cNvPr>
            <xdr:cNvSpPr txBox="1"/>
          </xdr:nvSpPr>
          <xdr:spPr>
            <a:xfrm>
              <a:off x="1928191" y="66261"/>
              <a:ext cx="430696" cy="27953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Δ𝐻_𝑣^(∗(2))</a:t>
              </a:r>
              <a:endParaRPr lang="en-US" sz="900"/>
            </a:p>
          </xdr:txBody>
        </xdr:sp>
      </mc:Fallback>
    </mc:AlternateContent>
    <xdr:clientData/>
  </xdr:twoCellAnchor>
  <xdr:twoCellAnchor editAs="oneCell">
    <xdr:from>
      <xdr:col>36</xdr:col>
      <xdr:colOff>0</xdr:colOff>
      <xdr:row>11</xdr:row>
      <xdr:rowOff>136701</xdr:rowOff>
    </xdr:from>
    <xdr:to>
      <xdr:col>40</xdr:col>
      <xdr:colOff>138018</xdr:colOff>
      <xdr:row>13</xdr:row>
      <xdr:rowOff>18566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E8DF81F-57A3-42A0-932D-5F1F34574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127426"/>
          <a:ext cx="2576418" cy="26286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13</xdr:row>
      <xdr:rowOff>1</xdr:rowOff>
    </xdr:from>
    <xdr:to>
      <xdr:col>37</xdr:col>
      <xdr:colOff>336247</xdr:colOff>
      <xdr:row>15</xdr:row>
      <xdr:rowOff>160979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6422B1-1895-4BAE-98AF-04EE1FEF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71726"/>
          <a:ext cx="945847" cy="541978"/>
        </a:xfrm>
        <a:prstGeom prst="rect">
          <a:avLst/>
        </a:prstGeom>
      </xdr:spPr>
    </xdr:pic>
    <xdr:clientData/>
  </xdr:twoCellAnchor>
  <xdr:twoCellAnchor editAs="oneCell">
    <xdr:from>
      <xdr:col>36</xdr:col>
      <xdr:colOff>265043</xdr:colOff>
      <xdr:row>15</xdr:row>
      <xdr:rowOff>81520</xdr:rowOff>
    </xdr:from>
    <xdr:to>
      <xdr:col>44</xdr:col>
      <xdr:colOff>335487</xdr:colOff>
      <xdr:row>17</xdr:row>
      <xdr:rowOff>85250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211A11-01D5-4D45-93BB-E2DEDEFEC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5043" y="2834245"/>
          <a:ext cx="4947244" cy="38473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17</xdr:row>
      <xdr:rowOff>167861</xdr:rowOff>
    </xdr:from>
    <xdr:to>
      <xdr:col>37</xdr:col>
      <xdr:colOff>33809</xdr:colOff>
      <xdr:row>19</xdr:row>
      <xdr:rowOff>36802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4360757-F7A3-42E5-9944-7DD19CD27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301586"/>
          <a:ext cx="643409" cy="249941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19</xdr:row>
      <xdr:rowOff>59634</xdr:rowOff>
    </xdr:from>
    <xdr:to>
      <xdr:col>39</xdr:col>
      <xdr:colOff>537522</xdr:colOff>
      <xdr:row>20</xdr:row>
      <xdr:rowOff>181726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7C19ABD-C061-4CD4-8631-2C74FCC3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3574359"/>
          <a:ext cx="2366322" cy="312592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133350</xdr:colOff>
      <xdr:row>27</xdr:row>
      <xdr:rowOff>28575</xdr:rowOff>
    </xdr:from>
    <xdr:to>
      <xdr:col>41</xdr:col>
      <xdr:colOff>389507</xdr:colOff>
      <xdr:row>31</xdr:row>
      <xdr:rowOff>66575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B4CF60-5B76-47D7-96E7-5626DE13E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21575" y="5238750"/>
          <a:ext cx="8142857" cy="800000"/>
        </a:xfrm>
        <a:prstGeom prst="rect">
          <a:avLst/>
        </a:prstGeom>
      </xdr:spPr>
    </xdr:pic>
    <xdr:clientData/>
  </xdr:twoCellAnchor>
  <xdr:twoCellAnchor>
    <xdr:from>
      <xdr:col>25</xdr:col>
      <xdr:colOff>466725</xdr:colOff>
      <xdr:row>9</xdr:row>
      <xdr:rowOff>123825</xdr:rowOff>
    </xdr:from>
    <xdr:to>
      <xdr:col>33</xdr:col>
      <xdr:colOff>433387</xdr:colOff>
      <xdr:row>26</xdr:row>
      <xdr:rowOff>157162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34A3A3-1424-4B70-AF5E-D971B9DA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s/OneDrive/Desktop/My%20Reserach/Flow%20Assurance/Themodynamical%20properties/File%20First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Oil Composition"/>
      <sheetName val="Molar Volume"/>
      <sheetName val="Sheet1"/>
      <sheetName val="Sheet2"/>
      <sheetName val="Sheet3"/>
    </sheetNames>
    <sheetDataSet>
      <sheetData sheetId="0">
        <row r="3">
          <cell r="W3">
            <v>9</v>
          </cell>
          <cell r="X3">
            <v>217.2</v>
          </cell>
          <cell r="Y3">
            <v>216.14320609714554</v>
          </cell>
        </row>
        <row r="4">
          <cell r="W4">
            <v>10</v>
          </cell>
          <cell r="Y4">
            <v>227.90416964089277</v>
          </cell>
        </row>
        <row r="5">
          <cell r="W5">
            <v>11</v>
          </cell>
          <cell r="X5">
            <v>236.6</v>
          </cell>
          <cell r="Y5">
            <v>238.44718294290192</v>
          </cell>
        </row>
        <row r="6">
          <cell r="W6">
            <v>12</v>
          </cell>
          <cell r="Y6">
            <v>247.95294628174017</v>
          </cell>
        </row>
        <row r="7">
          <cell r="W7">
            <v>13</v>
          </cell>
          <cell r="X7">
            <v>255</v>
          </cell>
          <cell r="Y7">
            <v>256.56782309791686</v>
          </cell>
        </row>
        <row r="8">
          <cell r="W8">
            <v>14</v>
          </cell>
          <cell r="Y8">
            <v>264.41167888824316</v>
          </cell>
        </row>
        <row r="9">
          <cell r="W9">
            <v>15</v>
          </cell>
          <cell r="X9">
            <v>270.89999999999998</v>
          </cell>
          <cell r="Y9">
            <v>271.58365551849533</v>
          </cell>
        </row>
        <row r="10">
          <cell r="W10">
            <v>16</v>
          </cell>
          <cell r="Y10">
            <v>278.16649116667816</v>
          </cell>
        </row>
        <row r="11">
          <cell r="W11">
            <v>17</v>
          </cell>
          <cell r="X11">
            <v>283.7</v>
          </cell>
          <cell r="Y11">
            <v>284.22979769854419</v>
          </cell>
        </row>
        <row r="12">
          <cell r="W12">
            <v>18</v>
          </cell>
          <cell r="Y12">
            <v>289.83257878984676</v>
          </cell>
        </row>
        <row r="13">
          <cell r="W13">
            <v>19</v>
          </cell>
          <cell r="X13">
            <v>295.2</v>
          </cell>
          <cell r="Y13">
            <v>295.02518714208406</v>
          </cell>
        </row>
        <row r="14">
          <cell r="W14">
            <v>20</v>
          </cell>
          <cell r="Y14">
            <v>299.85086187297446</v>
          </cell>
        </row>
        <row r="15">
          <cell r="W15">
            <v>21</v>
          </cell>
          <cell r="X15">
            <v>305.7</v>
          </cell>
          <cell r="Y15">
            <v>304.34694789488736</v>
          </cell>
        </row>
        <row r="16">
          <cell r="W16">
            <v>22</v>
          </cell>
          <cell r="X16">
            <v>316.2</v>
          </cell>
          <cell r="Y16">
            <v>308.54587173862512</v>
          </cell>
        </row>
        <row r="17">
          <cell r="W17">
            <v>23</v>
          </cell>
          <cell r="X17">
            <v>313.7</v>
          </cell>
          <cell r="Y17">
            <v>312.47592894409661</v>
          </cell>
        </row>
        <row r="18">
          <cell r="W18">
            <v>24</v>
          </cell>
          <cell r="X18">
            <v>321.3</v>
          </cell>
          <cell r="Y18">
            <v>316.16192428830948</v>
          </cell>
        </row>
        <row r="19">
          <cell r="W19">
            <v>25</v>
          </cell>
          <cell r="X19">
            <v>320.2</v>
          </cell>
          <cell r="Y19">
            <v>319.62569607550074</v>
          </cell>
        </row>
        <row r="20">
          <cell r="W20">
            <v>26</v>
          </cell>
          <cell r="X20">
            <v>326.5</v>
          </cell>
          <cell r="Y20">
            <v>322.88654834458862</v>
          </cell>
        </row>
        <row r="21">
          <cell r="W21">
            <v>27</v>
          </cell>
          <cell r="X21">
            <v>326.2</v>
          </cell>
          <cell r="Y21">
            <v>325.96160938464686</v>
          </cell>
        </row>
        <row r="22">
          <cell r="W22">
            <v>28</v>
          </cell>
          <cell r="X22">
            <v>331.2</v>
          </cell>
          <cell r="Y22">
            <v>328.86613085680631</v>
          </cell>
        </row>
        <row r="23">
          <cell r="W23">
            <v>29</v>
          </cell>
          <cell r="X23">
            <v>331.4</v>
          </cell>
          <cell r="Y23">
            <v>331.61373872766268</v>
          </cell>
        </row>
        <row r="24">
          <cell r="W24">
            <v>30</v>
          </cell>
          <cell r="X24">
            <v>335.2</v>
          </cell>
          <cell r="Y24">
            <v>334.21664486063736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6A80-8807-4648-9605-B815F75FFFEB}">
  <dimension ref="B1:S57"/>
  <sheetViews>
    <sheetView zoomScale="78" zoomScaleNormal="78" workbookViewId="0">
      <selection activeCell="W25" sqref="W25"/>
    </sheetView>
  </sheetViews>
  <sheetFormatPr defaultRowHeight="15" x14ac:dyDescent="0.25"/>
  <cols>
    <col min="4" max="7" width="12" bestFit="1" customWidth="1"/>
    <col min="8" max="9" width="10.28515625" bestFit="1" customWidth="1"/>
    <col min="10" max="10" width="12" customWidth="1"/>
    <col min="15" max="15" width="10.5703125" bestFit="1" customWidth="1"/>
    <col min="16" max="16" width="14.42578125" customWidth="1"/>
  </cols>
  <sheetData>
    <row r="1" spans="2:18" ht="15.75" thickBot="1" x14ac:dyDescent="0.3">
      <c r="N1" s="22" t="s">
        <v>21</v>
      </c>
      <c r="O1" s="23"/>
      <c r="P1" s="23"/>
      <c r="Q1" s="23"/>
      <c r="R1" s="24"/>
    </row>
    <row r="2" spans="2:18" x14ac:dyDescent="0.25">
      <c r="B2" s="4" t="s">
        <v>0</v>
      </c>
      <c r="C2" s="5"/>
      <c r="D2" s="5"/>
      <c r="E2" s="5"/>
      <c r="F2" s="5"/>
      <c r="G2" s="5"/>
      <c r="H2" s="6"/>
      <c r="N2" s="13"/>
      <c r="O2" s="12" t="s">
        <v>3</v>
      </c>
      <c r="P2" s="12" t="s">
        <v>4</v>
      </c>
      <c r="Q2" s="12" t="s">
        <v>5</v>
      </c>
      <c r="R2" s="14" t="s">
        <v>6</v>
      </c>
    </row>
    <row r="3" spans="2:18" ht="15.75" thickBot="1" x14ac:dyDescent="0.3">
      <c r="B3" s="7" t="s">
        <v>1</v>
      </c>
      <c r="C3" s="8"/>
      <c r="D3" s="8"/>
      <c r="E3" s="8"/>
      <c r="F3" s="8"/>
      <c r="G3" s="9"/>
      <c r="H3" s="10"/>
      <c r="N3" s="15" t="s">
        <v>7</v>
      </c>
      <c r="O3" s="11">
        <v>0.60340000000000005</v>
      </c>
      <c r="P3" s="11">
        <v>0.26019999999999999</v>
      </c>
      <c r="Q3" s="11">
        <v>540.26</v>
      </c>
      <c r="R3" s="16">
        <v>0.27910000000000001</v>
      </c>
    </row>
    <row r="4" spans="2:18" ht="15.75" thickBot="1" x14ac:dyDescent="0.3">
      <c r="N4" s="15" t="s">
        <v>8</v>
      </c>
      <c r="O4" s="11">
        <v>0.50863999999999998</v>
      </c>
      <c r="P4" s="11">
        <v>0.25475999999999999</v>
      </c>
      <c r="Q4" s="11">
        <v>568.83000000000004</v>
      </c>
      <c r="R4" s="16">
        <v>0.26939999999999997</v>
      </c>
    </row>
    <row r="5" spans="2:18" ht="15.75" thickBot="1" x14ac:dyDescent="0.3">
      <c r="C5" t="s">
        <v>30</v>
      </c>
      <c r="D5" t="s">
        <v>2</v>
      </c>
      <c r="E5" t="s">
        <v>2</v>
      </c>
      <c r="F5" t="s">
        <v>23</v>
      </c>
      <c r="G5" t="s">
        <v>23</v>
      </c>
      <c r="H5" s="29" t="s">
        <v>32</v>
      </c>
      <c r="I5" s="30" t="s">
        <v>32</v>
      </c>
      <c r="J5" s="31" t="s">
        <v>33</v>
      </c>
      <c r="N5" s="15" t="s">
        <v>9</v>
      </c>
      <c r="O5" s="11">
        <v>0.46554000000000001</v>
      </c>
      <c r="P5" s="11">
        <v>0.25556000000000001</v>
      </c>
      <c r="Q5" s="11">
        <v>595.65</v>
      </c>
      <c r="R5" s="16">
        <v>0.28570000000000001</v>
      </c>
    </row>
    <row r="6" spans="2:18" x14ac:dyDescent="0.25">
      <c r="C6" t="s">
        <v>29</v>
      </c>
      <c r="D6" s="1" t="s">
        <v>27</v>
      </c>
      <c r="E6" s="1"/>
      <c r="F6" s="1"/>
      <c r="G6" s="1"/>
      <c r="H6" s="1"/>
      <c r="I6" s="1"/>
      <c r="N6" s="15" t="s">
        <v>10</v>
      </c>
      <c r="O6" s="11">
        <v>0.41289999999999999</v>
      </c>
      <c r="P6" s="11">
        <v>0.25240000000000001</v>
      </c>
      <c r="Q6" s="11">
        <v>618.45000000000005</v>
      </c>
      <c r="R6" s="16">
        <v>0.28570000000000001</v>
      </c>
    </row>
    <row r="7" spans="2:18" x14ac:dyDescent="0.25">
      <c r="C7" t="s">
        <v>31</v>
      </c>
      <c r="D7">
        <v>288.14999999999998</v>
      </c>
      <c r="E7">
        <v>298.14999999999998</v>
      </c>
      <c r="F7">
        <v>288.14999999999998</v>
      </c>
      <c r="G7">
        <v>298.14999999999998</v>
      </c>
      <c r="H7">
        <v>288.14999999999998</v>
      </c>
      <c r="I7">
        <v>298.14999999999998</v>
      </c>
      <c r="J7" s="3"/>
      <c r="N7" s="15" t="s">
        <v>11</v>
      </c>
      <c r="O7" s="11">
        <v>0.37012</v>
      </c>
      <c r="P7" s="11">
        <v>0.24998999999999999</v>
      </c>
      <c r="Q7" s="11">
        <v>638.76</v>
      </c>
      <c r="R7" s="16">
        <v>0.28570000000000001</v>
      </c>
    </row>
    <row r="8" spans="2:18" x14ac:dyDescent="0.25">
      <c r="C8">
        <v>1</v>
      </c>
      <c r="I8" s="3"/>
      <c r="J8" s="3"/>
      <c r="N8" s="15" t="s">
        <v>12</v>
      </c>
      <c r="O8" s="11">
        <v>0.34599999999999997</v>
      </c>
      <c r="P8" s="11">
        <v>0.25180000000000002</v>
      </c>
      <c r="Q8" s="11">
        <v>658.2</v>
      </c>
      <c r="R8" s="16">
        <v>0.28960000000000002</v>
      </c>
    </row>
    <row r="9" spans="2:18" x14ac:dyDescent="0.25">
      <c r="C9">
        <v>2</v>
      </c>
      <c r="I9" s="3"/>
      <c r="N9" s="15" t="s">
        <v>13</v>
      </c>
      <c r="O9" s="11">
        <v>0.32279999999999998</v>
      </c>
      <c r="P9" s="11">
        <v>0.25040000000000001</v>
      </c>
      <c r="Q9" s="11">
        <v>675.8</v>
      </c>
      <c r="R9" s="16">
        <v>0.312</v>
      </c>
    </row>
    <row r="10" spans="2:18" x14ac:dyDescent="0.25">
      <c r="C10">
        <v>3</v>
      </c>
      <c r="N10" s="15" t="s">
        <v>14</v>
      </c>
      <c r="O10" s="11">
        <v>0.30381999999999998</v>
      </c>
      <c r="P10" s="11">
        <v>0.25588</v>
      </c>
      <c r="Q10" s="11">
        <v>692.4</v>
      </c>
      <c r="R10" s="16">
        <v>0.27300000000000002</v>
      </c>
    </row>
    <row r="11" spans="2:18" x14ac:dyDescent="0.25">
      <c r="C11">
        <v>4</v>
      </c>
      <c r="N11" s="15" t="s">
        <v>15</v>
      </c>
      <c r="O11" s="11">
        <v>0.28833999999999999</v>
      </c>
      <c r="P11" s="11">
        <v>0.25374999999999998</v>
      </c>
      <c r="Q11" s="11">
        <v>706.8</v>
      </c>
      <c r="R11" s="16">
        <v>0.31579000000000002</v>
      </c>
    </row>
    <row r="12" spans="2:18" x14ac:dyDescent="0.25">
      <c r="C12">
        <v>5</v>
      </c>
      <c r="F12">
        <f>(2*($O$21+$P$21*288.15)+(C12-2)*($O$22+$P$22*293.15))/1000</f>
        <v>0.113093259</v>
      </c>
      <c r="G12">
        <f>(2*($O$21+$P$21*298.15)+(C12-2)*($O$22+$P$22*293.15))/1000</f>
        <v>0.11400365899999999</v>
      </c>
      <c r="H12">
        <v>0.11427</v>
      </c>
      <c r="I12">
        <v>0.11599899999999999</v>
      </c>
      <c r="N12" s="15" t="s">
        <v>16</v>
      </c>
      <c r="O12" s="11">
        <v>0.27356000000000003</v>
      </c>
      <c r="P12" s="11">
        <v>0.25441999999999998</v>
      </c>
      <c r="Q12" s="11">
        <v>720.6</v>
      </c>
      <c r="R12" s="16">
        <v>0.32379999999999998</v>
      </c>
    </row>
    <row r="13" spans="2:18" x14ac:dyDescent="0.25">
      <c r="C13">
        <v>6</v>
      </c>
      <c r="F13">
        <f>(2*($O$21+$P$21*288.15)+(C13-2)*($O$22+$P$22*293.15))/1000</f>
        <v>0.12940662</v>
      </c>
      <c r="G13">
        <f>(2*($O$21+$P$21*298.15)+(C13-2)*($O$22+$P$22*293.15))/1000</f>
        <v>0.13031702000000001</v>
      </c>
      <c r="H13">
        <v>0.12989200000000001</v>
      </c>
      <c r="I13">
        <v>0.13150100000000001</v>
      </c>
      <c r="N13" s="15" t="s">
        <v>17</v>
      </c>
      <c r="O13" s="11">
        <v>0.25217000000000001</v>
      </c>
      <c r="P13" s="11">
        <v>0.25316</v>
      </c>
      <c r="Q13" s="11">
        <v>733.37</v>
      </c>
      <c r="R13" s="16">
        <v>0.30520000000000003</v>
      </c>
    </row>
    <row r="14" spans="2:18" x14ac:dyDescent="0.25">
      <c r="C14">
        <v>7</v>
      </c>
      <c r="D14">
        <f>(O3/(P3^(1+(1-288.15/Q3)^R3)))^(-1)</f>
        <v>0.14522768653120147</v>
      </c>
      <c r="E14">
        <f>(O3/(P3^(1+(1-298.15/Q3)^R3)))^(-1)</f>
        <v>0.14701393785688166</v>
      </c>
      <c r="F14">
        <f>(2*($O$21+$P$21*288.15)+(C14-2)*($O$22+$P$22*293.15))/1000</f>
        <v>0.14571998100000003</v>
      </c>
      <c r="G14">
        <f>(2*($O$21+$P$21*298.15)+(C14-2)*($O$22+$P$22*293.15))/1000</f>
        <v>0.146630381</v>
      </c>
      <c r="H14">
        <v>0.14574400000000001</v>
      </c>
      <c r="I14">
        <v>0.14746700000000001</v>
      </c>
      <c r="N14" s="15" t="s">
        <v>18</v>
      </c>
      <c r="O14" s="11">
        <v>0.24129999999999999</v>
      </c>
      <c r="P14" s="11">
        <v>0.25763000000000003</v>
      </c>
      <c r="Q14" s="11">
        <v>745.26</v>
      </c>
      <c r="R14" s="16">
        <v>0.27400000000000002</v>
      </c>
    </row>
    <row r="15" spans="2:18" x14ac:dyDescent="0.25">
      <c r="C15">
        <v>8</v>
      </c>
      <c r="D15">
        <f t="shared" ref="D15:D27" si="0">(O4/(P4^(1+(1-288.15/Q4)^R4)))^(-1)</f>
        <v>0.16171877417487068</v>
      </c>
      <c r="E15">
        <f>(O4/(P4^(1+(1-298.15/Q4)^R4)))^(-1)</f>
        <v>0.16350662627537679</v>
      </c>
      <c r="F15">
        <f>(2*($O$21+$P$21*288.15)+(C15-2)*($O$22+$P$22*293.15))/1000</f>
        <v>0.162033342</v>
      </c>
      <c r="G15">
        <f>(2*($O$21+$P$21*298.15)+(C15-2)*($O$22+$P$22*293.15))/1000</f>
        <v>0.16294374199999997</v>
      </c>
      <c r="H15">
        <v>0.16170699999999999</v>
      </c>
      <c r="I15">
        <v>0.16347500000000001</v>
      </c>
      <c r="N15" s="15" t="s">
        <v>19</v>
      </c>
      <c r="O15" s="11">
        <v>0.22147</v>
      </c>
      <c r="P15" s="11">
        <v>0.25012000000000001</v>
      </c>
      <c r="Q15" s="11">
        <v>755.93</v>
      </c>
      <c r="R15" s="16">
        <v>0.30649999999999999</v>
      </c>
    </row>
    <row r="16" spans="2:18" ht="15.75" thickBot="1" x14ac:dyDescent="0.3">
      <c r="C16">
        <v>9</v>
      </c>
      <c r="D16">
        <f t="shared" si="0"/>
        <v>0.17742578753609281</v>
      </c>
      <c r="E16">
        <f>(O5/(P5^(1+(1-298.15/Q5)^R5)))^(-1)</f>
        <v>0.17931974876396312</v>
      </c>
      <c r="F16">
        <f>(2*($O$21+$P$21*288.15)+(C16-2)*($O$22+$P$22*293.15))/1000</f>
        <v>0.178346703</v>
      </c>
      <c r="G16">
        <f>(2*($O$21+$P$21*298.15)+(C16-2)*($O$22+$P$22*293.15))/1000</f>
        <v>0.179257103</v>
      </c>
      <c r="H16">
        <v>0.17780699999999999</v>
      </c>
      <c r="I16">
        <v>0.17963699999999999</v>
      </c>
      <c r="N16" s="17" t="s">
        <v>20</v>
      </c>
      <c r="O16" s="18">
        <v>0.20966000000000001</v>
      </c>
      <c r="P16" s="18">
        <v>0.24934000000000001</v>
      </c>
      <c r="Q16" s="18">
        <v>767.04</v>
      </c>
      <c r="R16" s="19">
        <v>0.30880000000000002</v>
      </c>
    </row>
    <row r="17" spans="3:19" x14ac:dyDescent="0.25">
      <c r="C17">
        <v>10</v>
      </c>
      <c r="D17">
        <f t="shared" si="0"/>
        <v>0.19338620260164785</v>
      </c>
      <c r="E17">
        <f>(O6/(P6^(1+(1-298.15/Q6)^R6)))^(-1)</f>
        <v>0.19534232344589525</v>
      </c>
      <c r="F17">
        <f>(2*($O$21+$P$21*288.15)+(C17-2)*($O$22+$P$22*293.15))/1000</f>
        <v>0.19466006399999999</v>
      </c>
      <c r="G17">
        <f>(2*($O$21+$P$21*298.15)+(C17-2)*($O$22+$P$22*293.15))/1000</f>
        <v>0.19557046400000003</v>
      </c>
      <c r="H17">
        <v>0.19592400000000001</v>
      </c>
      <c r="I17">
        <v>0.19592400000000001</v>
      </c>
    </row>
    <row r="18" spans="3:19" x14ac:dyDescent="0.25">
      <c r="C18">
        <v>11</v>
      </c>
      <c r="D18">
        <f t="shared" si="0"/>
        <v>0.21005269576624616</v>
      </c>
      <c r="E18">
        <f>(O7/(P7^(1+(1-298.15/Q7)^R7)))^(-1)</f>
        <v>0.21208232938455038</v>
      </c>
      <c r="F18">
        <f>(2*($O$21+$P$21*288.15)+(C18-2)*($O$22+$P$22*293.15))/1000</f>
        <v>0.21097342499999999</v>
      </c>
      <c r="G18">
        <f>(2*($O$21+$P$21*298.15)+(C18-2)*($O$22+$P$22*293.15))/1000</f>
        <v>0.211883825</v>
      </c>
      <c r="H18">
        <v>0.21022200000000002</v>
      </c>
      <c r="I18">
        <v>0.21222900000000003</v>
      </c>
    </row>
    <row r="19" spans="3:19" x14ac:dyDescent="0.25">
      <c r="C19">
        <v>12</v>
      </c>
      <c r="D19">
        <f t="shared" si="0"/>
        <v>0.22648410317345632</v>
      </c>
      <c r="E19">
        <f>(O8/(P8^(1+(1-298.15/Q8)^R8)))^(-1)</f>
        <v>0.22858288778353539</v>
      </c>
      <c r="F19">
        <f>(2*($O$21+$P$21*288.15)+(C19-2)*($O$22+$P$22*293.15))/1000</f>
        <v>0.22728678600000002</v>
      </c>
      <c r="G19">
        <f>(2*($O$21+$P$21*298.15)+(C19-2)*($O$22+$P$22*293.15))/1000</f>
        <v>0.228197186</v>
      </c>
      <c r="H19">
        <v>0.24251400000000001</v>
      </c>
      <c r="I19">
        <v>0.24479100000000001</v>
      </c>
      <c r="N19" s="25" t="s">
        <v>28</v>
      </c>
      <c r="O19" s="25"/>
      <c r="P19" s="25"/>
      <c r="Q19" s="25"/>
    </row>
    <row r="20" spans="3:19" ht="15" customHeight="1" x14ac:dyDescent="0.25">
      <c r="C20">
        <v>13</v>
      </c>
      <c r="D20">
        <f t="shared" si="0"/>
        <v>0.24214513949963259</v>
      </c>
      <c r="E20">
        <f>(O9/(P9^(1+(1-298.15/Q9)^R9)))^(-1)</f>
        <v>0.24444543099482788</v>
      </c>
      <c r="F20">
        <f>(2*($O$21+$P$21*288.15)+(C20-2)*($O$22+$P$22*293.15))/1000</f>
        <v>0.24360014700000002</v>
      </c>
      <c r="G20">
        <f>(2*($O$21+$P$21*298.15)+(C20-2)*($O$22+$P$22*293.15))/1000</f>
        <v>0.24451054700000002</v>
      </c>
      <c r="M20" s="3"/>
      <c r="N20" s="26" t="s">
        <v>24</v>
      </c>
      <c r="O20" s="26" t="s">
        <v>3</v>
      </c>
      <c r="P20" s="26" t="s">
        <v>4</v>
      </c>
      <c r="Q20" s="26" t="s">
        <v>5</v>
      </c>
      <c r="R20" s="3"/>
      <c r="S20" s="3"/>
    </row>
    <row r="21" spans="3:19" ht="15" customHeight="1" x14ac:dyDescent="0.25">
      <c r="C21">
        <v>14</v>
      </c>
      <c r="D21">
        <f t="shared" si="0"/>
        <v>0.25961818594474118</v>
      </c>
      <c r="E21">
        <f>(O10/(P10^(1+(1-298.15/Q10)^R10)))^(-1)</f>
        <v>0.26170865072967059</v>
      </c>
      <c r="F21">
        <f>(2*($O$21+$P$21*288.15)+(C21-2)*($O$22+$P$22*293.15))/1000</f>
        <v>0.25991350799999996</v>
      </c>
      <c r="G21">
        <f>(2*($O$21+$P$21*298.15)+(C21-2)*($O$22+$P$22*293.15))/1000</f>
        <v>0.26082390799999999</v>
      </c>
      <c r="M21" s="3"/>
      <c r="N21" s="26" t="s">
        <v>25</v>
      </c>
      <c r="O21" s="27">
        <v>18.96</v>
      </c>
      <c r="P21" s="27">
        <f>45.52*0.001</f>
        <v>4.5520000000000005E-2</v>
      </c>
      <c r="Q21" s="27">
        <v>0</v>
      </c>
    </row>
    <row r="22" spans="3:19" ht="17.25" customHeight="1" x14ac:dyDescent="0.25">
      <c r="C22">
        <v>15</v>
      </c>
      <c r="D22">
        <f t="shared" si="0"/>
        <v>0.27522904296156459</v>
      </c>
      <c r="E22">
        <f>(O11/(P11^(1+(1-298.15/Q11)^R11)))^(-1)</f>
        <v>0.27767295755387461</v>
      </c>
      <c r="F22">
        <f>(2*($O$21+$P$21*288.15)+(C22-2)*($O$22+$P$22*293.15))/1000</f>
        <v>0.27622686899999999</v>
      </c>
      <c r="G22">
        <f>(2*($O$21+$P$21*298.15)+(C22-2)*($O$22+$P$22*293.15))/1000</f>
        <v>0.27713726900000002</v>
      </c>
      <c r="M22" s="3"/>
      <c r="N22" s="28" t="s">
        <v>26</v>
      </c>
      <c r="O22" s="27">
        <v>12.52</v>
      </c>
      <c r="P22" s="27">
        <f>12.94*0.001</f>
        <v>1.294E-2</v>
      </c>
      <c r="Q22" s="27">
        <v>0</v>
      </c>
    </row>
    <row r="23" spans="3:19" ht="16.5" customHeight="1" x14ac:dyDescent="0.25">
      <c r="C23">
        <v>16</v>
      </c>
      <c r="D23">
        <f t="shared" si="0"/>
        <v>0.2915007007128958</v>
      </c>
      <c r="E23">
        <f>(O12/(P12^(1+(1-298.15/Q12)^R12)))^(-1)</f>
        <v>0.29406420705051645</v>
      </c>
      <c r="F23">
        <f>(2*($O$21+$P$21*288.15)+(C23-2)*($O$22+$P$22*293.15))/1000</f>
        <v>0.29254023000000001</v>
      </c>
      <c r="G23">
        <f>(2*($O$21+$P$21*298.15)+(C23-2)*($O$22+$P$22*293.15))/1000</f>
        <v>0.29345062999999999</v>
      </c>
      <c r="M23" s="3"/>
      <c r="N23" s="20"/>
      <c r="O23" s="21"/>
      <c r="P23" s="21">
        <v>94</v>
      </c>
      <c r="Q23" s="21"/>
      <c r="R23" s="3"/>
      <c r="S23" s="3"/>
    </row>
    <row r="24" spans="3:19" x14ac:dyDescent="0.25">
      <c r="C24">
        <v>17</v>
      </c>
      <c r="D24">
        <f t="shared" si="0"/>
        <v>0.30859500153187513</v>
      </c>
      <c r="E24">
        <f>(O13/(P13^(1+(1-298.15/Q13)^R13)))^(-1)</f>
        <v>0.31112045627602736</v>
      </c>
      <c r="F24">
        <f>(2*($O$21+$P$21*288.15)+(C24-2)*($O$22+$P$22*293.15))/1000</f>
        <v>0.30885359100000004</v>
      </c>
      <c r="G24">
        <f>(2*($O$21+$P$21*298.15)+(C24-2)*($O$22+$P$22*293.15))/1000</f>
        <v>0.30976399100000002</v>
      </c>
      <c r="M24" s="3"/>
      <c r="N24" s="3"/>
      <c r="O24" s="3"/>
      <c r="P24" s="3"/>
      <c r="Q24" s="3"/>
      <c r="R24" s="3"/>
      <c r="S24" s="3"/>
    </row>
    <row r="25" spans="3:19" x14ac:dyDescent="0.25">
      <c r="C25">
        <v>18</v>
      </c>
      <c r="D25">
        <f t="shared" si="0"/>
        <v>0.32603804823182181</v>
      </c>
      <c r="E25">
        <f>(O14/(P14^(1+(1-298.15/Q14)^R14)))^(-1)</f>
        <v>0.32838336413854785</v>
      </c>
      <c r="F25">
        <f>(2*($O$21+$P$21*288.15)+(C25-2)*($O$22+$P$22*293.15))/1000</f>
        <v>0.32516695200000006</v>
      </c>
      <c r="G25">
        <f>(2*($O$21+$P$21*298.15)+(C25-2)*($O$22+$P$22*293.15))/1000</f>
        <v>0.32607735200000004</v>
      </c>
      <c r="M25" s="3"/>
      <c r="N25" s="3"/>
      <c r="O25" s="3"/>
      <c r="P25" s="3"/>
      <c r="Q25" s="3"/>
      <c r="R25" s="3"/>
      <c r="S25" s="3"/>
    </row>
    <row r="26" spans="3:19" x14ac:dyDescent="0.25">
      <c r="C26">
        <v>19</v>
      </c>
      <c r="D26">
        <f t="shared" si="0"/>
        <v>0.34143902837222212</v>
      </c>
      <c r="E26">
        <f>(O15/(P15^(1+(1-298.15/Q15)^R15)))^(-1)</f>
        <v>0.34414599366588139</v>
      </c>
      <c r="F26">
        <f>(2*($O$21+$P$21*288.15)+(C26-2)*($O$22+$P$22*293.15))/1000</f>
        <v>0.34148031300000004</v>
      </c>
      <c r="G26">
        <f>(2*($O$21+$P$21*298.15)+(C26-2)*($O$22+$P$22*293.15))/1000</f>
        <v>0.34239071300000001</v>
      </c>
      <c r="M26" s="3"/>
      <c r="N26" s="3"/>
      <c r="O26" s="3"/>
      <c r="P26" s="3"/>
      <c r="Q26" s="3"/>
      <c r="R26" s="3"/>
      <c r="S26" s="3"/>
    </row>
    <row r="27" spans="3:19" x14ac:dyDescent="0.25">
      <c r="C27">
        <v>20</v>
      </c>
      <c r="D27">
        <f t="shared" si="0"/>
        <v>0.35787467215481272</v>
      </c>
      <c r="E27">
        <f>(O16/(P16^(1+(1-298.15/Q16)^R16)))^(-1)</f>
        <v>0.36067710538840619</v>
      </c>
      <c r="F27">
        <f>(2*($O$21+$P$21*288.15)+(C27-2)*($O$22+$P$22*293.15))/1000</f>
        <v>0.35779367400000001</v>
      </c>
      <c r="G27">
        <f>(2*($O$21+$P$21*298.15)+(C27-2)*($O$22+$P$22*293.15))/1000</f>
        <v>0.35870407399999998</v>
      </c>
      <c r="M27" s="3"/>
      <c r="N27" s="3"/>
      <c r="O27" s="3"/>
      <c r="P27" s="3"/>
      <c r="Q27" s="3"/>
      <c r="R27" s="3"/>
      <c r="S27" s="3"/>
    </row>
    <row r="28" spans="3:19" x14ac:dyDescent="0.25">
      <c r="C28">
        <v>21</v>
      </c>
      <c r="F28">
        <f>(2*($O$21+$P$21*288.15)+(C28-2)*($O$22+$P$22*293.15))/1000</f>
        <v>0.37410703499999998</v>
      </c>
      <c r="G28">
        <f>(2*($O$21+$P$21*298.15)+(C28-2)*($O$22+$P$22*293.15))/1000</f>
        <v>0.37501743500000001</v>
      </c>
      <c r="M28" s="3"/>
      <c r="N28" s="3"/>
      <c r="O28" s="3"/>
      <c r="P28" s="3"/>
      <c r="Q28" s="3"/>
      <c r="R28" s="3"/>
      <c r="S28" s="3"/>
    </row>
    <row r="29" spans="3:19" x14ac:dyDescent="0.25">
      <c r="C29">
        <v>22</v>
      </c>
      <c r="M29" s="3"/>
      <c r="N29" s="3"/>
      <c r="O29" s="3"/>
      <c r="P29" s="3"/>
      <c r="Q29" s="3"/>
      <c r="R29" s="3"/>
      <c r="S29" s="3"/>
    </row>
    <row r="30" spans="3:19" x14ac:dyDescent="0.25">
      <c r="C30">
        <v>23</v>
      </c>
    </row>
    <row r="31" spans="3:19" x14ac:dyDescent="0.25">
      <c r="C31">
        <v>24</v>
      </c>
    </row>
    <row r="32" spans="3:19" x14ac:dyDescent="0.25">
      <c r="C32">
        <v>25</v>
      </c>
    </row>
    <row r="33" spans="3:3" x14ac:dyDescent="0.25">
      <c r="C33">
        <v>26</v>
      </c>
    </row>
    <row r="34" spans="3:3" x14ac:dyDescent="0.25">
      <c r="C34">
        <v>27</v>
      </c>
    </row>
    <row r="35" spans="3:3" x14ac:dyDescent="0.25">
      <c r="C35">
        <v>28</v>
      </c>
    </row>
    <row r="36" spans="3:3" x14ac:dyDescent="0.25">
      <c r="C36">
        <v>29</v>
      </c>
    </row>
    <row r="37" spans="3:3" x14ac:dyDescent="0.25">
      <c r="C37">
        <v>30</v>
      </c>
    </row>
    <row r="38" spans="3:3" x14ac:dyDescent="0.25">
      <c r="C38">
        <v>31</v>
      </c>
    </row>
    <row r="39" spans="3:3" x14ac:dyDescent="0.25">
      <c r="C39">
        <v>32</v>
      </c>
    </row>
    <row r="40" spans="3:3" x14ac:dyDescent="0.25">
      <c r="C40">
        <v>33</v>
      </c>
    </row>
    <row r="41" spans="3:3" x14ac:dyDescent="0.25">
      <c r="C41">
        <v>34</v>
      </c>
    </row>
    <row r="42" spans="3:3" x14ac:dyDescent="0.25">
      <c r="C42">
        <v>35</v>
      </c>
    </row>
    <row r="43" spans="3:3" x14ac:dyDescent="0.25">
      <c r="C43">
        <v>36</v>
      </c>
    </row>
    <row r="44" spans="3:3" x14ac:dyDescent="0.25">
      <c r="C44">
        <v>37</v>
      </c>
    </row>
    <row r="45" spans="3:3" x14ac:dyDescent="0.25">
      <c r="C45">
        <v>38</v>
      </c>
    </row>
    <row r="46" spans="3:3" x14ac:dyDescent="0.25">
      <c r="C46">
        <v>39</v>
      </c>
    </row>
    <row r="47" spans="3:3" x14ac:dyDescent="0.25">
      <c r="C47">
        <v>40</v>
      </c>
    </row>
    <row r="48" spans="3:3" x14ac:dyDescent="0.25">
      <c r="C48">
        <v>41</v>
      </c>
    </row>
    <row r="49" spans="3:3" x14ac:dyDescent="0.25">
      <c r="C49">
        <v>42</v>
      </c>
    </row>
    <row r="50" spans="3:3" x14ac:dyDescent="0.25">
      <c r="C50">
        <v>43</v>
      </c>
    </row>
    <row r="51" spans="3:3" x14ac:dyDescent="0.25">
      <c r="C51">
        <v>44</v>
      </c>
    </row>
    <row r="52" spans="3:3" x14ac:dyDescent="0.25">
      <c r="C52">
        <v>45</v>
      </c>
    </row>
    <row r="53" spans="3:3" x14ac:dyDescent="0.25">
      <c r="C53">
        <v>46</v>
      </c>
    </row>
    <row r="54" spans="3:3" x14ac:dyDescent="0.25">
      <c r="C54">
        <v>47</v>
      </c>
    </row>
    <row r="55" spans="3:3" x14ac:dyDescent="0.25">
      <c r="C55">
        <v>48</v>
      </c>
    </row>
    <row r="56" spans="3:3" x14ac:dyDescent="0.25">
      <c r="C56">
        <v>49</v>
      </c>
    </row>
    <row r="57" spans="3:3" x14ac:dyDescent="0.25">
      <c r="C57">
        <v>50</v>
      </c>
    </row>
  </sheetData>
  <mergeCells count="4">
    <mergeCell ref="B2:G2"/>
    <mergeCell ref="N1:R1"/>
    <mergeCell ref="N19:Q19"/>
    <mergeCell ref="D6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1F-6AD1-47CD-883F-724C380B53A2}">
  <dimension ref="A1:BD39"/>
  <sheetViews>
    <sheetView tabSelected="1" topLeftCell="T1" workbookViewId="0">
      <selection activeCell="AK3" sqref="AK3:AN9"/>
    </sheetView>
  </sheetViews>
  <sheetFormatPr defaultRowHeight="15" x14ac:dyDescent="0.25"/>
  <cols>
    <col min="1" max="1" width="21.7109375" bestFit="1" customWidth="1"/>
    <col min="4" max="4" width="10.28515625" bestFit="1" customWidth="1"/>
    <col min="8" max="8" width="11.42578125" customWidth="1"/>
    <col min="10" max="10" width="9.7109375" bestFit="1" customWidth="1"/>
    <col min="11" max="11" width="14.140625" bestFit="1" customWidth="1"/>
    <col min="15" max="15" width="14.140625" bestFit="1" customWidth="1"/>
    <col min="19" max="19" width="13.7109375" bestFit="1" customWidth="1"/>
    <col min="20" max="20" width="14.140625" bestFit="1" customWidth="1"/>
    <col min="32" max="32" width="17.7109375" bestFit="1" customWidth="1"/>
    <col min="54" max="54" width="9.140625" customWidth="1"/>
  </cols>
  <sheetData>
    <row r="1" spans="1:56" ht="15.75" thickBot="1" x14ac:dyDescent="0.3">
      <c r="A1" s="32" t="s">
        <v>39</v>
      </c>
      <c r="B1" s="33"/>
      <c r="C1" s="33"/>
      <c r="D1" s="33"/>
      <c r="E1" s="34"/>
      <c r="H1" s="32" t="s">
        <v>40</v>
      </c>
      <c r="I1" s="33"/>
      <c r="J1" s="33"/>
      <c r="K1" s="33"/>
      <c r="L1" s="34"/>
      <c r="M1" s="35"/>
      <c r="N1" s="32" t="s">
        <v>34</v>
      </c>
      <c r="O1" s="33"/>
      <c r="P1" s="33"/>
      <c r="Q1" s="34"/>
      <c r="S1" s="32" t="s">
        <v>41</v>
      </c>
      <c r="T1" s="33"/>
      <c r="U1" s="34"/>
      <c r="W1" s="32" t="s">
        <v>42</v>
      </c>
      <c r="X1" s="33"/>
      <c r="Y1" s="34"/>
      <c r="AD1" s="2"/>
      <c r="AE1" s="1" t="s">
        <v>110</v>
      </c>
      <c r="AF1" s="1"/>
    </row>
    <row r="2" spans="1:56" ht="15.75" thickBot="1" x14ac:dyDescent="0.3">
      <c r="A2" t="s">
        <v>43</v>
      </c>
      <c r="B2" t="s">
        <v>44</v>
      </c>
      <c r="C2" t="s">
        <v>29</v>
      </c>
      <c r="D2" t="s">
        <v>45</v>
      </c>
      <c r="H2" s="36" t="s">
        <v>46</v>
      </c>
      <c r="J2" t="s">
        <v>35</v>
      </c>
      <c r="K2" t="s">
        <v>36</v>
      </c>
      <c r="L2" t="s">
        <v>47</v>
      </c>
      <c r="N2" t="s">
        <v>35</v>
      </c>
      <c r="O2" t="s">
        <v>36</v>
      </c>
      <c r="P2" t="s">
        <v>37</v>
      </c>
      <c r="Q2" t="s">
        <v>38</v>
      </c>
      <c r="S2" t="s">
        <v>48</v>
      </c>
      <c r="T2" t="s">
        <v>36</v>
      </c>
      <c r="U2" t="s">
        <v>47</v>
      </c>
      <c r="W2" t="s">
        <v>48</v>
      </c>
      <c r="X2" t="s">
        <v>36</v>
      </c>
      <c r="Y2" t="s">
        <v>47</v>
      </c>
      <c r="AD2" t="s">
        <v>22</v>
      </c>
      <c r="AE2" t="s">
        <v>90</v>
      </c>
      <c r="AF2" t="s">
        <v>110</v>
      </c>
      <c r="AT2" s="32" t="s">
        <v>91</v>
      </c>
      <c r="AU2" s="33"/>
      <c r="AV2" s="34"/>
    </row>
    <row r="3" spans="1:56" ht="15.75" thickBot="1" x14ac:dyDescent="0.3">
      <c r="A3" t="s">
        <v>40</v>
      </c>
      <c r="C3" t="s">
        <v>51</v>
      </c>
      <c r="D3" t="s">
        <v>88</v>
      </c>
      <c r="H3" s="37" t="s">
        <v>49</v>
      </c>
      <c r="I3">
        <v>0.94099999999999995</v>
      </c>
      <c r="J3">
        <v>1</v>
      </c>
      <c r="K3">
        <v>0.94140000000000001</v>
      </c>
      <c r="L3">
        <f>0.00355*J3*J3*J3-0.2376*J3*J3+7.4*J3-34.814</f>
        <v>-27.648049999999998</v>
      </c>
      <c r="N3">
        <v>11</v>
      </c>
      <c r="O3">
        <v>6.8575759999999999</v>
      </c>
      <c r="P3">
        <f>3.7791*N3-12.654</f>
        <v>28.916100000000004</v>
      </c>
      <c r="Q3">
        <f>P3-L15</f>
        <v>6.354650000000003</v>
      </c>
      <c r="S3">
        <v>1</v>
      </c>
      <c r="T3">
        <v>90.67</v>
      </c>
      <c r="U3">
        <f>421.63-(421.63+1935991)*EXP(-7.8945*((S3-1)^0.07194))</f>
        <v>-1935991</v>
      </c>
      <c r="W3">
        <v>9</v>
      </c>
      <c r="X3">
        <v>217.2</v>
      </c>
      <c r="Y3">
        <f t="shared" ref="Y3:Y24" si="0">420.42-(420.42+134364)*EXP(-4.344*(W3+6.592)^0.14627)</f>
        <v>216.14320609714554</v>
      </c>
      <c r="Z3">
        <f>ABS(Y3-X3)/MIN(X3:Y3)*100</f>
        <v>0.4889322787131582</v>
      </c>
      <c r="AD3" s="44">
        <v>4</v>
      </c>
      <c r="AE3" s="44">
        <v>4.9245283018867898</v>
      </c>
      <c r="AF3">
        <f t="shared" ref="AF3:AF9" si="1">4.184*AE3</f>
        <v>20.604226415094331</v>
      </c>
      <c r="AT3" t="s">
        <v>24</v>
      </c>
      <c r="AU3" t="s">
        <v>92</v>
      </c>
      <c r="AV3" t="s">
        <v>47</v>
      </c>
    </row>
    <row r="4" spans="1:56" ht="15.75" thickBot="1" x14ac:dyDescent="0.3">
      <c r="A4" t="s">
        <v>34</v>
      </c>
      <c r="C4" t="s">
        <v>51</v>
      </c>
      <c r="D4" t="s">
        <v>88</v>
      </c>
      <c r="E4" s="38"/>
      <c r="H4" s="37" t="s">
        <v>50</v>
      </c>
      <c r="I4">
        <v>2.86</v>
      </c>
      <c r="J4">
        <v>2</v>
      </c>
      <c r="K4">
        <v>3.6124655999999997</v>
      </c>
      <c r="L4">
        <f>0.00355*J4*J4*J4-0.2376*J4*J4+7.4*J4-34.814</f>
        <v>-20.936</v>
      </c>
      <c r="N4">
        <v>12</v>
      </c>
      <c r="P4">
        <f t="shared" ref="P4:P22" si="2">3.7791*N4-12.654</f>
        <v>32.6952</v>
      </c>
      <c r="Q4">
        <f>P4-L16</f>
        <v>6.7891999999999868</v>
      </c>
      <c r="S4">
        <v>2</v>
      </c>
      <c r="T4">
        <v>89.88</v>
      </c>
      <c r="U4">
        <f>421.63-(421.63+1935991)*EXP(-7.8945*((S4-1)^0.07194))</f>
        <v>-300.24187120488216</v>
      </c>
      <c r="W4">
        <v>10</v>
      </c>
      <c r="Y4">
        <f t="shared" si="0"/>
        <v>227.90416964089277</v>
      </c>
      <c r="AD4" s="44">
        <v>5</v>
      </c>
      <c r="AE4" s="44">
        <v>6.2452830188679203</v>
      </c>
      <c r="AF4">
        <f t="shared" si="1"/>
        <v>26.130264150943379</v>
      </c>
      <c r="AK4" t="s">
        <v>93</v>
      </c>
      <c r="AL4">
        <v>5.2804000000000002</v>
      </c>
      <c r="AM4">
        <v>0.80022000000000004</v>
      </c>
      <c r="AN4">
        <v>7.2542999999999997</v>
      </c>
      <c r="AT4">
        <v>12</v>
      </c>
      <c r="AU4">
        <v>617</v>
      </c>
      <c r="AV4">
        <f>959.95-EXP(6.81536-0.211145*(AT4^(2/3)))</f>
        <v>658.48705193072715</v>
      </c>
      <c r="AW4" s="42"/>
    </row>
    <row r="5" spans="1:56" ht="15.75" thickBot="1" x14ac:dyDescent="0.3">
      <c r="A5" t="s">
        <v>54</v>
      </c>
      <c r="C5" t="s">
        <v>51</v>
      </c>
      <c r="D5" t="s">
        <v>89</v>
      </c>
      <c r="H5" s="37" t="s">
        <v>52</v>
      </c>
      <c r="I5">
        <v>3.524</v>
      </c>
      <c r="J5">
        <v>3</v>
      </c>
      <c r="K5">
        <v>3.5237647999999999</v>
      </c>
      <c r="L5">
        <f t="shared" ref="L5:L34" si="3">0.00355*J5*J5*J5-0.2376*J5*J5+7.4*J5-34.814</f>
        <v>-14.656549999999996</v>
      </c>
      <c r="N5">
        <v>13</v>
      </c>
      <c r="O5">
        <v>7.6609040000000004</v>
      </c>
      <c r="P5">
        <f t="shared" si="2"/>
        <v>36.474299999999999</v>
      </c>
      <c r="Q5">
        <f t="shared" ref="Q5:Q22" si="4">P5-L17</f>
        <v>7.4433499999999952</v>
      </c>
      <c r="S5">
        <v>3</v>
      </c>
      <c r="T5">
        <v>85.46</v>
      </c>
      <c r="U5">
        <f t="shared" ref="U5:U32" si="5">421.63-(421.63+1935991)*EXP(-7.8945*((S5-1)^0.07194))</f>
        <v>-60.497328288786832</v>
      </c>
      <c r="W5">
        <v>11</v>
      </c>
      <c r="X5">
        <v>236.6</v>
      </c>
      <c r="Y5">
        <f t="shared" si="0"/>
        <v>238.44718294290192</v>
      </c>
      <c r="Z5">
        <f t="shared" ref="Z5:Z24" si="6">ABS(Y5-X5)/MIN(X5:Y5)*100</f>
        <v>0.78071975608703459</v>
      </c>
      <c r="AD5" s="44">
        <v>6</v>
      </c>
      <c r="AE5" s="44">
        <v>7.3396226415094299</v>
      </c>
      <c r="AF5">
        <f t="shared" si="1"/>
        <v>30.708981132075454</v>
      </c>
      <c r="AK5" t="s">
        <v>94</v>
      </c>
      <c r="AL5">
        <v>12.865</v>
      </c>
      <c r="AM5">
        <v>273.23</v>
      </c>
      <c r="AN5">
        <v>-346.45</v>
      </c>
      <c r="AT5">
        <v>9</v>
      </c>
      <c r="AU5">
        <v>594.54999999999995</v>
      </c>
      <c r="AV5">
        <f>959.95-EXP(6.81536-0.211145*(AT5^(2/3)))</f>
        <v>594.25902599471533</v>
      </c>
      <c r="AW5" s="43"/>
    </row>
    <row r="6" spans="1:56" ht="15.75" thickBot="1" x14ac:dyDescent="0.3">
      <c r="A6" t="s">
        <v>56</v>
      </c>
      <c r="C6" t="s">
        <v>51</v>
      </c>
      <c r="D6" t="s">
        <v>88</v>
      </c>
      <c r="H6" s="39" t="s">
        <v>53</v>
      </c>
      <c r="I6" s="40">
        <v>4.54</v>
      </c>
      <c r="J6" s="41">
        <v>4</v>
      </c>
      <c r="K6" s="40">
        <f>I6</f>
        <v>4.54</v>
      </c>
      <c r="L6">
        <f t="shared" si="3"/>
        <v>-8.7883999999999993</v>
      </c>
      <c r="N6">
        <v>14</v>
      </c>
      <c r="P6">
        <f t="shared" si="2"/>
        <v>40.253399999999999</v>
      </c>
      <c r="Q6">
        <f t="shared" si="4"/>
        <v>8.2957999999999927</v>
      </c>
      <c r="S6">
        <v>4</v>
      </c>
      <c r="T6">
        <v>134.80000000000001</v>
      </c>
      <c r="U6">
        <f t="shared" si="5"/>
        <v>44.498580154523324</v>
      </c>
      <c r="W6">
        <v>12</v>
      </c>
      <c r="Y6">
        <f t="shared" si="0"/>
        <v>247.95294628174017</v>
      </c>
      <c r="AD6" s="44">
        <v>7</v>
      </c>
      <c r="AE6" s="44">
        <v>8.6603773584905692</v>
      </c>
      <c r="AF6">
        <f t="shared" si="1"/>
        <v>36.235018867924545</v>
      </c>
      <c r="AK6" t="s">
        <v>95</v>
      </c>
      <c r="AL6">
        <v>1.171</v>
      </c>
      <c r="AM6">
        <v>465.08</v>
      </c>
      <c r="AN6">
        <v>-610.48</v>
      </c>
    </row>
    <row r="7" spans="1:56" ht="15.75" thickBot="1" x14ac:dyDescent="0.3">
      <c r="A7" t="s">
        <v>42</v>
      </c>
      <c r="C7" t="s">
        <v>58</v>
      </c>
      <c r="D7" t="s">
        <v>88</v>
      </c>
      <c r="H7" s="39" t="s">
        <v>55</v>
      </c>
      <c r="I7" s="41">
        <v>4.66</v>
      </c>
      <c r="J7" s="41">
        <v>4</v>
      </c>
      <c r="K7" s="41">
        <v>4.6609760000000007</v>
      </c>
      <c r="L7">
        <f t="shared" si="3"/>
        <v>-8.7883999999999993</v>
      </c>
      <c r="N7">
        <v>15</v>
      </c>
      <c r="O7">
        <v>9.1671440000000004</v>
      </c>
      <c r="P7">
        <f t="shared" si="2"/>
        <v>44.032499999999999</v>
      </c>
      <c r="Q7">
        <f t="shared" si="4"/>
        <v>9.3252499999999898</v>
      </c>
      <c r="S7">
        <v>5</v>
      </c>
      <c r="T7">
        <v>143.4</v>
      </c>
      <c r="U7">
        <f t="shared" si="5"/>
        <v>106.20180196478515</v>
      </c>
      <c r="W7">
        <v>13</v>
      </c>
      <c r="X7">
        <v>255</v>
      </c>
      <c r="Y7">
        <f t="shared" si="0"/>
        <v>256.56782309791686</v>
      </c>
      <c r="Z7">
        <f t="shared" si="6"/>
        <v>0.61483258741837543</v>
      </c>
      <c r="AD7" s="44">
        <v>8</v>
      </c>
      <c r="AE7" s="44">
        <v>9.7924528301886795</v>
      </c>
      <c r="AF7">
        <f t="shared" si="1"/>
        <v>40.971622641509434</v>
      </c>
      <c r="AK7" t="s">
        <v>96</v>
      </c>
      <c r="AL7">
        <v>-13.116</v>
      </c>
      <c r="AM7">
        <v>-638.51</v>
      </c>
      <c r="AN7">
        <v>839.89</v>
      </c>
      <c r="AT7" s="32" t="s">
        <v>97</v>
      </c>
      <c r="AU7" s="33"/>
      <c r="AV7" s="34"/>
    </row>
    <row r="8" spans="1:56" x14ac:dyDescent="0.25">
      <c r="A8" t="s">
        <v>41</v>
      </c>
      <c r="C8" t="s">
        <v>58</v>
      </c>
      <c r="D8" t="s">
        <v>88</v>
      </c>
      <c r="H8" s="39" t="s">
        <v>57</v>
      </c>
      <c r="I8" s="40">
        <v>5.1559999999999997</v>
      </c>
      <c r="J8" s="41">
        <v>5</v>
      </c>
      <c r="K8" s="40">
        <f>I8</f>
        <v>5.1559999999999997</v>
      </c>
      <c r="L8">
        <f t="shared" si="3"/>
        <v>-3.3102499999999999</v>
      </c>
      <c r="N8">
        <v>16</v>
      </c>
      <c r="P8">
        <f>3.7791*N8-12.654</f>
        <v>47.811599999999999</v>
      </c>
      <c r="Q8">
        <f>P8-L20</f>
        <v>10.510399999999997</v>
      </c>
      <c r="S8">
        <v>6</v>
      </c>
      <c r="T8">
        <v>177.8</v>
      </c>
      <c r="U8">
        <f t="shared" si="5"/>
        <v>147.72517996167545</v>
      </c>
      <c r="W8">
        <v>14</v>
      </c>
      <c r="Y8">
        <f t="shared" si="0"/>
        <v>264.41167888824316</v>
      </c>
      <c r="AD8" s="44">
        <v>9</v>
      </c>
      <c r="AE8" s="44">
        <v>11.037735849056601</v>
      </c>
      <c r="AF8">
        <f t="shared" si="1"/>
        <v>46.181886792452822</v>
      </c>
      <c r="AK8" t="s">
        <v>98</v>
      </c>
      <c r="AL8">
        <v>0.48580000000000001</v>
      </c>
      <c r="AM8">
        <v>-145.12</v>
      </c>
      <c r="AN8">
        <v>160.05000000000001</v>
      </c>
      <c r="AT8" t="s">
        <v>99</v>
      </c>
      <c r="AU8" t="s">
        <v>100</v>
      </c>
      <c r="AV8" t="s">
        <v>101</v>
      </c>
      <c r="AW8" t="s">
        <v>102</v>
      </c>
      <c r="AX8" t="s">
        <v>103</v>
      </c>
      <c r="AY8" t="s">
        <v>104</v>
      </c>
      <c r="AZ8" t="s">
        <v>105</v>
      </c>
      <c r="BA8" t="s">
        <v>106</v>
      </c>
      <c r="BB8" t="s">
        <v>107</v>
      </c>
    </row>
    <row r="9" spans="1:56" x14ac:dyDescent="0.25">
      <c r="H9" s="37" t="s">
        <v>59</v>
      </c>
      <c r="I9">
        <v>8.4009999999999998</v>
      </c>
      <c r="J9">
        <v>5</v>
      </c>
      <c r="K9">
        <v>8.3931039999999992</v>
      </c>
      <c r="L9">
        <f t="shared" si="3"/>
        <v>-3.3102499999999999</v>
      </c>
      <c r="N9">
        <v>17</v>
      </c>
      <c r="O9">
        <v>11.06668</v>
      </c>
      <c r="P9">
        <f t="shared" si="2"/>
        <v>51.590700000000012</v>
      </c>
      <c r="Q9">
        <f>P9-L21</f>
        <v>11.82994999999999</v>
      </c>
      <c r="S9">
        <v>7</v>
      </c>
      <c r="T9">
        <v>182.5</v>
      </c>
      <c r="U9">
        <f t="shared" si="5"/>
        <v>177.973736274412</v>
      </c>
      <c r="V9">
        <f>ABS(U9-T9)/MIN(T9:U9)*100</f>
        <v>2.5432200392810174</v>
      </c>
      <c r="W9">
        <v>15</v>
      </c>
      <c r="X9">
        <v>270.89999999999998</v>
      </c>
      <c r="Y9">
        <f t="shared" si="0"/>
        <v>271.58365551849533</v>
      </c>
      <c r="Z9">
        <f t="shared" si="6"/>
        <v>0.25236453248259755</v>
      </c>
      <c r="AD9" s="44">
        <v>10</v>
      </c>
      <c r="AE9" s="44">
        <v>12.0566037735849</v>
      </c>
      <c r="AF9">
        <f t="shared" si="1"/>
        <v>50.444830188679227</v>
      </c>
      <c r="AG9">
        <v>51.4</v>
      </c>
      <c r="AK9" t="s">
        <v>108</v>
      </c>
      <c r="AL9">
        <v>-1.0880000000000001</v>
      </c>
      <c r="AM9">
        <v>74.049000000000007</v>
      </c>
      <c r="AN9">
        <v>-50.710999999999999</v>
      </c>
      <c r="AT9">
        <v>4</v>
      </c>
      <c r="AU9">
        <f t="shared" ref="AU9:AU14" si="7">273.15+25</f>
        <v>298.14999999999998</v>
      </c>
      <c r="AV9">
        <f>1-AU9/(959.95-EXP(6.81536-0.211145*(AT9^(2/3))))</f>
        <v>0.29746666261179977</v>
      </c>
      <c r="AW9">
        <f t="shared" ref="AW9:AW14" si="8">$AL$4*(AV9^0.333)+$AL$5*(AV9^0.8333)+$AL$6*(AV9^1.2083)+$AL$7*AV9+$AL$8*AV9*AV9+$AL$9*AV9*AV9*AV9</f>
        <v>4.5937842473295118</v>
      </c>
      <c r="AX9">
        <f t="shared" ref="AX9:AX14" si="9">$AM$4*AV9^0.333+$AM$5*AV9^0.8333+$AM$6*AV9^1.2083+$AM$7*AV9+$AM$8*AV9*AV9+$AM$9*AV9*AV9*AV9</f>
        <v>6.6579012821078027</v>
      </c>
      <c r="AY9">
        <f t="shared" ref="AY9:AY14" si="10">$AN$4*AV9^0.333+$AN$5*AV9^0.8333+$AN$6*AV9^1.2083+$AN$7*AV9+$AN$8*AV9*AV9+$AN$9*AV9*AV9*AV9</f>
        <v>0.30262439879450187</v>
      </c>
      <c r="AZ9">
        <f t="shared" ref="AZ9:AZ14" si="11">0.052075+0.0448946*AT9-0.000185397*AT9*AT9</f>
        <v>0.228687048</v>
      </c>
      <c r="BA9">
        <f t="shared" ref="BA9:BA14" si="12">AW9+AZ9*AX9+AY9*AZ9*AZ9</f>
        <v>6.1321866173808903</v>
      </c>
      <c r="BB9">
        <f t="shared" ref="BB9:BB15" si="13">8.314*(959.95-EXP(6.81536-0.211145*(AT9^(2/3))))*BA9/1000</f>
        <v>21.63681138384003</v>
      </c>
      <c r="BC9">
        <v>20.604226415094331</v>
      </c>
    </row>
    <row r="10" spans="1:56" x14ac:dyDescent="0.25">
      <c r="H10" s="37" t="s">
        <v>60</v>
      </c>
      <c r="I10">
        <v>13.079000000000001</v>
      </c>
      <c r="J10">
        <v>6</v>
      </c>
      <c r="K10">
        <v>13.028976</v>
      </c>
      <c r="L10">
        <f t="shared" si="3"/>
        <v>1.7992000000000061</v>
      </c>
      <c r="N10">
        <v>18</v>
      </c>
      <c r="P10">
        <f t="shared" si="2"/>
        <v>55.369800000000012</v>
      </c>
      <c r="Q10">
        <f t="shared" si="4"/>
        <v>13.262599999999999</v>
      </c>
      <c r="S10">
        <v>8</v>
      </c>
      <c r="T10">
        <v>216.4</v>
      </c>
      <c r="U10">
        <f t="shared" si="5"/>
        <v>201.19274953860605</v>
      </c>
      <c r="V10">
        <f t="shared" ref="V10:V32" si="14">ABS(U10-T10)/MIN(T10:U10)*100</f>
        <v>7.55854795775128</v>
      </c>
      <c r="W10">
        <v>16</v>
      </c>
      <c r="Y10">
        <f t="shared" si="0"/>
        <v>278.16649116667816</v>
      </c>
      <c r="AD10">
        <v>12</v>
      </c>
      <c r="AE10">
        <v>14.43</v>
      </c>
      <c r="AF10">
        <f>4.184*AE10</f>
        <v>60.375120000000003</v>
      </c>
      <c r="AG10">
        <v>61.5</v>
      </c>
      <c r="AT10">
        <v>5</v>
      </c>
      <c r="AU10">
        <f t="shared" si="7"/>
        <v>298.14999999999998</v>
      </c>
      <c r="AV10">
        <f t="shared" ref="AV10:AV15" si="15">1-AU10/(959.95-EXP(6.81536-0.211145*(AT10^(2/3))))</f>
        <v>0.36320094718680362</v>
      </c>
      <c r="AW10">
        <f t="shared" si="8"/>
        <v>4.8933402384829705</v>
      </c>
      <c r="AX10">
        <f t="shared" si="9"/>
        <v>7.347110738616399</v>
      </c>
      <c r="AY10">
        <f t="shared" si="10"/>
        <v>0.38073810436934519</v>
      </c>
      <c r="AZ10">
        <f t="shared" si="11"/>
        <v>0.271913075</v>
      </c>
      <c r="BA10">
        <f t="shared" si="12"/>
        <v>6.9192662385372898</v>
      </c>
      <c r="BB10">
        <f t="shared" si="13"/>
        <v>26.934099908441254</v>
      </c>
      <c r="BC10">
        <v>26.130264150943379</v>
      </c>
    </row>
    <row r="11" spans="1:56" x14ac:dyDescent="0.25">
      <c r="H11" s="37" t="s">
        <v>61</v>
      </c>
      <c r="I11">
        <v>14.03</v>
      </c>
      <c r="J11">
        <v>7</v>
      </c>
      <c r="K11">
        <v>14.033136000000001</v>
      </c>
      <c r="L11">
        <f>0.00355*J11*J11*J11-0.2376*J11*J11+7.4*J11-34.814</f>
        <v>6.5612500000000082</v>
      </c>
      <c r="N11">
        <v>19</v>
      </c>
      <c r="O11">
        <v>13.8072</v>
      </c>
      <c r="P11">
        <f t="shared" si="2"/>
        <v>59.148900000000012</v>
      </c>
      <c r="Q11">
        <f t="shared" si="4"/>
        <v>14.787050000000015</v>
      </c>
      <c r="S11">
        <v>9</v>
      </c>
      <c r="T11">
        <v>219.7</v>
      </c>
      <c r="U11">
        <f t="shared" si="5"/>
        <v>219.69195265139041</v>
      </c>
      <c r="V11">
        <f t="shared" si="14"/>
        <v>3.6630147406215671E-3</v>
      </c>
      <c r="W11">
        <v>17</v>
      </c>
      <c r="X11">
        <v>283.7</v>
      </c>
      <c r="Y11">
        <f t="shared" si="0"/>
        <v>284.22979769854419</v>
      </c>
      <c r="Z11">
        <f t="shared" si="6"/>
        <v>0.1867457520423689</v>
      </c>
      <c r="AD11">
        <v>13</v>
      </c>
      <c r="AE11">
        <v>15.64</v>
      </c>
      <c r="AF11">
        <f t="shared" ref="AF11:AF18" si="16">4.184*AE11</f>
        <v>65.437760000000011</v>
      </c>
      <c r="AT11">
        <v>6</v>
      </c>
      <c r="AU11">
        <f t="shared" si="7"/>
        <v>298.14999999999998</v>
      </c>
      <c r="AV11">
        <f t="shared" si="15"/>
        <v>0.41067160324425112</v>
      </c>
      <c r="AW11">
        <f t="shared" si="8"/>
        <v>5.0740510202581399</v>
      </c>
      <c r="AX11">
        <f t="shared" si="9"/>
        <v>7.8605869387561755</v>
      </c>
      <c r="AY11">
        <f t="shared" si="10"/>
        <v>0.47746137471372219</v>
      </c>
      <c r="AZ11">
        <f t="shared" si="11"/>
        <v>0.31476830799999994</v>
      </c>
      <c r="BA11">
        <f t="shared" si="12"/>
        <v>7.5956211082860579</v>
      </c>
      <c r="BB11">
        <f t="shared" si="13"/>
        <v>31.948521033827106</v>
      </c>
      <c r="BC11">
        <v>30.708981132075454</v>
      </c>
    </row>
    <row r="12" spans="1:56" x14ac:dyDescent="0.25">
      <c r="H12" s="37" t="s">
        <v>62</v>
      </c>
      <c r="I12">
        <v>20.73</v>
      </c>
      <c r="J12">
        <v>8</v>
      </c>
      <c r="K12">
        <v>20.740088</v>
      </c>
      <c r="L12">
        <f t="shared" si="3"/>
        <v>10.997199999999999</v>
      </c>
      <c r="N12">
        <v>20</v>
      </c>
      <c r="P12">
        <f t="shared" si="2"/>
        <v>62.928000000000011</v>
      </c>
      <c r="Q12">
        <f t="shared" si="4"/>
        <v>16.381999999999998</v>
      </c>
      <c r="S12">
        <v>10</v>
      </c>
      <c r="T12">
        <v>243.5</v>
      </c>
      <c r="U12">
        <f t="shared" si="5"/>
        <v>234.84760170300311</v>
      </c>
      <c r="V12">
        <f t="shared" si="14"/>
        <v>3.6842608714135534</v>
      </c>
      <c r="W12">
        <v>18</v>
      </c>
      <c r="Y12">
        <f t="shared" si="0"/>
        <v>289.83257878984676</v>
      </c>
      <c r="AD12">
        <v>14</v>
      </c>
      <c r="AE12">
        <v>16.77</v>
      </c>
      <c r="AF12">
        <f t="shared" si="16"/>
        <v>70.165679999999995</v>
      </c>
      <c r="AG12">
        <v>71.7</v>
      </c>
      <c r="AT12">
        <v>7</v>
      </c>
      <c r="AU12">
        <f t="shared" si="7"/>
        <v>298.14999999999998</v>
      </c>
      <c r="AV12">
        <f t="shared" si="15"/>
        <v>0.44675879544980202</v>
      </c>
      <c r="AW12">
        <f t="shared" si="8"/>
        <v>5.1941352659738484</v>
      </c>
      <c r="AX12">
        <f t="shared" si="9"/>
        <v>8.2810436347683645</v>
      </c>
      <c r="AY12">
        <f t="shared" si="10"/>
        <v>0.57097132009983476</v>
      </c>
      <c r="AZ12">
        <f t="shared" si="11"/>
        <v>0.35725274699999998</v>
      </c>
      <c r="BA12">
        <f t="shared" si="12"/>
        <v>8.2254336510311639</v>
      </c>
      <c r="BB12">
        <f t="shared" si="13"/>
        <v>36.854380823886686</v>
      </c>
      <c r="BC12">
        <v>36.235018867924545</v>
      </c>
    </row>
    <row r="13" spans="1:56" x14ac:dyDescent="0.25">
      <c r="H13" s="37" t="s">
        <v>63</v>
      </c>
      <c r="I13">
        <v>15.468</v>
      </c>
      <c r="J13">
        <v>9</v>
      </c>
      <c r="K13">
        <v>15.468248000000001</v>
      </c>
      <c r="L13">
        <f t="shared" si="3"/>
        <v>15.128350000000005</v>
      </c>
      <c r="N13">
        <v>21</v>
      </c>
      <c r="O13">
        <v>15.480800000000002</v>
      </c>
      <c r="P13">
        <f t="shared" si="2"/>
        <v>66.707100000000011</v>
      </c>
      <c r="Q13">
        <f t="shared" si="4"/>
        <v>18.026150000000023</v>
      </c>
      <c r="S13">
        <v>11</v>
      </c>
      <c r="T13">
        <v>247.6</v>
      </c>
      <c r="U13">
        <f t="shared" si="5"/>
        <v>247.53630220767465</v>
      </c>
      <c r="V13">
        <f t="shared" si="14"/>
        <v>2.5732707387663183E-2</v>
      </c>
      <c r="W13">
        <v>19</v>
      </c>
      <c r="X13">
        <v>295.2</v>
      </c>
      <c r="Y13">
        <f t="shared" si="0"/>
        <v>295.02518714208406</v>
      </c>
      <c r="Z13">
        <f t="shared" si="6"/>
        <v>5.9253536828275763E-2</v>
      </c>
      <c r="AD13">
        <v>15</v>
      </c>
      <c r="AE13">
        <v>17.989999999999998</v>
      </c>
      <c r="AF13">
        <f t="shared" si="16"/>
        <v>75.27015999999999</v>
      </c>
      <c r="AG13">
        <v>76.8</v>
      </c>
      <c r="AT13">
        <v>8</v>
      </c>
      <c r="AU13">
        <f t="shared" si="7"/>
        <v>298.14999999999998</v>
      </c>
      <c r="AV13">
        <f t="shared" si="15"/>
        <v>0.47521630054969266</v>
      </c>
      <c r="AW13">
        <f t="shared" si="8"/>
        <v>5.2791659588734516</v>
      </c>
      <c r="AX13">
        <f t="shared" si="9"/>
        <v>8.6412390684472449</v>
      </c>
      <c r="AY13">
        <f t="shared" si="10"/>
        <v>0.65442724093745941</v>
      </c>
      <c r="AZ13">
        <f t="shared" si="11"/>
        <v>0.39936639199999996</v>
      </c>
      <c r="BA13">
        <f t="shared" si="12"/>
        <v>8.8345633290562109</v>
      </c>
      <c r="BB13">
        <f t="shared" si="13"/>
        <v>41.7301153659362</v>
      </c>
      <c r="BC13">
        <v>40.971622641509434</v>
      </c>
    </row>
    <row r="14" spans="1:56" x14ac:dyDescent="0.25">
      <c r="H14" s="37" t="s">
        <v>64</v>
      </c>
      <c r="I14">
        <v>28.72</v>
      </c>
      <c r="J14">
        <v>10</v>
      </c>
      <c r="K14">
        <v>28.714792000000003</v>
      </c>
      <c r="L14">
        <f t="shared" si="3"/>
        <v>18.976000000000006</v>
      </c>
      <c r="N14">
        <v>22</v>
      </c>
      <c r="O14">
        <v>28.20016</v>
      </c>
      <c r="P14">
        <f t="shared" si="2"/>
        <v>70.486200000000011</v>
      </c>
      <c r="Q14">
        <f t="shared" si="4"/>
        <v>19.698200000000007</v>
      </c>
      <c r="S14">
        <v>12</v>
      </c>
      <c r="T14">
        <v>263.60000000000002</v>
      </c>
      <c r="U14">
        <f t="shared" si="5"/>
        <v>258.34571657172853</v>
      </c>
      <c r="V14">
        <f t="shared" si="14"/>
        <v>2.0338186744476809</v>
      </c>
      <c r="W14">
        <v>20</v>
      </c>
      <c r="Y14">
        <f t="shared" si="0"/>
        <v>299.85086187297446</v>
      </c>
      <c r="AD14">
        <v>16</v>
      </c>
      <c r="AE14">
        <v>19.23</v>
      </c>
      <c r="AF14">
        <f t="shared" si="16"/>
        <v>80.458320000000001</v>
      </c>
      <c r="AT14">
        <v>9</v>
      </c>
      <c r="AU14">
        <f t="shared" si="7"/>
        <v>298.14999999999998</v>
      </c>
      <c r="AV14">
        <f t="shared" si="15"/>
        <v>0.49828275725230398</v>
      </c>
      <c r="AW14">
        <f t="shared" si="8"/>
        <v>5.3421764387096404</v>
      </c>
      <c r="AX14">
        <f t="shared" si="9"/>
        <v>8.9571303154451876</v>
      </c>
      <c r="AY14">
        <f t="shared" si="10"/>
        <v>0.72672388624841311</v>
      </c>
      <c r="AZ14">
        <f t="shared" si="11"/>
        <v>0.44110924299999998</v>
      </c>
      <c r="BA14">
        <f t="shared" si="12"/>
        <v>9.4346534299390417</v>
      </c>
      <c r="BB14">
        <f t="shared" si="13"/>
        <v>46.613504841758406</v>
      </c>
      <c r="BC14">
        <v>46.181886792452822</v>
      </c>
    </row>
    <row r="15" spans="1:56" x14ac:dyDescent="0.25">
      <c r="H15" s="37" t="s">
        <v>65</v>
      </c>
      <c r="I15">
        <v>22.2</v>
      </c>
      <c r="J15">
        <v>11</v>
      </c>
      <c r="K15">
        <v>22.179383999999999</v>
      </c>
      <c r="L15">
        <f t="shared" si="3"/>
        <v>22.561450000000001</v>
      </c>
      <c r="N15">
        <v>23</v>
      </c>
      <c r="O15">
        <v>21.756800000000002</v>
      </c>
      <c r="P15">
        <f t="shared" si="2"/>
        <v>74.265300000000011</v>
      </c>
      <c r="Q15">
        <f t="shared" si="4"/>
        <v>21.376850000000012</v>
      </c>
      <c r="S15">
        <v>13</v>
      </c>
      <c r="T15">
        <v>267.8</v>
      </c>
      <c r="U15">
        <f t="shared" si="5"/>
        <v>267.6861077836499</v>
      </c>
      <c r="V15">
        <f t="shared" si="14"/>
        <v>4.2546928300873789E-2</v>
      </c>
      <c r="W15">
        <v>21</v>
      </c>
      <c r="X15">
        <v>305.7</v>
      </c>
      <c r="Y15">
        <f t="shared" si="0"/>
        <v>304.34694789488736</v>
      </c>
      <c r="Z15">
        <f t="shared" si="6"/>
        <v>0.44457554592593762</v>
      </c>
      <c r="AD15">
        <v>17</v>
      </c>
      <c r="AE15">
        <v>20.149999999999999</v>
      </c>
      <c r="AF15">
        <f t="shared" si="16"/>
        <v>84.307599999999994</v>
      </c>
      <c r="AT15">
        <v>10</v>
      </c>
      <c r="AU15">
        <f>273.15+25</f>
        <v>298.14999999999998</v>
      </c>
      <c r="AV15">
        <f t="shared" si="15"/>
        <v>0.51738375066049458</v>
      </c>
      <c r="AW15">
        <f>$AL$4*(AV15^0.333)+$AL$5*(AV15^0.8333)+$AL$6*(AV15^1.2083)+$AL$7*AV15+$AL$8*AV15*AV15+$AL$9*AV15*AV15*AV15</f>
        <v>5.3905017152004575</v>
      </c>
      <c r="AX15">
        <f>$AM$4*AV15^0.333+$AM$5*AV15^0.8333+$AM$6*AV15^1.2083+$AM$7*AV15+$AM$8*AV15*AV15+$AM$9*AV15*AV15*AV15</f>
        <v>9.2379644778505199</v>
      </c>
      <c r="AY15">
        <f>$AN$4*AV15^0.333+$AN$5*AV15^0.8333+$AN$6*AV15^1.2083+$AN$7*AV15+$AN$8*AV15*AV15+$AN$9*AV15*AV15*AV15</f>
        <v>0.7887026474401706</v>
      </c>
      <c r="AZ15">
        <f>0.052075+0.0448946*AT15-0.000185397*AT15*AT15</f>
        <v>0.48248130000000006</v>
      </c>
      <c r="BA15">
        <f>AW15+AZ15*AX15+AY15*AZ15*AZ15</f>
        <v>10.031247499285394</v>
      </c>
      <c r="BB15">
        <f t="shared" si="13"/>
        <v>51.522608142776534</v>
      </c>
      <c r="BC15">
        <v>50.444830188679227</v>
      </c>
      <c r="BD15">
        <v>51.4</v>
      </c>
    </row>
    <row r="16" spans="1:56" x14ac:dyDescent="0.25">
      <c r="H16" s="37" t="s">
        <v>66</v>
      </c>
      <c r="I16">
        <v>36.799999999999997</v>
      </c>
      <c r="J16">
        <v>12</v>
      </c>
      <c r="K16">
        <v>36.835936000000004</v>
      </c>
      <c r="L16">
        <f t="shared" si="3"/>
        <v>25.906000000000013</v>
      </c>
      <c r="N16">
        <v>24</v>
      </c>
      <c r="O16">
        <v>31.296320000000001</v>
      </c>
      <c r="P16">
        <f t="shared" si="2"/>
        <v>78.04440000000001</v>
      </c>
      <c r="Q16">
        <f t="shared" si="4"/>
        <v>23.040799999999983</v>
      </c>
      <c r="S16">
        <v>14</v>
      </c>
      <c r="T16">
        <v>279</v>
      </c>
      <c r="U16">
        <f t="shared" si="5"/>
        <v>275.85349046112094</v>
      </c>
      <c r="V16">
        <f t="shared" si="14"/>
        <v>1.1406451785762453</v>
      </c>
      <c r="W16">
        <v>22</v>
      </c>
      <c r="X16">
        <v>316.2</v>
      </c>
      <c r="Y16">
        <f t="shared" si="0"/>
        <v>308.54587173862512</v>
      </c>
      <c r="Z16">
        <f t="shared" si="6"/>
        <v>2.4807099891645343</v>
      </c>
      <c r="AD16">
        <v>18</v>
      </c>
      <c r="AE16">
        <v>36.08</v>
      </c>
      <c r="AF16">
        <f t="shared" si="16"/>
        <v>150.95872</v>
      </c>
      <c r="AT16">
        <v>12</v>
      </c>
      <c r="AU16">
        <f t="shared" ref="AU16:AU31" si="17">273.15+25</f>
        <v>298.14999999999998</v>
      </c>
      <c r="AV16">
        <f>1-AU16/(959.95-EXP(6.81536-0.211145*(AT16^(2/3))))</f>
        <v>0.54721964672531576</v>
      </c>
      <c r="AW16">
        <f t="shared" ref="AW16:AW31" si="18">$AL$4*(AV16^0.333)+$AL$5*(AV16^0.8333)+$AL$6*(AV16^1.2083)+$AL$7*AV16+$AL$8*AV16*AV16+$AL$9*AV16*AV16*AV16</f>
        <v>5.4592390712490557</v>
      </c>
      <c r="AX16">
        <f>$AM$4*AV16^0.333+$AM$5*AV16^0.8333+$AM$6*AV16^1.2083+$AM$7*AV16+$AM$8*AV16*AV16+$AM$9*AV16*AV16*AV16</f>
        <v>9.7172482501995017</v>
      </c>
      <c r="AY16">
        <f>$AN$4*AV16^0.333+$AN$5*AV16^0.8333+$AN$6*AV16^1.2083+$AN$7*AV16+$AN$8*AV16*AV16+$AN$9*AV16*AV16*AV16</f>
        <v>0.88718998575471453</v>
      </c>
      <c r="AZ16">
        <f>0.052075+0.0448946*AT16-0.000185397*AT16*AT16</f>
        <v>0.56411303199999996</v>
      </c>
      <c r="BA16">
        <f>AW16+AZ16*AX16+AY16*AZ16*AZ16</f>
        <v>11.223190158217722</v>
      </c>
      <c r="BB16">
        <f>8.314*(959.95-EXP(6.81536-0.211145*(AT16^(2/3))))*BA16/1000</f>
        <v>61.443165380112333</v>
      </c>
      <c r="BC16">
        <v>60.375120000000003</v>
      </c>
      <c r="BD16">
        <v>61.5</v>
      </c>
    </row>
    <row r="17" spans="8:56" x14ac:dyDescent="0.25">
      <c r="H17" s="37" t="s">
        <v>67</v>
      </c>
      <c r="I17">
        <v>28.5</v>
      </c>
      <c r="J17">
        <v>13</v>
      </c>
      <c r="K17">
        <v>28.501408000000001</v>
      </c>
      <c r="L17">
        <f t="shared" si="3"/>
        <v>29.030950000000004</v>
      </c>
      <c r="N17">
        <v>25</v>
      </c>
      <c r="O17">
        <v>26.066320000000001</v>
      </c>
      <c r="P17">
        <f t="shared" si="2"/>
        <v>81.82350000000001</v>
      </c>
      <c r="Q17">
        <f t="shared" si="4"/>
        <v>24.668749999999996</v>
      </c>
      <c r="S17">
        <v>15</v>
      </c>
      <c r="T17">
        <v>283.10000000000002</v>
      </c>
      <c r="U17">
        <f t="shared" si="5"/>
        <v>283.06736725585898</v>
      </c>
      <c r="V17">
        <f t="shared" si="14"/>
        <v>1.1528260730790562E-2</v>
      </c>
      <c r="W17">
        <v>23</v>
      </c>
      <c r="X17">
        <v>313.7</v>
      </c>
      <c r="Y17">
        <f t="shared" si="0"/>
        <v>312.47592894409661</v>
      </c>
      <c r="Z17">
        <f t="shared" si="6"/>
        <v>0.39173291204852195</v>
      </c>
      <c r="AD17">
        <v>19</v>
      </c>
      <c r="AE17">
        <v>33.9</v>
      </c>
      <c r="AF17">
        <f t="shared" si="16"/>
        <v>141.83760000000001</v>
      </c>
      <c r="AT17">
        <v>13</v>
      </c>
      <c r="AU17">
        <f t="shared" si="17"/>
        <v>298.14999999999998</v>
      </c>
      <c r="AV17">
        <f t="shared" ref="AV17:AV30" si="19">1-AU17/(959.95-EXP(6.81536-0.211145*(AT17^(2/3))))</f>
        <v>0.55909989853690278</v>
      </c>
      <c r="AW17">
        <f t="shared" si="18"/>
        <v>5.4843775236962191</v>
      </c>
      <c r="AX17">
        <f t="shared" ref="AX17:AX31" si="20">$AM$4*AV17^0.333+$AM$5*AV17^0.8333+$AM$6*AV17^1.2083+$AM$7*AV17+$AM$8*AV17*AV17+$AM$9*AV17*AV17*AV17</f>
        <v>9.9235486158072028</v>
      </c>
      <c r="AY17">
        <f t="shared" ref="AY17:AY31" si="21">$AN$4*AV17^0.333+$AN$5*AV17^0.8333+$AN$6*AV17^1.2083+$AN$7*AV17+$AN$8*AV17*AV17+$AN$9*AV17*AV17*AV17</f>
        <v>0.92630926612850928</v>
      </c>
      <c r="AZ17">
        <f t="shared" ref="AZ17:AZ31" si="22">0.052075+0.0448946*AT17-0.000185397*AT17*AT17</f>
        <v>0.60437270700000001</v>
      </c>
      <c r="BA17">
        <f t="shared" ref="BA17:BA31" si="23">AW17+AZ17*AX17+AY17*AZ17*AZ17</f>
        <v>11.820249085856512</v>
      </c>
      <c r="BB17">
        <f>8.314*(959.95-EXP(6.81536-0.211145*(AT17^(2/3))))*BA17/1000</f>
        <v>66.455551050108014</v>
      </c>
      <c r="BC17">
        <v>65.437760000000011</v>
      </c>
    </row>
    <row r="18" spans="8:56" x14ac:dyDescent="0.25">
      <c r="H18" s="37" t="s">
        <v>68</v>
      </c>
      <c r="I18">
        <v>47.07</v>
      </c>
      <c r="J18">
        <v>14</v>
      </c>
      <c r="K18">
        <v>45.070048</v>
      </c>
      <c r="L18">
        <f t="shared" si="3"/>
        <v>31.957600000000006</v>
      </c>
      <c r="N18">
        <v>26</v>
      </c>
      <c r="O18">
        <v>34.225119999999997</v>
      </c>
      <c r="P18">
        <f t="shared" si="2"/>
        <v>85.60260000000001</v>
      </c>
      <c r="Q18">
        <f t="shared" si="4"/>
        <v>26.23940000000001</v>
      </c>
      <c r="S18">
        <v>16</v>
      </c>
      <c r="T18">
        <v>291.3</v>
      </c>
      <c r="U18">
        <f t="shared" si="5"/>
        <v>289.49430239077606</v>
      </c>
      <c r="V18">
        <f t="shared" si="14"/>
        <v>0.62374201989872702</v>
      </c>
      <c r="W18">
        <v>24</v>
      </c>
      <c r="X18">
        <v>321.3</v>
      </c>
      <c r="Y18">
        <f t="shared" si="0"/>
        <v>316.16192428830948</v>
      </c>
      <c r="Z18">
        <f t="shared" si="6"/>
        <v>1.6251405741714484</v>
      </c>
      <c r="AD18">
        <v>20</v>
      </c>
      <c r="AE18">
        <v>40.619999999999997</v>
      </c>
      <c r="AF18">
        <f>4.184*AE18</f>
        <v>169.95408</v>
      </c>
      <c r="AT18">
        <v>14</v>
      </c>
      <c r="AU18">
        <f t="shared" si="17"/>
        <v>298.14999999999998</v>
      </c>
      <c r="AV18">
        <f t="shared" si="19"/>
        <v>0.56946990588814872</v>
      </c>
      <c r="AW18">
        <f t="shared" si="18"/>
        <v>5.5053016396476409</v>
      </c>
      <c r="AX18">
        <f t="shared" si="20"/>
        <v>10.111493597588316</v>
      </c>
      <c r="AY18">
        <f t="shared" si="21"/>
        <v>0.96012944390283295</v>
      </c>
      <c r="AZ18">
        <f t="shared" si="22"/>
        <v>0.644261588</v>
      </c>
      <c r="BA18">
        <f>AW18+AZ18*AX18+AY18*AZ18*AZ18</f>
        <v>12.418272364571388</v>
      </c>
      <c r="BB18">
        <f>8.314*(959.95-EXP(6.81536-0.211145*(AT18^(2/3))))*BA18/1000</f>
        <v>71.499416991520263</v>
      </c>
      <c r="BC18">
        <v>70.165679999999995</v>
      </c>
      <c r="BD18">
        <v>71.7</v>
      </c>
    </row>
    <row r="19" spans="8:56" x14ac:dyDescent="0.25">
      <c r="H19" s="37" t="s">
        <v>69</v>
      </c>
      <c r="I19">
        <v>34.6</v>
      </c>
      <c r="J19">
        <v>15</v>
      </c>
      <c r="K19">
        <v>34.593312000000005</v>
      </c>
      <c r="L19">
        <f t="shared" si="3"/>
        <v>34.707250000000009</v>
      </c>
      <c r="N19">
        <v>27</v>
      </c>
      <c r="O19">
        <v>28.953279999999999</v>
      </c>
      <c r="P19">
        <f t="shared" si="2"/>
        <v>89.381700000000009</v>
      </c>
      <c r="Q19">
        <f t="shared" si="4"/>
        <v>27.731450000000017</v>
      </c>
      <c r="S19">
        <v>17</v>
      </c>
      <c r="T19">
        <v>295.10000000000002</v>
      </c>
      <c r="U19">
        <f t="shared" si="5"/>
        <v>295.26320603609548</v>
      </c>
      <c r="V19">
        <f t="shared" si="14"/>
        <v>5.5305332462033105E-2</v>
      </c>
      <c r="W19">
        <v>25</v>
      </c>
      <c r="X19">
        <v>320.2</v>
      </c>
      <c r="Y19">
        <f t="shared" si="0"/>
        <v>319.62569607550074</v>
      </c>
      <c r="Z19">
        <f t="shared" si="6"/>
        <v>0.17968014823300926</v>
      </c>
      <c r="AD19">
        <v>26</v>
      </c>
      <c r="AG19">
        <v>131.69999999999999</v>
      </c>
      <c r="AT19">
        <v>15</v>
      </c>
      <c r="AU19">
        <f t="shared" si="17"/>
        <v>298.14999999999998</v>
      </c>
      <c r="AV19">
        <f>1-AU19/(959.95-EXP(6.81536-0.211145*(AT19^(2/3))))</f>
        <v>0.57859856346753913</v>
      </c>
      <c r="AW19">
        <f t="shared" si="18"/>
        <v>5.5229436202076476</v>
      </c>
      <c r="AX19">
        <f t="shared" si="20"/>
        <v>10.283328268028631</v>
      </c>
      <c r="AY19">
        <f t="shared" si="21"/>
        <v>0.98951315880025348</v>
      </c>
      <c r="AZ19">
        <f t="shared" si="22"/>
        <v>0.68377967500000003</v>
      </c>
      <c r="BA19">
        <f t="shared" si="23"/>
        <v>13.017125953878448</v>
      </c>
      <c r="BB19">
        <f t="shared" ref="BB17:BB23" si="24">8.314*(959.95-EXP(6.81536-0.211145*(AT19^(2/3))))*BA19/1000</f>
        <v>76.570931288446275</v>
      </c>
      <c r="BC19">
        <v>75.27015999999999</v>
      </c>
      <c r="BD19">
        <v>76.8</v>
      </c>
    </row>
    <row r="20" spans="8:56" x14ac:dyDescent="0.25">
      <c r="H20" s="37" t="s">
        <v>70</v>
      </c>
      <c r="I20">
        <v>53.36</v>
      </c>
      <c r="J20">
        <v>16</v>
      </c>
      <c r="K20">
        <v>53.358552000000003</v>
      </c>
      <c r="L20">
        <f t="shared" si="3"/>
        <v>37.301200000000001</v>
      </c>
      <c r="N20">
        <v>28</v>
      </c>
      <c r="O20">
        <v>35.438480000000006</v>
      </c>
      <c r="P20">
        <f t="shared" si="2"/>
        <v>93.160800000000009</v>
      </c>
      <c r="Q20">
        <f t="shared" si="4"/>
        <v>29.123599999999996</v>
      </c>
      <c r="S20">
        <v>18</v>
      </c>
      <c r="T20">
        <v>301.3</v>
      </c>
      <c r="U20">
        <f t="shared" si="5"/>
        <v>300.47556293795901</v>
      </c>
      <c r="V20">
        <f t="shared" si="14"/>
        <v>0.27437740825906232</v>
      </c>
      <c r="W20">
        <v>26</v>
      </c>
      <c r="X20">
        <v>326.5</v>
      </c>
      <c r="Y20">
        <f t="shared" si="0"/>
        <v>322.88654834458862</v>
      </c>
      <c r="Z20">
        <f t="shared" si="6"/>
        <v>1.1191087624855343</v>
      </c>
      <c r="AD20">
        <v>28</v>
      </c>
      <c r="AG20">
        <v>141.9</v>
      </c>
      <c r="AT20">
        <v>16</v>
      </c>
      <c r="AU20">
        <f t="shared" si="17"/>
        <v>298.14999999999998</v>
      </c>
      <c r="AV20">
        <f t="shared" si="19"/>
        <v>0.5866935719314883</v>
      </c>
      <c r="AW20">
        <f t="shared" si="18"/>
        <v>5.5379844332477699</v>
      </c>
      <c r="AX20">
        <f t="shared" si="20"/>
        <v>10.440928991457101</v>
      </c>
      <c r="AY20">
        <f t="shared" si="21"/>
        <v>1.0151694343287119</v>
      </c>
      <c r="AZ20">
        <f t="shared" si="22"/>
        <v>0.722926968</v>
      </c>
      <c r="BA20">
        <f t="shared" si="23"/>
        <v>13.616564874567874</v>
      </c>
      <c r="BB20">
        <f t="shared" si="24"/>
        <v>81.665802405262596</v>
      </c>
      <c r="BC20">
        <v>80.458320000000001</v>
      </c>
    </row>
    <row r="21" spans="8:56" x14ac:dyDescent="0.25">
      <c r="H21" s="37" t="s">
        <v>71</v>
      </c>
      <c r="I21" s="41">
        <v>87.673000000000002</v>
      </c>
      <c r="J21">
        <v>17</v>
      </c>
      <c r="K21">
        <v>40.484384000000006</v>
      </c>
      <c r="L21">
        <f t="shared" si="3"/>
        <v>39.760750000000023</v>
      </c>
      <c r="N21">
        <v>29</v>
      </c>
      <c r="O21">
        <v>31.547360000000001</v>
      </c>
      <c r="P21">
        <f t="shared" si="2"/>
        <v>96.939900000000009</v>
      </c>
      <c r="Q21">
        <f t="shared" si="4"/>
        <v>30.394549999999995</v>
      </c>
      <c r="S21">
        <v>19</v>
      </c>
      <c r="T21">
        <v>305.2</v>
      </c>
      <c r="U21">
        <f t="shared" si="5"/>
        <v>305.2124668838228</v>
      </c>
      <c r="V21">
        <f t="shared" si="14"/>
        <v>4.0848243194005112E-3</v>
      </c>
      <c r="W21">
        <v>27</v>
      </c>
      <c r="X21">
        <v>326.2</v>
      </c>
      <c r="Y21">
        <f t="shared" si="0"/>
        <v>325.96160938464686</v>
      </c>
      <c r="Z21">
        <f t="shared" si="6"/>
        <v>7.3134568148427517E-2</v>
      </c>
      <c r="AD21">
        <v>30</v>
      </c>
      <c r="AG21">
        <v>152.30000000000001</v>
      </c>
      <c r="AT21">
        <v>17</v>
      </c>
      <c r="AU21">
        <f t="shared" si="17"/>
        <v>298.14999999999998</v>
      </c>
      <c r="AV21">
        <f t="shared" si="19"/>
        <v>0.59391811355294577</v>
      </c>
      <c r="AW21">
        <f t="shared" si="18"/>
        <v>5.550932340056236</v>
      </c>
      <c r="AX21">
        <f t="shared" si="20"/>
        <v>10.585884065691554</v>
      </c>
      <c r="AY21">
        <f t="shared" si="21"/>
        <v>1.0376798755466687</v>
      </c>
      <c r="AZ21">
        <f t="shared" si="22"/>
        <v>0.76170346700000002</v>
      </c>
      <c r="BA21">
        <f t="shared" si="23"/>
        <v>14.216290674613909</v>
      </c>
      <c r="BB21">
        <f t="shared" si="24"/>
        <v>86.779573360703083</v>
      </c>
      <c r="BC21">
        <v>84.307599999999994</v>
      </c>
    </row>
    <row r="22" spans="8:56" x14ac:dyDescent="0.25">
      <c r="H22" s="37" t="s">
        <v>72</v>
      </c>
      <c r="I22">
        <v>61.7</v>
      </c>
      <c r="J22">
        <v>18</v>
      </c>
      <c r="K22">
        <v>61.965040000000002</v>
      </c>
      <c r="L22">
        <f t="shared" si="3"/>
        <v>42.107200000000013</v>
      </c>
      <c r="N22">
        <v>30</v>
      </c>
      <c r="O22">
        <v>37.488640000000004</v>
      </c>
      <c r="P22">
        <f t="shared" si="2"/>
        <v>100.71900000000001</v>
      </c>
      <c r="Q22">
        <f t="shared" si="4"/>
        <v>31.52300000000001</v>
      </c>
      <c r="S22">
        <v>20</v>
      </c>
      <c r="T22">
        <v>309.8</v>
      </c>
      <c r="U22">
        <f t="shared" si="5"/>
        <v>309.53957474724734</v>
      </c>
      <c r="V22">
        <f t="shared" si="14"/>
        <v>8.4133104132263825E-2</v>
      </c>
      <c r="W22">
        <v>28</v>
      </c>
      <c r="X22">
        <v>331.2</v>
      </c>
      <c r="Y22">
        <f t="shared" si="0"/>
        <v>328.86613085680631</v>
      </c>
      <c r="Z22">
        <f t="shared" si="6"/>
        <v>0.7096714815579126</v>
      </c>
      <c r="AD22">
        <v>31</v>
      </c>
      <c r="AG22">
        <v>157.30000000000001</v>
      </c>
      <c r="AK22" t="s">
        <v>109</v>
      </c>
      <c r="AT22">
        <v>18</v>
      </c>
      <c r="AU22">
        <f t="shared" si="17"/>
        <v>298.14999999999998</v>
      </c>
      <c r="AV22">
        <f t="shared" si="19"/>
        <v>0.60040231283857914</v>
      </c>
      <c r="AW22">
        <f t="shared" si="18"/>
        <v>5.5621738517372608</v>
      </c>
      <c r="AX22">
        <f t="shared" si="20"/>
        <v>10.719551090425981</v>
      </c>
      <c r="AY22">
        <f t="shared" si="21"/>
        <v>1.0575222435181733</v>
      </c>
      <c r="AZ22">
        <f t="shared" si="22"/>
        <v>0.80010917199999998</v>
      </c>
      <c r="BA22">
        <f t="shared" si="23"/>
        <v>14.815983970274816</v>
      </c>
      <c r="BB22">
        <f t="shared" si="24"/>
        <v>91.907799346133856</v>
      </c>
      <c r="BC22">
        <v>150.95872</v>
      </c>
    </row>
    <row r="23" spans="8:56" x14ac:dyDescent="0.25">
      <c r="H23" s="37" t="s">
        <v>73</v>
      </c>
      <c r="I23">
        <v>45.8</v>
      </c>
      <c r="J23">
        <v>19</v>
      </c>
      <c r="K23">
        <v>45.814799999999998</v>
      </c>
      <c r="L23">
        <f t="shared" si="3"/>
        <v>44.361849999999997</v>
      </c>
      <c r="S23">
        <v>21</v>
      </c>
      <c r="T23">
        <v>313.39999999999998</v>
      </c>
      <c r="U23">
        <f t="shared" si="5"/>
        <v>313.51066899806438</v>
      </c>
      <c r="V23">
        <f t="shared" si="14"/>
        <v>3.5312379726993554E-2</v>
      </c>
      <c r="W23">
        <v>29</v>
      </c>
      <c r="X23">
        <v>331.4</v>
      </c>
      <c r="Y23">
        <f t="shared" si="0"/>
        <v>331.61373872766268</v>
      </c>
      <c r="Z23">
        <f t="shared" si="6"/>
        <v>6.4495693320066688E-2</v>
      </c>
      <c r="AD23">
        <v>32</v>
      </c>
      <c r="AG23">
        <v>162.5</v>
      </c>
      <c r="AT23">
        <v>19</v>
      </c>
      <c r="AU23">
        <f t="shared" si="17"/>
        <v>298.14999999999998</v>
      </c>
      <c r="AV23">
        <f t="shared" si="19"/>
        <v>0.60625130128424554</v>
      </c>
      <c r="AW23">
        <f t="shared" si="18"/>
        <v>5.5720077503064722</v>
      </c>
      <c r="AX23">
        <f t="shared" si="20"/>
        <v>10.843099572516284</v>
      </c>
      <c r="AY23">
        <f t="shared" si="21"/>
        <v>1.0750902782644456</v>
      </c>
      <c r="AZ23">
        <f t="shared" si="22"/>
        <v>0.83814408299999998</v>
      </c>
      <c r="BA23">
        <f t="shared" si="23"/>
        <v>15.415322834220916</v>
      </c>
      <c r="BB23">
        <f>8.314*(959.95-EXP(6.81536-0.211145*(AT23^(2/3))))*BA23/1000</f>
        <v>97.046153546066378</v>
      </c>
      <c r="BC23">
        <v>141.83760000000001</v>
      </c>
    </row>
    <row r="24" spans="8:56" x14ac:dyDescent="0.25">
      <c r="H24" s="37" t="s">
        <v>74</v>
      </c>
      <c r="I24">
        <v>69</v>
      </c>
      <c r="J24">
        <v>20</v>
      </c>
      <c r="K24">
        <v>69.872799999999998</v>
      </c>
      <c r="L24">
        <f t="shared" si="3"/>
        <v>46.546000000000014</v>
      </c>
      <c r="S24">
        <v>22</v>
      </c>
      <c r="T24">
        <v>317.2</v>
      </c>
      <c r="U24">
        <f t="shared" si="5"/>
        <v>317.17026738343924</v>
      </c>
      <c r="V24">
        <f t="shared" si="14"/>
        <v>9.3743391541821937E-3</v>
      </c>
      <c r="W24">
        <v>30</v>
      </c>
      <c r="X24">
        <v>335.2</v>
      </c>
      <c r="Y24">
        <f t="shared" si="0"/>
        <v>334.21664486063736</v>
      </c>
      <c r="Z24">
        <f t="shared" si="6"/>
        <v>0.29422685987787106</v>
      </c>
      <c r="AD24">
        <v>33</v>
      </c>
      <c r="AG24">
        <v>167.6</v>
      </c>
      <c r="AT24">
        <v>20</v>
      </c>
      <c r="AU24">
        <f t="shared" si="17"/>
        <v>298.14999999999998</v>
      </c>
      <c r="AV24">
        <f t="shared" si="19"/>
        <v>0.61155101165296311</v>
      </c>
      <c r="AW24">
        <f t="shared" si="18"/>
        <v>5.5806683742683747</v>
      </c>
      <c r="AX24">
        <f t="shared" si="20"/>
        <v>10.957543585433914</v>
      </c>
      <c r="AY24">
        <f t="shared" si="21"/>
        <v>1.0907098568284361</v>
      </c>
      <c r="AZ24">
        <f t="shared" si="22"/>
        <v>0.87580820000000004</v>
      </c>
      <c r="BA24">
        <f t="shared" si="23"/>
        <v>16.013992990306836</v>
      </c>
      <c r="BB24">
        <f t="shared" ref="BB24:BB31" si="25">8.314*(959.95-EXP(6.81536-0.211145*(AT24^(2/3))))*BA24/1000</f>
        <v>102.1904880240667</v>
      </c>
      <c r="BC24">
        <v>169.95408</v>
      </c>
    </row>
    <row r="25" spans="8:56" x14ac:dyDescent="0.25">
      <c r="H25" s="37" t="s">
        <v>75</v>
      </c>
      <c r="I25">
        <v>47.7</v>
      </c>
      <c r="J25">
        <v>21</v>
      </c>
      <c r="K25">
        <v>47.697600000000001</v>
      </c>
      <c r="L25">
        <f t="shared" si="3"/>
        <v>48.680949999999989</v>
      </c>
      <c r="S25">
        <v>23</v>
      </c>
      <c r="T25">
        <v>320.7</v>
      </c>
      <c r="U25">
        <f t="shared" si="5"/>
        <v>320.55556645194906</v>
      </c>
      <c r="V25">
        <f t="shared" si="14"/>
        <v>4.5057257825712134E-2</v>
      </c>
      <c r="AD25">
        <v>34</v>
      </c>
      <c r="AG25">
        <v>172.7</v>
      </c>
      <c r="AT25">
        <v>26</v>
      </c>
      <c r="AU25">
        <f t="shared" si="17"/>
        <v>298.14999999999998</v>
      </c>
      <c r="AV25">
        <f t="shared" si="19"/>
        <v>0.63508163917285876</v>
      </c>
      <c r="AW25">
        <f t="shared" si="18"/>
        <v>5.6162776108965806</v>
      </c>
      <c r="AX25">
        <f t="shared" si="20"/>
        <v>11.495728643917175</v>
      </c>
      <c r="AY25">
        <f t="shared" si="21"/>
        <v>1.1559876911721574</v>
      </c>
      <c r="AZ25">
        <f t="shared" si="22"/>
        <v>1.094006228</v>
      </c>
      <c r="BA25">
        <f t="shared" si="23"/>
        <v>19.576219779623578</v>
      </c>
      <c r="BB25">
        <f t="shared" si="25"/>
        <v>132.97743469398904</v>
      </c>
      <c r="BD25">
        <v>131.69999999999999</v>
      </c>
    </row>
    <row r="26" spans="8:56" x14ac:dyDescent="0.25">
      <c r="H26" s="37" t="s">
        <v>76</v>
      </c>
      <c r="I26">
        <v>47.84</v>
      </c>
      <c r="J26">
        <v>22</v>
      </c>
      <c r="K26">
        <v>48.952799999999996</v>
      </c>
      <c r="L26">
        <f t="shared" si="3"/>
        <v>50.788000000000004</v>
      </c>
      <c r="N26" t="s">
        <v>77</v>
      </c>
      <c r="S26">
        <v>24</v>
      </c>
      <c r="T26">
        <v>323.8</v>
      </c>
      <c r="U26">
        <f t="shared" si="5"/>
        <v>323.69791059125657</v>
      </c>
      <c r="V26">
        <f t="shared" si="14"/>
        <v>3.1538482456363461E-2</v>
      </c>
      <c r="AT26">
        <v>28</v>
      </c>
      <c r="AU26">
        <f t="shared" si="17"/>
        <v>298.14999999999998</v>
      </c>
      <c r="AV26">
        <f t="shared" si="19"/>
        <v>0.64071169741570222</v>
      </c>
      <c r="AW26">
        <f t="shared" si="18"/>
        <v>5.6241147540906358</v>
      </c>
      <c r="AX26">
        <f t="shared" si="20"/>
        <v>11.632103572052866</v>
      </c>
      <c r="AY26">
        <f t="shared" si="21"/>
        <v>1.1704628800259105</v>
      </c>
      <c r="AZ26">
        <f t="shared" si="22"/>
        <v>1.1637725520000002</v>
      </c>
      <c r="BA26">
        <f t="shared" si="23"/>
        <v>20.746473389254621</v>
      </c>
      <c r="BB26">
        <f t="shared" si="25"/>
        <v>143.13506486301517</v>
      </c>
      <c r="BD26">
        <v>141.9</v>
      </c>
    </row>
    <row r="27" spans="8:56" x14ac:dyDescent="0.25">
      <c r="H27" s="37" t="s">
        <v>78</v>
      </c>
      <c r="I27">
        <v>53.97</v>
      </c>
      <c r="J27">
        <v>23</v>
      </c>
      <c r="K27">
        <v>53.973600000000005</v>
      </c>
      <c r="L27">
        <f t="shared" si="3"/>
        <v>52.888449999999999</v>
      </c>
      <c r="S27">
        <v>25</v>
      </c>
      <c r="T27">
        <v>326.7</v>
      </c>
      <c r="U27">
        <f t="shared" si="5"/>
        <v>326.62391739169277</v>
      </c>
      <c r="V27">
        <f t="shared" si="14"/>
        <v>2.3293642705282343E-2</v>
      </c>
      <c r="AT27">
        <v>30</v>
      </c>
      <c r="AU27">
        <f t="shared" si="17"/>
        <v>298.14999999999998</v>
      </c>
      <c r="AV27">
        <f t="shared" si="19"/>
        <v>0.64557801499868672</v>
      </c>
      <c r="AW27">
        <f t="shared" si="18"/>
        <v>5.6306777885642498</v>
      </c>
      <c r="AX27">
        <f t="shared" si="20"/>
        <v>11.752447709616661</v>
      </c>
      <c r="AY27">
        <f t="shared" si="21"/>
        <v>1.182569303217921</v>
      </c>
      <c r="AZ27">
        <f t="shared" si="22"/>
        <v>1.2320557000000001</v>
      </c>
      <c r="BA27">
        <f t="shared" si="23"/>
        <v>21.905442353393255</v>
      </c>
      <c r="BB27">
        <f t="shared" si="25"/>
        <v>153.20615310965806</v>
      </c>
      <c r="BD27">
        <v>152.30000000000001</v>
      </c>
    </row>
    <row r="28" spans="8:56" x14ac:dyDescent="0.25">
      <c r="H28" s="37" t="s">
        <v>79</v>
      </c>
      <c r="I28">
        <v>54.89</v>
      </c>
      <c r="J28">
        <v>24</v>
      </c>
      <c r="K28">
        <v>54.894080000000002</v>
      </c>
      <c r="L28">
        <f t="shared" si="3"/>
        <v>55.003600000000027</v>
      </c>
      <c r="S28">
        <v>26</v>
      </c>
      <c r="T28">
        <v>329.5</v>
      </c>
      <c r="U28">
        <f t="shared" si="5"/>
        <v>329.35635028217769</v>
      </c>
      <c r="V28">
        <f t="shared" si="14"/>
        <v>4.3615287119632244E-2</v>
      </c>
      <c r="AT28">
        <v>31</v>
      </c>
      <c r="AU28">
        <f t="shared" si="17"/>
        <v>298.14999999999998</v>
      </c>
      <c r="AV28">
        <f>1-AU28/(959.95-EXP(6.81536-0.211145*(AT28^(2/3))))</f>
        <v>0.64776793277659284</v>
      </c>
      <c r="AW28">
        <f t="shared" si="18"/>
        <v>5.6335675877248539</v>
      </c>
      <c r="AX28">
        <f t="shared" si="20"/>
        <v>11.807362996777968</v>
      </c>
      <c r="AY28">
        <f t="shared" si="21"/>
        <v>1.1878891558097084</v>
      </c>
      <c r="AZ28">
        <f t="shared" si="22"/>
        <v>1.2656410830000002</v>
      </c>
      <c r="BA28">
        <f t="shared" si="23"/>
        <v>22.480268375829624</v>
      </c>
      <c r="BB28">
        <f t="shared" si="25"/>
        <v>158.20399051795746</v>
      </c>
      <c r="BD28">
        <v>157.30000000000001</v>
      </c>
    </row>
    <row r="29" spans="8:56" x14ac:dyDescent="0.25">
      <c r="H29" s="37" t="s">
        <v>80</v>
      </c>
      <c r="I29">
        <v>57.74</v>
      </c>
      <c r="J29">
        <v>25</v>
      </c>
      <c r="K29">
        <v>57.739200000000004</v>
      </c>
      <c r="L29">
        <f t="shared" si="3"/>
        <v>57.154750000000014</v>
      </c>
      <c r="S29">
        <v>27</v>
      </c>
      <c r="T29">
        <v>332</v>
      </c>
      <c r="U29">
        <f t="shared" si="5"/>
        <v>331.91480273869979</v>
      </c>
      <c r="V29">
        <f t="shared" si="14"/>
        <v>2.5668412676153104E-2</v>
      </c>
      <c r="AT29">
        <v>32</v>
      </c>
      <c r="AU29">
        <f t="shared" si="17"/>
        <v>298.14999999999998</v>
      </c>
      <c r="AV29">
        <f t="shared" si="19"/>
        <v>0.64981471445157613</v>
      </c>
      <c r="AW29">
        <f t="shared" si="18"/>
        <v>5.6362328376554016</v>
      </c>
      <c r="AX29">
        <f t="shared" si="20"/>
        <v>11.859119328035099</v>
      </c>
      <c r="AY29">
        <f t="shared" si="21"/>
        <v>1.1927870471353295</v>
      </c>
      <c r="AZ29">
        <f t="shared" si="22"/>
        <v>1.2988556720000002</v>
      </c>
      <c r="BA29">
        <f t="shared" si="23"/>
        <v>23.051780070394155</v>
      </c>
      <c r="BB29">
        <f t="shared" si="25"/>
        <v>163.17416832064706</v>
      </c>
      <c r="BD29">
        <v>162.5</v>
      </c>
    </row>
    <row r="30" spans="8:56" x14ac:dyDescent="0.25">
      <c r="H30" s="37" t="s">
        <v>81</v>
      </c>
      <c r="I30">
        <v>59.5</v>
      </c>
      <c r="J30">
        <v>26</v>
      </c>
      <c r="K30">
        <v>59.496480000000005</v>
      </c>
      <c r="L30">
        <f t="shared" si="3"/>
        <v>59.363199999999999</v>
      </c>
      <c r="S30">
        <v>28</v>
      </c>
      <c r="T30">
        <v>334.4</v>
      </c>
      <c r="U30">
        <f t="shared" si="5"/>
        <v>334.31624022657201</v>
      </c>
      <c r="V30">
        <f t="shared" si="14"/>
        <v>2.505405461942431E-2</v>
      </c>
      <c r="AT30">
        <v>33</v>
      </c>
      <c r="AU30">
        <f t="shared" si="17"/>
        <v>298.14999999999998</v>
      </c>
      <c r="AV30">
        <f t="shared" si="19"/>
        <v>0.65173062581280861</v>
      </c>
      <c r="AW30">
        <f t="shared" si="18"/>
        <v>5.6386964796475292</v>
      </c>
      <c r="AX30">
        <f t="shared" si="20"/>
        <v>11.907945973202175</v>
      </c>
      <c r="AY30">
        <f t="shared" si="21"/>
        <v>1.1973054010630175</v>
      </c>
      <c r="AZ30">
        <f t="shared" si="22"/>
        <v>1.331699467</v>
      </c>
      <c r="BA30">
        <f t="shared" si="23"/>
        <v>23.619831284717179</v>
      </c>
      <c r="BB30">
        <f t="shared" si="25"/>
        <v>168.1149514337279</v>
      </c>
      <c r="BD30">
        <v>167.6</v>
      </c>
    </row>
    <row r="31" spans="8:56" x14ac:dyDescent="0.25">
      <c r="H31" s="37" t="s">
        <v>82</v>
      </c>
      <c r="I31">
        <v>59.05</v>
      </c>
      <c r="J31">
        <v>27</v>
      </c>
      <c r="K31">
        <v>60.416960000000003</v>
      </c>
      <c r="L31">
        <f t="shared" si="3"/>
        <v>61.650249999999993</v>
      </c>
      <c r="S31">
        <v>29</v>
      </c>
      <c r="T31">
        <v>336.6</v>
      </c>
      <c r="U31">
        <f t="shared" si="5"/>
        <v>336.57543348217479</v>
      </c>
      <c r="V31">
        <f t="shared" si="14"/>
        <v>7.2989634362414868E-3</v>
      </c>
      <c r="AT31">
        <v>34</v>
      </c>
      <c r="AU31">
        <f t="shared" si="17"/>
        <v>298.14999999999998</v>
      </c>
      <c r="AV31">
        <f>1-AU31/(959.95-EXP(6.81536-0.211145*(AT31^(2/3))))</f>
        <v>0.6535265943324956</v>
      </c>
      <c r="AW31">
        <f t="shared" si="18"/>
        <v>5.6409785275994642</v>
      </c>
      <c r="AX31">
        <f t="shared" si="20"/>
        <v>11.954051489857004</v>
      </c>
      <c r="AY31">
        <f t="shared" si="21"/>
        <v>1.2014814908589706</v>
      </c>
      <c r="AZ31">
        <f t="shared" si="22"/>
        <v>1.364172468</v>
      </c>
      <c r="BA31">
        <f t="shared" si="23"/>
        <v>24.184283282947685</v>
      </c>
      <c r="BB31">
        <f t="shared" si="25"/>
        <v>173.02471803308154</v>
      </c>
      <c r="BD31">
        <v>172.7</v>
      </c>
    </row>
    <row r="32" spans="8:56" x14ac:dyDescent="0.25">
      <c r="H32" s="37" t="s">
        <v>83</v>
      </c>
      <c r="I32">
        <v>64.64</v>
      </c>
      <c r="J32">
        <v>28</v>
      </c>
      <c r="K32">
        <v>64.642799999999994</v>
      </c>
      <c r="L32">
        <f t="shared" si="3"/>
        <v>64.037200000000013</v>
      </c>
      <c r="S32">
        <v>30</v>
      </c>
      <c r="T32">
        <v>338.6</v>
      </c>
      <c r="U32">
        <f t="shared" si="5"/>
        <v>338.70530791538323</v>
      </c>
      <c r="V32">
        <f t="shared" si="14"/>
        <v>3.1100979144479405E-2</v>
      </c>
    </row>
    <row r="33" spans="8:22" x14ac:dyDescent="0.25">
      <c r="H33" s="37" t="s">
        <v>84</v>
      </c>
      <c r="I33">
        <v>66.11</v>
      </c>
      <c r="J33">
        <v>29</v>
      </c>
      <c r="K33">
        <v>66.107200000000006</v>
      </c>
      <c r="L33">
        <f t="shared" si="3"/>
        <v>66.545350000000013</v>
      </c>
      <c r="V33">
        <f>AVERAGE(V9:V31)</f>
        <v>0.79703561484439978</v>
      </c>
    </row>
    <row r="34" spans="8:22" x14ac:dyDescent="0.25">
      <c r="H34" s="37" t="s">
        <v>85</v>
      </c>
      <c r="I34">
        <v>68.83</v>
      </c>
      <c r="J34">
        <v>30</v>
      </c>
      <c r="K34">
        <v>68.826800000000006</v>
      </c>
      <c r="L34">
        <f t="shared" si="3"/>
        <v>69.195999999999998</v>
      </c>
    </row>
    <row r="35" spans="8:22" x14ac:dyDescent="0.25">
      <c r="H35" s="37" t="s">
        <v>86</v>
      </c>
    </row>
    <row r="39" spans="8:22" x14ac:dyDescent="0.25">
      <c r="K39" t="s">
        <v>87</v>
      </c>
    </row>
  </sheetData>
  <mergeCells count="8">
    <mergeCell ref="AT7:AV7"/>
    <mergeCell ref="AE1:AF1"/>
    <mergeCell ref="A1:E1"/>
    <mergeCell ref="H1:L1"/>
    <mergeCell ref="N1:Q1"/>
    <mergeCell ref="S1:U1"/>
    <mergeCell ref="W1:Y1"/>
    <mergeCell ref="AT2:A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Molar volume</vt:lpstr>
      <vt:lpstr>Thermo-phsyical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shahdi</dc:creator>
  <cp:lastModifiedBy>arya shahdi</cp:lastModifiedBy>
  <dcterms:created xsi:type="dcterms:W3CDTF">2018-10-05T02:20:53Z</dcterms:created>
  <dcterms:modified xsi:type="dcterms:W3CDTF">2018-10-08T13:24:22Z</dcterms:modified>
</cp:coreProperties>
</file>