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Параметры классов\Параметры классов\Макеев\"/>
    </mc:Choice>
  </mc:AlternateContent>
  <xr:revisionPtr revIDLastSave="0" documentId="8_{7F90FD09-D8EF-4A4E-9C21-776D0A9956CE}" xr6:coauthVersionLast="47" xr6:coauthVersionMax="47" xr10:uidLastSave="{00000000-0000-0000-0000-000000000000}"/>
  <bookViews>
    <workbookView xWindow="14925" yWindow="-16320" windowWidth="29040" windowHeight="15720" tabRatio="820" firstSheet="11" activeTab="11" xr2:uid="{00000000-000D-0000-FFFF-FFFF00000000}"/>
  </bookViews>
  <sheets>
    <sheet name="Информация" sheetId="40" state="hidden" r:id="rId1"/>
    <sheet name="Файл оценки" sheetId="36" state="hidden" r:id="rId2"/>
    <sheet name="ТрЗ_ОП" sheetId="1" state="hidden" r:id="rId3"/>
    <sheet name="Итоговый расчет АСУТП" sheetId="12" state="hidden"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state="hidden"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АСУТП'!$A$2:$AI$105</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AF54" i="14"/>
  <c r="AB54" i="14"/>
  <c r="X54" i="14"/>
  <c r="T54" i="14"/>
  <c r="P54" i="14"/>
  <c r="L54" i="14"/>
  <c r="H54" i="14"/>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A116" i="14"/>
  <c r="A113" i="14"/>
  <c r="A200" i="14"/>
  <c r="A197" i="14"/>
  <c r="A194" i="14"/>
  <c r="A191" i="14"/>
  <c r="A188" i="14"/>
  <c r="A185" i="14"/>
  <c r="A182" i="14"/>
  <c r="A179" i="14"/>
  <c r="A176" i="14"/>
  <c r="A173" i="14"/>
  <c r="A170" i="14"/>
  <c r="A167" i="14"/>
  <c r="A164" i="14"/>
  <c r="A161" i="14"/>
  <c r="A158" i="14"/>
  <c r="A155" i="14"/>
  <c r="A152" i="14"/>
  <c r="A149" i="14"/>
  <c r="A146" i="14"/>
  <c r="A143" i="14"/>
  <c r="A140" i="14"/>
  <c r="A137" i="14"/>
  <c r="A134" i="14"/>
  <c r="A131" i="14"/>
  <c r="A128" i="14"/>
  <c r="A125" i="14"/>
  <c r="A122" i="14"/>
  <c r="A119" i="14"/>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I97" i="14"/>
  <c r="AE97" i="14"/>
  <c r="K97" i="13" s="1"/>
  <c r="AA97" i="14"/>
  <c r="J97" i="13" s="1"/>
  <c r="W97" i="14"/>
  <c r="I97" i="13" s="1"/>
  <c r="S97" i="14"/>
  <c r="O97" i="14"/>
  <c r="G97" i="13" s="1"/>
  <c r="K97" i="14"/>
  <c r="F97" i="13" s="1"/>
  <c r="G97" i="14"/>
  <c r="E97" i="13" s="1"/>
  <c r="AI90" i="14"/>
  <c r="L90" i="13" s="1"/>
  <c r="AE90" i="14"/>
  <c r="K90" i="13" s="1"/>
  <c r="AA90" i="14"/>
  <c r="J90" i="13" s="1"/>
  <c r="W90" i="14"/>
  <c r="I90" i="13" s="1"/>
  <c r="S90" i="14"/>
  <c r="H90" i="13" s="1"/>
  <c r="O90" i="14"/>
  <c r="G90" i="13" s="1"/>
  <c r="K90" i="14"/>
  <c r="F90" i="13" s="1"/>
  <c r="G90" i="14"/>
  <c r="E90" i="13" s="1"/>
  <c r="AI89" i="14"/>
  <c r="AE89" i="14"/>
  <c r="K89" i="13" s="1"/>
  <c r="AA89" i="14"/>
  <c r="J89" i="13" s="1"/>
  <c r="W89" i="14"/>
  <c r="I89" i="13" s="1"/>
  <c r="S89" i="14"/>
  <c r="H89" i="13" s="1"/>
  <c r="O89" i="14"/>
  <c r="G89" i="13" s="1"/>
  <c r="K89" i="14"/>
  <c r="F89" i="13" s="1"/>
  <c r="G89" i="14"/>
  <c r="E89" i="13" s="1"/>
  <c r="AI88" i="14"/>
  <c r="L88" i="13" s="1"/>
  <c r="AE88" i="14"/>
  <c r="K88" i="13" s="1"/>
  <c r="AA88" i="14"/>
  <c r="J88" i="13" s="1"/>
  <c r="W88" i="14"/>
  <c r="I88" i="13" s="1"/>
  <c r="S88" i="14"/>
  <c r="H88" i="13" s="1"/>
  <c r="O88" i="14"/>
  <c r="G88" i="13" s="1"/>
  <c r="K88" i="14"/>
  <c r="F88" i="13" s="1"/>
  <c r="G88" i="14"/>
  <c r="E88" i="13" s="1"/>
  <c r="AI77" i="14"/>
  <c r="L77" i="13" s="1"/>
  <c r="AE77" i="14"/>
  <c r="K77" i="13" s="1"/>
  <c r="AA77" i="14"/>
  <c r="W77" i="14"/>
  <c r="I77" i="13" s="1"/>
  <c r="S77" i="14"/>
  <c r="H77" i="13" s="1"/>
  <c r="O77" i="14"/>
  <c r="G77" i="13" s="1"/>
  <c r="K77" i="14"/>
  <c r="F77" i="13" s="1"/>
  <c r="G77" i="14"/>
  <c r="E77" i="13" s="1"/>
  <c r="AI76" i="14"/>
  <c r="L76" i="13" s="1"/>
  <c r="AE76" i="14"/>
  <c r="K76" i="13" s="1"/>
  <c r="AA76" i="14"/>
  <c r="J76" i="13" s="1"/>
  <c r="W76" i="14"/>
  <c r="I76" i="13" s="1"/>
  <c r="S76" i="14"/>
  <c r="H76" i="13" s="1"/>
  <c r="O76" i="14"/>
  <c r="G76" i="13" s="1"/>
  <c r="K76" i="14"/>
  <c r="F76" i="13" s="1"/>
  <c r="G76" i="14"/>
  <c r="E76" i="13" s="1"/>
  <c r="AI75" i="14"/>
  <c r="AE75" i="14"/>
  <c r="K75" i="13" s="1"/>
  <c r="AA75" i="14"/>
  <c r="J75" i="13" s="1"/>
  <c r="W75" i="14"/>
  <c r="I75" i="13" s="1"/>
  <c r="S75" i="14"/>
  <c r="O75" i="14"/>
  <c r="G75" i="13" s="1"/>
  <c r="K75" i="14"/>
  <c r="F75" i="13" s="1"/>
  <c r="G75" i="14"/>
  <c r="E75" i="13" s="1"/>
  <c r="AI66" i="14"/>
  <c r="L66" i="13" s="1"/>
  <c r="AE66" i="14"/>
  <c r="K66" i="13" s="1"/>
  <c r="AA66" i="14"/>
  <c r="J66" i="13" s="1"/>
  <c r="W66" i="14"/>
  <c r="I66" i="13" s="1"/>
  <c r="S66" i="14"/>
  <c r="H66" i="13" s="1"/>
  <c r="O66" i="14"/>
  <c r="G66" i="13" s="1"/>
  <c r="K66" i="14"/>
  <c r="F66" i="13" s="1"/>
  <c r="G66" i="14"/>
  <c r="E66" i="13" s="1"/>
  <c r="AI63" i="14"/>
  <c r="AE63" i="14"/>
  <c r="K63" i="13" s="1"/>
  <c r="AA63" i="14"/>
  <c r="W63" i="14"/>
  <c r="S63" i="14"/>
  <c r="O63" i="14"/>
  <c r="G63" i="13" s="1"/>
  <c r="K63" i="14"/>
  <c r="F63" i="13" s="1"/>
  <c r="G63" i="14"/>
  <c r="E63" i="13" s="1"/>
  <c r="AI54" i="14"/>
  <c r="L54" i="13" s="1"/>
  <c r="AE54" i="14"/>
  <c r="K54" i="13" s="1"/>
  <c r="AA54" i="14"/>
  <c r="J54" i="13" s="1"/>
  <c r="W54" i="14"/>
  <c r="I54" i="13" s="1"/>
  <c r="S54" i="14"/>
  <c r="H54" i="13" s="1"/>
  <c r="O54" i="14"/>
  <c r="G54" i="13" s="1"/>
  <c r="K54" i="14"/>
  <c r="F54" i="13" s="1"/>
  <c r="D54" i="14"/>
  <c r="G54" i="14" s="1"/>
  <c r="E54" i="13" s="1"/>
  <c r="AI25" i="14"/>
  <c r="L25" i="13" s="1"/>
  <c r="AE25" i="14"/>
  <c r="AA25" i="14"/>
  <c r="J25" i="13" s="1"/>
  <c r="W25" i="14"/>
  <c r="I25" i="13" s="1"/>
  <c r="S25" i="14"/>
  <c r="H25" i="13" s="1"/>
  <c r="O25" i="14"/>
  <c r="G25" i="13" s="1"/>
  <c r="K25" i="14"/>
  <c r="F25" i="13" s="1"/>
  <c r="G25" i="14"/>
  <c r="E25" i="13" s="1"/>
  <c r="AI18" i="14"/>
  <c r="L18" i="13" s="1"/>
  <c r="AE18" i="14"/>
  <c r="K18" i="13" s="1"/>
  <c r="AA18" i="14"/>
  <c r="J18" i="13" s="1"/>
  <c r="W18" i="14"/>
  <c r="I18" i="13" s="1"/>
  <c r="S18" i="14"/>
  <c r="H18" i="13" s="1"/>
  <c r="O18" i="14"/>
  <c r="G18" i="13" s="1"/>
  <c r="K18" i="14"/>
  <c r="F18" i="13" s="1"/>
  <c r="G18" i="14"/>
  <c r="E18" i="13" s="1"/>
  <c r="AI17" i="14"/>
  <c r="AE17" i="14"/>
  <c r="K17" i="13" s="1"/>
  <c r="AA17" i="14"/>
  <c r="J17" i="13" s="1"/>
  <c r="W17" i="14"/>
  <c r="I17" i="13" s="1"/>
  <c r="S17" i="14"/>
  <c r="H17" i="13" s="1"/>
  <c r="O17" i="14"/>
  <c r="G17" i="13" s="1"/>
  <c r="K17" i="14"/>
  <c r="F17" i="13" s="1"/>
  <c r="G17" i="14"/>
  <c r="E17" i="13" s="1"/>
  <c r="AI16" i="14"/>
  <c r="L16" i="13" s="1"/>
  <c r="AE16" i="14"/>
  <c r="K16" i="13" s="1"/>
  <c r="AA16" i="14"/>
  <c r="J16" i="13" s="1"/>
  <c r="W16" i="14"/>
  <c r="I16" i="13" s="1"/>
  <c r="S16" i="14"/>
  <c r="H16" i="13" s="1"/>
  <c r="O16" i="14"/>
  <c r="G16" i="13" s="1"/>
  <c r="K16" i="14"/>
  <c r="F16" i="13" s="1"/>
  <c r="G16" i="14"/>
  <c r="E16" i="13" s="1"/>
  <c r="AI8" i="14"/>
  <c r="L8" i="13" s="1"/>
  <c r="AE8" i="14"/>
  <c r="AA8" i="14"/>
  <c r="J8" i="13" s="1"/>
  <c r="W8" i="14"/>
  <c r="I8" i="13" s="1"/>
  <c r="S8" i="14"/>
  <c r="O8" i="14"/>
  <c r="G8" i="13" s="1"/>
  <c r="K8" i="14"/>
  <c r="F8" i="13" s="1"/>
  <c r="G8" i="14"/>
  <c r="E8" i="13" s="1"/>
  <c r="AI5" i="14"/>
  <c r="L5" i="13" s="1"/>
  <c r="AE5" i="14"/>
  <c r="K5" i="13" s="1"/>
  <c r="AA5" i="14"/>
  <c r="J5" i="13" s="1"/>
  <c r="W5" i="14"/>
  <c r="S5" i="14"/>
  <c r="H5" i="13" s="1"/>
  <c r="O5" i="14"/>
  <c r="G5" i="13" s="1"/>
  <c r="K5" i="14"/>
  <c r="F5" i="13" s="1"/>
  <c r="G5" i="14"/>
  <c r="E5" i="13" s="1"/>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L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L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L63" i="13"/>
  <c r="J63" i="13"/>
  <c r="I63" i="13"/>
  <c r="H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H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EB2" i="12"/>
  <c r="DZ3" i="13"/>
  <c r="DP3" i="13"/>
  <c r="DJ2" i="12"/>
  <c r="H19" i="1"/>
  <c r="F11" i="1"/>
  <c r="DT2" i="12"/>
  <c r="DW3" i="13"/>
  <c r="CX3" i="13"/>
  <c r="DK3" i="13"/>
  <c r="CW3" i="13"/>
  <c r="DM3" i="13"/>
  <c r="CE2" i="12"/>
  <c r="F39" i="1"/>
  <c r="CO2" i="12"/>
  <c r="DD3" i="13"/>
  <c r="H14" i="1"/>
  <c r="CY3" i="13"/>
  <c r="AC2" i="12"/>
  <c r="Z2" i="12"/>
  <c r="D40" i="1"/>
  <c r="DB2" i="12"/>
  <c r="DO3" i="13"/>
  <c r="DF3" i="13"/>
  <c r="CZ3" i="13"/>
  <c r="CU2" i="12"/>
  <c r="H12" i="1"/>
  <c r="D14" i="1"/>
  <c r="DC3" i="13"/>
  <c r="ET2" i="12"/>
  <c r="AR2" i="12"/>
  <c r="CQ2" i="12"/>
  <c r="DN2" i="12"/>
  <c r="BY2" i="12"/>
  <c r="DV2" i="12"/>
  <c r="CB2" i="12"/>
  <c r="EL2" i="12"/>
  <c r="DH2" i="12"/>
  <c r="DL2" i="12"/>
  <c r="F34" i="1"/>
  <c r="H34" i="1"/>
  <c r="DE3" i="13"/>
  <c r="DH3" i="13"/>
  <c r="CN2" i="12"/>
  <c r="AL2" i="12"/>
  <c r="D11" i="1"/>
  <c r="BG2" i="12"/>
  <c r="H11" i="1"/>
  <c r="CX2" i="12"/>
  <c r="T2" i="12"/>
  <c r="F40" i="1"/>
  <c r="DJ3" i="13"/>
  <c r="DD2" i="12"/>
  <c r="DZ2" i="12"/>
  <c r="CP2" i="12"/>
  <c r="DV3" i="13"/>
  <c r="DL3" i="13"/>
  <c r="EH2" i="12"/>
  <c r="DY3" i="13"/>
  <c r="ER2" i="12"/>
  <c r="E2" i="12"/>
  <c r="EN2" i="12"/>
  <c r="DB3" i="13"/>
  <c r="BM2" i="12"/>
  <c r="F19" i="1"/>
  <c r="DI3" i="13"/>
  <c r="BV2" i="12"/>
  <c r="DN3" i="13"/>
  <c r="DX3" i="13"/>
  <c r="EJ2" i="12"/>
  <c r="AO2" i="12"/>
  <c r="W2" i="12"/>
  <c r="N2" i="12"/>
  <c r="D12" i="1"/>
  <c r="H2" i="12"/>
  <c r="CZ2" i="12"/>
  <c r="F14" i="1"/>
  <c r="EF2" i="12"/>
  <c r="DS3" i="13"/>
  <c r="BD2" i="12"/>
  <c r="BA2" i="12"/>
  <c r="DX2" i="12"/>
  <c r="Q2" i="12"/>
  <c r="K2" i="12"/>
  <c r="CS2" i="12"/>
  <c r="BP2" i="12"/>
  <c r="F12" i="1"/>
  <c r="CK2" i="12"/>
  <c r="DA3" i="13"/>
  <c r="CR2" i="12"/>
  <c r="H39" i="1"/>
  <c r="BJ2" i="12"/>
  <c r="DQ3" i="13"/>
  <c r="BS2" i="12"/>
  <c r="CT2" i="12"/>
  <c r="DR3" i="13"/>
  <c r="ED2" i="12"/>
  <c r="AF2" i="12"/>
  <c r="CH2" i="12"/>
  <c r="D39" i="1"/>
  <c r="AU2" i="12"/>
  <c r="DT3" i="13"/>
  <c r="AI2" i="12"/>
  <c r="D34" i="1"/>
  <c r="AH18" i="1"/>
  <c r="DU3" i="13"/>
  <c r="H40" i="1"/>
  <c r="D19" i="1"/>
  <c r="CV2" i="12"/>
  <c r="DP2" i="12"/>
  <c r="B2" i="12"/>
  <c r="AX2" i="12"/>
  <c r="EP2" i="12"/>
  <c r="AM18" i="1"/>
  <c r="DR2" i="12"/>
  <c r="AE26" i="1" l="1"/>
  <c r="AE31" i="1"/>
  <c r="AG3" i="14"/>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M3" i="14"/>
  <c r="H3" i="45"/>
  <c r="H102" i="45" s="1"/>
  <c r="V3" i="46"/>
  <c r="V91" i="46" s="1"/>
  <c r="E3" i="49"/>
  <c r="E103" i="49" s="1"/>
  <c r="G103" i="49" s="1"/>
  <c r="BN103" i="13" s="1"/>
  <c r="I3" i="57"/>
  <c r="I3" i="69"/>
  <c r="J3" i="80"/>
  <c r="P3" i="29"/>
  <c r="P101" i="29" s="1"/>
  <c r="S101" i="29" s="1"/>
  <c r="AS101" i="13" s="1"/>
  <c r="E3" i="45"/>
  <c r="E102" i="45" s="1"/>
  <c r="J3" i="47"/>
  <c r="V3" i="14"/>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N3" i="14"/>
  <c r="E3" i="14"/>
  <c r="Z3" i="14"/>
  <c r="AD3" i="14"/>
  <c r="AH3" i="14"/>
  <c r="J3" i="14"/>
  <c r="R3" i="14"/>
  <c r="Q3" i="14"/>
  <c r="I3" i="14"/>
  <c r="AC3" i="14"/>
  <c r="Y3" i="14"/>
  <c r="U3" i="14"/>
  <c r="P3" i="14"/>
  <c r="X3" i="14"/>
  <c r="L3" i="14"/>
  <c r="AB3" i="14"/>
  <c r="D3" i="14"/>
  <c r="T3" i="14"/>
  <c r="H3" i="14"/>
  <c r="AF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P18" i="1"/>
  <c r="AF18" i="1"/>
  <c r="AL18" i="1"/>
  <c r="AI18" i="1"/>
  <c r="AO18" i="1"/>
  <c r="AJ18" i="1"/>
  <c r="AK18" i="1"/>
  <c r="AN18" i="1"/>
  <c r="AG18" i="1"/>
  <c r="AQ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F56" i="15"/>
  <c r="F105" i="15"/>
  <c r="F53" i="15"/>
  <c r="F102" i="15"/>
  <c r="F36" i="15"/>
  <c r="F35" i="15"/>
  <c r="F99" i="15"/>
  <c r="F33" i="15"/>
  <c r="F98" i="15"/>
  <c r="F96" i="15"/>
  <c r="F95" i="15"/>
  <c r="F29" i="15"/>
  <c r="F93" i="15"/>
  <c r="F68" i="15"/>
  <c r="F67" i="15"/>
  <c r="F27" i="15"/>
  <c r="F24" i="15"/>
  <c r="F26" i="15"/>
  <c r="F62" i="15"/>
  <c r="F61" i="15"/>
  <c r="F59" i="15"/>
  <c r="F32" i="15"/>
  <c r="N97" i="59"/>
  <c r="N62" i="59"/>
  <c r="N39" i="59"/>
  <c r="N14" i="59"/>
  <c r="N96" i="59"/>
  <c r="N61" i="59"/>
  <c r="N38" i="59"/>
  <c r="N13" i="59"/>
  <c r="N92" i="59"/>
  <c r="N58" i="59"/>
  <c r="O58" i="59" s="1"/>
  <c r="BC58" i="13" s="1"/>
  <c r="N34" i="59"/>
  <c r="N9" i="59"/>
  <c r="O9" i="59" s="1"/>
  <c r="BC9" i="13" s="1"/>
  <c r="N8" i="59"/>
  <c r="N55" i="59"/>
  <c r="N7" i="59"/>
  <c r="O7" i="59" s="1"/>
  <c r="BC7" i="13" s="1"/>
  <c r="N53" i="59"/>
  <c r="N95" i="59"/>
  <c r="N60" i="59"/>
  <c r="N36" i="59"/>
  <c r="N12" i="59"/>
  <c r="N91" i="59"/>
  <c r="N86" i="59"/>
  <c r="N85" i="59"/>
  <c r="N6" i="59"/>
  <c r="N93" i="59"/>
  <c r="N59" i="59"/>
  <c r="N35" i="59"/>
  <c r="N10" i="59"/>
  <c r="N56" i="59"/>
  <c r="N33" i="59"/>
  <c r="N32" i="59"/>
  <c r="N31" i="59"/>
  <c r="N100" i="59"/>
  <c r="N45" i="59"/>
  <c r="N30" i="59"/>
  <c r="N80" i="59"/>
  <c r="N99" i="59"/>
  <c r="N42" i="59"/>
  <c r="N40" i="59"/>
  <c r="N27" i="59"/>
  <c r="O27" i="59" s="1"/>
  <c r="BC27" i="13" s="1"/>
  <c r="N79" i="59"/>
  <c r="N26" i="59"/>
  <c r="N24" i="59"/>
  <c r="N69" i="59"/>
  <c r="N98" i="59"/>
  <c r="O98" i="59" s="1"/>
  <c r="BC98" i="13" s="1"/>
  <c r="N83" i="59"/>
  <c r="N82" i="59"/>
  <c r="N29" i="59"/>
  <c r="O29" i="59" s="1"/>
  <c r="BC29" i="13" s="1"/>
  <c r="N23" i="59"/>
  <c r="N72" i="59"/>
  <c r="N68" i="59"/>
  <c r="N22" i="59"/>
  <c r="N103" i="59"/>
  <c r="N47" i="59"/>
  <c r="N67" i="59"/>
  <c r="N19" i="59"/>
  <c r="N101" i="59"/>
  <c r="N105" i="59"/>
  <c r="N52" i="59"/>
  <c r="N49" i="59"/>
  <c r="N102" i="59"/>
  <c r="N46" i="59"/>
  <c r="O46" i="59" s="1"/>
  <c r="BC46" i="13" s="1"/>
  <c r="N104" i="59"/>
  <c r="N50" i="59"/>
  <c r="F93" i="59"/>
  <c r="F53" i="59"/>
  <c r="F24" i="59"/>
  <c r="F92" i="59"/>
  <c r="F52" i="59"/>
  <c r="F23" i="59"/>
  <c r="F83" i="59"/>
  <c r="F47" i="59"/>
  <c r="F46" i="59"/>
  <c r="F80" i="59"/>
  <c r="F79" i="59"/>
  <c r="F86" i="59"/>
  <c r="F50" i="59"/>
  <c r="F14" i="59"/>
  <c r="F10" i="59"/>
  <c r="G10" i="59" s="1"/>
  <c r="BA10" i="13" s="1"/>
  <c r="F82" i="59"/>
  <c r="F9" i="59"/>
  <c r="F7" i="59"/>
  <c r="F6" i="59"/>
  <c r="F85" i="59"/>
  <c r="F49" i="59"/>
  <c r="F13" i="59"/>
  <c r="F40" i="59"/>
  <c r="F39" i="59"/>
  <c r="F98" i="59"/>
  <c r="F29" i="59"/>
  <c r="F95" i="59"/>
  <c r="F67" i="59"/>
  <c r="F62" i="59"/>
  <c r="F61" i="59"/>
  <c r="F96" i="59"/>
  <c r="F27" i="59"/>
  <c r="G27" i="59" s="1"/>
  <c r="BA27" i="13" s="1"/>
  <c r="F26" i="59"/>
  <c r="F68" i="59"/>
  <c r="F59" i="59"/>
  <c r="F58" i="59"/>
  <c r="F56" i="59"/>
  <c r="F32" i="59"/>
  <c r="F55" i="59"/>
  <c r="F104" i="59"/>
  <c r="F99" i="59"/>
  <c r="F105" i="59"/>
  <c r="F36" i="59"/>
  <c r="F33" i="59"/>
  <c r="F101" i="59"/>
  <c r="F30" i="59"/>
  <c r="G30" i="59" s="1"/>
  <c r="BA30" i="13" s="1"/>
  <c r="F35" i="59"/>
  <c r="F102" i="59"/>
  <c r="J97" i="59"/>
  <c r="J62" i="59"/>
  <c r="J39" i="59"/>
  <c r="J14" i="59"/>
  <c r="J96" i="59"/>
  <c r="J61" i="59"/>
  <c r="J38" i="59"/>
  <c r="J13" i="59"/>
  <c r="J92" i="59"/>
  <c r="J58" i="59"/>
  <c r="J34" i="59"/>
  <c r="K34" i="59" s="1"/>
  <c r="BB34" i="13" s="1"/>
  <c r="J55" i="59"/>
  <c r="J53" i="59"/>
  <c r="J95" i="59"/>
  <c r="K95" i="59" s="1"/>
  <c r="BB95" i="13" s="1"/>
  <c r="J60" i="59"/>
  <c r="J36" i="59"/>
  <c r="J12" i="59"/>
  <c r="J56" i="59"/>
  <c r="J33" i="59"/>
  <c r="J86" i="59"/>
  <c r="J7" i="59"/>
  <c r="J85" i="59"/>
  <c r="J6" i="59"/>
  <c r="J93" i="59"/>
  <c r="J59" i="59"/>
  <c r="K59" i="59" s="1"/>
  <c r="BB59" i="13" s="1"/>
  <c r="J35" i="59"/>
  <c r="J10" i="59"/>
  <c r="J9" i="59"/>
  <c r="J91" i="59"/>
  <c r="J8" i="59"/>
  <c r="J32" i="59"/>
  <c r="J31" i="59"/>
  <c r="J100" i="59"/>
  <c r="J45" i="59"/>
  <c r="J30" i="59"/>
  <c r="J80" i="59"/>
  <c r="J79" i="59"/>
  <c r="J72" i="59"/>
  <c r="J99" i="59"/>
  <c r="J42" i="59"/>
  <c r="J98" i="59"/>
  <c r="J40" i="59"/>
  <c r="J83" i="59"/>
  <c r="J29" i="59"/>
  <c r="K29" i="59" s="1"/>
  <c r="BB29" i="13" s="1"/>
  <c r="J27" i="59"/>
  <c r="K27" i="59" s="1"/>
  <c r="BB27" i="13" s="1"/>
  <c r="J26" i="59"/>
  <c r="K26" i="59" s="1"/>
  <c r="BB26" i="13" s="1"/>
  <c r="J82" i="59"/>
  <c r="J68" i="59"/>
  <c r="J22" i="59"/>
  <c r="J50" i="59"/>
  <c r="J46" i="59"/>
  <c r="J24" i="59"/>
  <c r="J23" i="59"/>
  <c r="J67" i="59"/>
  <c r="J19" i="59"/>
  <c r="J102" i="59"/>
  <c r="J105" i="59"/>
  <c r="J52" i="59"/>
  <c r="J49" i="59"/>
  <c r="J69" i="59"/>
  <c r="J104" i="59"/>
  <c r="K104" i="59" s="1"/>
  <c r="BB104" i="13" s="1"/>
  <c r="J103" i="59"/>
  <c r="J101" i="59"/>
  <c r="J47" i="59"/>
  <c r="K47" i="59" s="1"/>
  <c r="BB47" i="13" s="1"/>
  <c r="F86" i="51"/>
  <c r="F68" i="51"/>
  <c r="F33" i="51"/>
  <c r="F32" i="51"/>
  <c r="F102" i="51"/>
  <c r="F30" i="51"/>
  <c r="F101" i="51"/>
  <c r="F47" i="51"/>
  <c r="F27" i="51"/>
  <c r="G27" i="51" s="1"/>
  <c r="BS27" i="13" s="1"/>
  <c r="DP27" i="13" s="1"/>
  <c r="F98" i="51"/>
  <c r="F83" i="51"/>
  <c r="F40" i="51"/>
  <c r="F105" i="51"/>
  <c r="G105" i="51" s="1"/>
  <c r="BS105" i="13" s="1"/>
  <c r="DP105" i="13" s="1"/>
  <c r="F85" i="51"/>
  <c r="F67" i="51"/>
  <c r="F50" i="51"/>
  <c r="F23" i="51"/>
  <c r="F80" i="51"/>
  <c r="F55" i="51"/>
  <c r="F14" i="51"/>
  <c r="F46" i="51"/>
  <c r="F13" i="51"/>
  <c r="F104" i="51"/>
  <c r="F49" i="51"/>
  <c r="F56" i="51"/>
  <c r="F79" i="51"/>
  <c r="F29" i="51"/>
  <c r="F99" i="51"/>
  <c r="F26" i="51"/>
  <c r="G26" i="51" s="1"/>
  <c r="BS26" i="13" s="1"/>
  <c r="DP26" i="13" s="1"/>
  <c r="EA13" i="12" s="1"/>
  <c r="F62" i="51"/>
  <c r="F93" i="51"/>
  <c r="F92" i="51"/>
  <c r="F96" i="51"/>
  <c r="F53" i="51"/>
  <c r="F24" i="51"/>
  <c r="F52" i="51"/>
  <c r="F10" i="51"/>
  <c r="F95" i="51"/>
  <c r="F35" i="51"/>
  <c r="F39" i="51"/>
  <c r="F61" i="5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J60" i="15"/>
  <c r="J36" i="15"/>
  <c r="K36" i="15" s="1"/>
  <c r="N36" i="13" s="1"/>
  <c r="J12" i="15"/>
  <c r="J34" i="15"/>
  <c r="J56" i="15"/>
  <c r="J55" i="15"/>
  <c r="J53" i="15"/>
  <c r="J93" i="15"/>
  <c r="J59" i="15"/>
  <c r="J35" i="15"/>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J27" i="15"/>
  <c r="J69" i="15"/>
  <c r="J67" i="15"/>
  <c r="J104" i="15"/>
  <c r="J40" i="15"/>
  <c r="J82" i="15"/>
  <c r="J72" i="15"/>
  <c r="J26" i="15"/>
  <c r="J68" i="15"/>
  <c r="J105" i="15"/>
  <c r="J22" i="15"/>
  <c r="J24" i="15"/>
  <c r="J39" i="15"/>
  <c r="J97" i="57"/>
  <c r="J62" i="57"/>
  <c r="J39" i="57"/>
  <c r="J14" i="57"/>
  <c r="J96" i="57"/>
  <c r="J61" i="57"/>
  <c r="J38" i="57"/>
  <c r="J13" i="57"/>
  <c r="J92" i="57"/>
  <c r="J58" i="57"/>
  <c r="J34" i="57"/>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J80" i="57"/>
  <c r="J26" i="57"/>
  <c r="K26" i="57" s="1"/>
  <c r="CF26" i="13" s="1"/>
  <c r="J72" i="57"/>
  <c r="J46" i="57"/>
  <c r="J45" i="57"/>
  <c r="E24" i="51"/>
  <c r="E47" i="51"/>
  <c r="E13" i="51"/>
  <c r="E30" i="51"/>
  <c r="E14" i="51"/>
  <c r="E29" i="51"/>
  <c r="E23" i="51"/>
  <c r="E46" i="51"/>
  <c r="G46" i="51" s="1"/>
  <c r="BS46" i="13" s="1"/>
  <c r="DP46" i="13" s="1"/>
  <c r="E39" i="51"/>
  <c r="E10" i="51"/>
  <c r="E96" i="51"/>
  <c r="E21" i="51"/>
  <c r="E20" i="51"/>
  <c r="E40" i="51"/>
  <c r="G40" i="51" s="1"/>
  <c r="BS40" i="13" s="1"/>
  <c r="DP40" i="13" s="1"/>
  <c r="E95" i="51"/>
  <c r="E93" i="51"/>
  <c r="E92" i="51"/>
  <c r="E62" i="51"/>
  <c r="E61" i="51"/>
  <c r="E59" i="51"/>
  <c r="E36" i="51"/>
  <c r="E9" i="51"/>
  <c r="E6" i="51"/>
  <c r="E43" i="51"/>
  <c r="E58" i="51"/>
  <c r="E35" i="51"/>
  <c r="E7" i="51"/>
  <c r="E44" i="51"/>
  <c r="D102" i="51"/>
  <c r="G102" i="51" s="1"/>
  <c r="BS102" i="13" s="1"/>
  <c r="DP102" i="13" s="1"/>
  <c r="D50" i="51"/>
  <c r="G50" i="51" s="1"/>
  <c r="BS50" i="13" s="1"/>
  <c r="DP50" i="13" s="1"/>
  <c r="D101" i="51"/>
  <c r="G101" i="51" s="1"/>
  <c r="BS101" i="13" s="1"/>
  <c r="DP101" i="13" s="1"/>
  <c r="D86" i="51"/>
  <c r="D68" i="51"/>
  <c r="G68" i="51" s="1"/>
  <c r="BS68" i="13" s="1"/>
  <c r="DP68" i="13" s="1"/>
  <c r="D49" i="51"/>
  <c r="D56" i="51"/>
  <c r="D80" i="51"/>
  <c r="D79" i="51"/>
  <c r="D85" i="51"/>
  <c r="D67" i="51"/>
  <c r="D55" i="51"/>
  <c r="G55" i="51" s="1"/>
  <c r="BS55" i="13" s="1"/>
  <c r="DP55" i="13" s="1"/>
  <c r="D43" i="51"/>
  <c r="D21" i="51"/>
  <c r="D53" i="51"/>
  <c r="D20" i="51"/>
  <c r="D52" i="51"/>
  <c r="G52" i="51" s="1"/>
  <c r="BS52" i="13" s="1"/>
  <c r="DP52" i="13" s="1"/>
  <c r="D83" i="51"/>
  <c r="G83" i="51" s="1"/>
  <c r="BS83" i="13" s="1"/>
  <c r="DP83" i="13" s="1"/>
  <c r="D44" i="51"/>
  <c r="D82" i="51"/>
  <c r="D67" i="59"/>
  <c r="D56" i="59"/>
  <c r="D55" i="59"/>
  <c r="D23" i="59"/>
  <c r="D21" i="59"/>
  <c r="D68" i="59"/>
  <c r="D61" i="59"/>
  <c r="D85" i="59"/>
  <c r="D20" i="59"/>
  <c r="D14" i="59"/>
  <c r="D13" i="59"/>
  <c r="D43" i="59"/>
  <c r="D36" i="59"/>
  <c r="G36" i="59" s="1"/>
  <c r="BA36" i="13" s="1"/>
  <c r="D62" i="59"/>
  <c r="G62" i="59" s="1"/>
  <c r="BA62" i="13" s="1"/>
  <c r="D44" i="59"/>
  <c r="D86" i="59"/>
  <c r="D35" i="59"/>
  <c r="D24" i="59"/>
  <c r="L62" i="59"/>
  <c r="L42" i="59"/>
  <c r="L31" i="59"/>
  <c r="L19" i="59"/>
  <c r="L78" i="59"/>
  <c r="O78" i="59" s="1"/>
  <c r="BC78" i="13" s="1"/>
  <c r="L61" i="59"/>
  <c r="O61" i="59" s="1"/>
  <c r="BC61" i="13" s="1"/>
  <c r="L51" i="59"/>
  <c r="L14" i="59"/>
  <c r="L86" i="59"/>
  <c r="L56" i="59"/>
  <c r="L23" i="59"/>
  <c r="L72" i="59"/>
  <c r="L35" i="59"/>
  <c r="L68" i="59"/>
  <c r="L55" i="59"/>
  <c r="L67" i="59"/>
  <c r="L43" i="59"/>
  <c r="L20" i="59"/>
  <c r="L81" i="59"/>
  <c r="O81" i="59" s="1"/>
  <c r="BC81" i="13" s="1"/>
  <c r="L54" i="59"/>
  <c r="L44" i="59"/>
  <c r="L21" i="59"/>
  <c r="L13" i="59"/>
  <c r="L85" i="59"/>
  <c r="L84" i="59"/>
  <c r="O84" i="59" s="1"/>
  <c r="BC84" i="13" s="1"/>
  <c r="L69" i="59"/>
  <c r="L48" i="59"/>
  <c r="O48" i="59" s="1"/>
  <c r="BC48" i="13" s="1"/>
  <c r="L36" i="59"/>
  <c r="L24" i="59"/>
  <c r="M32" i="59"/>
  <c r="M103" i="59"/>
  <c r="M91" i="59"/>
  <c r="M79" i="59"/>
  <c r="M52" i="59"/>
  <c r="M102" i="59"/>
  <c r="M86" i="59"/>
  <c r="M72" i="59"/>
  <c r="M60" i="59"/>
  <c r="O60" i="59" s="1"/>
  <c r="BC60" i="13" s="1"/>
  <c r="M101" i="59"/>
  <c r="M49" i="59"/>
  <c r="M83" i="59"/>
  <c r="M68" i="59"/>
  <c r="M80" i="59"/>
  <c r="O80" i="59" s="1"/>
  <c r="BC80" i="13" s="1"/>
  <c r="M97" i="59"/>
  <c r="O97" i="59" s="1"/>
  <c r="BC97" i="13" s="1"/>
  <c r="M55" i="59"/>
  <c r="M45" i="59"/>
  <c r="O45" i="59" s="1"/>
  <c r="BC45" i="13" s="1"/>
  <c r="M22" i="59"/>
  <c r="M38" i="59" s="1"/>
  <c r="M8" i="59"/>
  <c r="M82" i="59"/>
  <c r="M44" i="59"/>
  <c r="M21" i="59"/>
  <c r="M43" i="59"/>
  <c r="M20" i="59"/>
  <c r="M5" i="59"/>
  <c r="M85" i="59"/>
  <c r="M67" i="59"/>
  <c r="M33" i="59"/>
  <c r="M53" i="59"/>
  <c r="M50" i="59"/>
  <c r="O50" i="59" s="1"/>
  <c r="BC50" i="13" s="1"/>
  <c r="M69" i="59"/>
  <c r="M56" i="59"/>
  <c r="M12" i="59"/>
  <c r="M100" i="59"/>
  <c r="H67" i="59"/>
  <c r="H43" i="59"/>
  <c r="H20" i="59"/>
  <c r="H62" i="59"/>
  <c r="K62" i="59" s="1"/>
  <c r="BB62" i="13" s="1"/>
  <c r="H42" i="59"/>
  <c r="H31" i="59"/>
  <c r="H19" i="59"/>
  <c r="H51" i="59"/>
  <c r="H86" i="59"/>
  <c r="H85" i="59"/>
  <c r="H48" i="59"/>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H72" i="59"/>
  <c r="H13" i="59"/>
  <c r="K13" i="59" s="1"/>
  <c r="BB13" i="13" s="1"/>
  <c r="I43" i="59"/>
  <c r="I20" i="59"/>
  <c r="I80" i="59"/>
  <c r="I53" i="59"/>
  <c r="I32" i="59"/>
  <c r="I5" i="59"/>
  <c r="I103" i="59"/>
  <c r="I91" i="59"/>
  <c r="I79" i="59"/>
  <c r="I52" i="59"/>
  <c r="K52" i="59" s="1"/>
  <c r="BB52" i="13" s="1"/>
  <c r="I100" i="59"/>
  <c r="I69" i="59"/>
  <c r="I12" i="59"/>
  <c r="I72" i="59"/>
  <c r="I56" i="59"/>
  <c r="K56" i="59" s="1"/>
  <c r="BB56" i="13" s="1"/>
  <c r="I102" i="59"/>
  <c r="I60" i="59"/>
  <c r="I44" i="59"/>
  <c r="I83" i="59"/>
  <c r="I68" i="59"/>
  <c r="I55" i="59"/>
  <c r="I45" i="59"/>
  <c r="I22" i="59"/>
  <c r="I38" i="59" s="1"/>
  <c r="I8" i="59"/>
  <c r="I82" i="59"/>
  <c r="I21" i="59"/>
  <c r="I67" i="59"/>
  <c r="I97" i="59"/>
  <c r="I33" i="59"/>
  <c r="I86" i="59"/>
  <c r="I50" i="59"/>
  <c r="K50" i="59" s="1"/>
  <c r="BB50" i="13" s="1"/>
  <c r="I101" i="59"/>
  <c r="I85" i="59"/>
  <c r="I49" i="59"/>
  <c r="O40" i="59"/>
  <c r="BC40" i="13" s="1"/>
  <c r="O30" i="59"/>
  <c r="BC30" i="13" s="1"/>
  <c r="O59" i="59"/>
  <c r="BC59" i="13" s="1"/>
  <c r="O34" i="59"/>
  <c r="BC34" i="13" s="1"/>
  <c r="O26" i="59"/>
  <c r="BC26" i="13" s="1"/>
  <c r="O6" i="59"/>
  <c r="BC6" i="13" s="1"/>
  <c r="N5" i="59"/>
  <c r="O47" i="59"/>
  <c r="BC47" i="13" s="1"/>
  <c r="O10" i="59"/>
  <c r="BC10" i="13" s="1"/>
  <c r="E67" i="59"/>
  <c r="E102" i="59"/>
  <c r="E101" i="59"/>
  <c r="E85" i="59"/>
  <c r="E80" i="59"/>
  <c r="E68" i="59"/>
  <c r="E79" i="59"/>
  <c r="E86" i="59"/>
  <c r="E56" i="59"/>
  <c r="E55" i="59"/>
  <c r="E83" i="59"/>
  <c r="E82" i="59"/>
  <c r="E53" i="59"/>
  <c r="E49" i="59"/>
  <c r="G49" i="59" s="1"/>
  <c r="BA49" i="13" s="1"/>
  <c r="E52" i="59"/>
  <c r="G52" i="59" s="1"/>
  <c r="BA52" i="13" s="1"/>
  <c r="E50" i="59"/>
  <c r="E33" i="59"/>
  <c r="G33" i="59" s="1"/>
  <c r="BA33" i="13" s="1"/>
  <c r="E32" i="59"/>
  <c r="E44" i="59"/>
  <c r="E21" i="59"/>
  <c r="E20" i="59"/>
  <c r="E43" i="59"/>
  <c r="J5" i="59"/>
  <c r="K10" i="59"/>
  <c r="BB10" i="13" s="1"/>
  <c r="K46" i="59"/>
  <c r="BB46" i="13" s="1"/>
  <c r="K9" i="59"/>
  <c r="BB9" i="13" s="1"/>
  <c r="K7" i="59"/>
  <c r="BB7" i="13" s="1"/>
  <c r="K30" i="59"/>
  <c r="BB30" i="13" s="1"/>
  <c r="K6" i="59"/>
  <c r="BB6" i="13" s="1"/>
  <c r="K58" i="59"/>
  <c r="BB58" i="13" s="1"/>
  <c r="D84" i="59"/>
  <c r="G84" i="59" s="1"/>
  <c r="BA84" i="13" s="1"/>
  <c r="D69" i="59"/>
  <c r="D54" i="59"/>
  <c r="D81" i="59"/>
  <c r="G81" i="59" s="1"/>
  <c r="BA81" i="13" s="1"/>
  <c r="D19" i="59"/>
  <c r="D42" i="59"/>
  <c r="D31" i="59"/>
  <c r="D78" i="59"/>
  <c r="G78" i="59" s="1"/>
  <c r="BA78" i="13" s="1"/>
  <c r="D72" i="59"/>
  <c r="D51" i="59"/>
  <c r="G51" i="59" s="1"/>
  <c r="BA51" i="13" s="1"/>
  <c r="D48" i="59"/>
  <c r="E22" i="59"/>
  <c r="E38" i="59" s="1"/>
  <c r="E97" i="59"/>
  <c r="E45" i="59"/>
  <c r="E103" i="59"/>
  <c r="E60" i="59"/>
  <c r="E91" i="59"/>
  <c r="G91" i="59" s="1"/>
  <c r="BA91" i="13" s="1"/>
  <c r="E12" i="59"/>
  <c r="E72" i="59"/>
  <c r="E5" i="59"/>
  <c r="E100" i="59"/>
  <c r="E8" i="59"/>
  <c r="E69" i="59"/>
  <c r="F22" i="59"/>
  <c r="G9" i="59"/>
  <c r="BA9" i="13" s="1"/>
  <c r="F34" i="59"/>
  <c r="G34" i="59" s="1"/>
  <c r="BA34" i="13" s="1"/>
  <c r="G7" i="59"/>
  <c r="BA7" i="13" s="1"/>
  <c r="F97" i="59"/>
  <c r="F45" i="59"/>
  <c r="G6" i="59"/>
  <c r="BA6" i="13" s="1"/>
  <c r="F19" i="59"/>
  <c r="F103" i="59"/>
  <c r="F42" i="59"/>
  <c r="F31" i="59"/>
  <c r="F91" i="59"/>
  <c r="F12" i="59"/>
  <c r="F72" i="59"/>
  <c r="G26" i="59"/>
  <c r="BA26" i="13" s="1"/>
  <c r="F100" i="59"/>
  <c r="G100" i="59" s="1"/>
  <c r="BA100" i="13" s="1"/>
  <c r="F38" i="59"/>
  <c r="F8" i="59"/>
  <c r="F5" i="59"/>
  <c r="F60" i="59"/>
  <c r="F69" i="59"/>
  <c r="G29" i="59"/>
  <c r="BA29" i="13" s="1"/>
  <c r="Z104" i="14"/>
  <c r="Z40" i="14"/>
  <c r="Z98" i="14"/>
  <c r="AA98" i="14" s="1"/>
  <c r="J98" i="13" s="1"/>
  <c r="Z55" i="14"/>
  <c r="Z9" i="14"/>
  <c r="Z96" i="14"/>
  <c r="Z83" i="14"/>
  <c r="Z67" i="14"/>
  <c r="Z23" i="14"/>
  <c r="Z7" i="14"/>
  <c r="AA7" i="14" s="1"/>
  <c r="J7" i="13" s="1"/>
  <c r="Z33" i="14"/>
  <c r="Z6" i="14"/>
  <c r="Z95" i="14"/>
  <c r="Z82" i="14"/>
  <c r="Z62" i="14"/>
  <c r="Z53" i="14"/>
  <c r="Z32" i="14"/>
  <c r="Z102" i="14"/>
  <c r="Z27" i="14"/>
  <c r="AA27" i="14" s="1"/>
  <c r="J27" i="13" s="1"/>
  <c r="Z101" i="14"/>
  <c r="Z56" i="14"/>
  <c r="Z39" i="14"/>
  <c r="Z80" i="14"/>
  <c r="Z26" i="14"/>
  <c r="AA26" i="14" s="1"/>
  <c r="J26" i="13" s="1"/>
  <c r="Z79" i="14"/>
  <c r="Z24" i="14"/>
  <c r="Z52" i="14"/>
  <c r="Z30" i="14"/>
  <c r="Z92" i="14"/>
  <c r="Z13" i="14"/>
  <c r="Z59" i="14"/>
  <c r="Z36" i="14"/>
  <c r="Z50" i="14"/>
  <c r="Z58" i="14"/>
  <c r="Z86" i="14"/>
  <c r="Z35" i="14"/>
  <c r="Z10" i="14"/>
  <c r="AA10" i="14" s="1"/>
  <c r="J10" i="13" s="1"/>
  <c r="Z85" i="14"/>
  <c r="Z103" i="14"/>
  <c r="Z47" i="14"/>
  <c r="Z29" i="14"/>
  <c r="Z14" i="14"/>
  <c r="Z99" i="14"/>
  <c r="AA99" i="14" s="1"/>
  <c r="J99" i="13" s="1"/>
  <c r="Z46" i="14"/>
  <c r="Z93" i="14"/>
  <c r="Z68" i="14"/>
  <c r="Z61" i="14"/>
  <c r="Z49" i="14"/>
  <c r="Z105" i="14"/>
  <c r="L85" i="14"/>
  <c r="L56" i="14"/>
  <c r="L49" i="14"/>
  <c r="L79" i="14"/>
  <c r="L50" i="14"/>
  <c r="L102" i="14"/>
  <c r="L80" i="14"/>
  <c r="L21" i="14"/>
  <c r="L53" i="14"/>
  <c r="L20" i="14"/>
  <c r="L86" i="14"/>
  <c r="L84" i="14"/>
  <c r="L67" i="14"/>
  <c r="L44" i="14"/>
  <c r="L43" i="14"/>
  <c r="L83" i="14"/>
  <c r="L82" i="14"/>
  <c r="L68" i="14"/>
  <c r="L55" i="14"/>
  <c r="L101" i="14"/>
  <c r="L33" i="14"/>
  <c r="L32" i="14"/>
  <c r="L52" i="14"/>
  <c r="H55" i="14"/>
  <c r="H101" i="14"/>
  <c r="H102" i="14"/>
  <c r="H49" i="14"/>
  <c r="H86" i="14"/>
  <c r="H79" i="14"/>
  <c r="H68" i="14"/>
  <c r="H33" i="14"/>
  <c r="H52" i="14"/>
  <c r="H20" i="14"/>
  <c r="H44" i="14"/>
  <c r="H85" i="14"/>
  <c r="H43" i="14"/>
  <c r="H56" i="14"/>
  <c r="H21" i="14"/>
  <c r="H84" i="14"/>
  <c r="K84" i="14" s="1"/>
  <c r="F84" i="13" s="1"/>
  <c r="H83" i="14"/>
  <c r="H32" i="14"/>
  <c r="H67" i="14"/>
  <c r="H53" i="14"/>
  <c r="H82" i="14"/>
  <c r="H80" i="14"/>
  <c r="H50" i="14"/>
  <c r="P32" i="14"/>
  <c r="P21" i="14"/>
  <c r="P52" i="14"/>
  <c r="P20" i="14"/>
  <c r="P80" i="14"/>
  <c r="P79" i="14"/>
  <c r="P50" i="14"/>
  <c r="P82" i="14"/>
  <c r="P55" i="14"/>
  <c r="P43" i="14"/>
  <c r="P102" i="14"/>
  <c r="P68" i="14"/>
  <c r="P44" i="14"/>
  <c r="P101" i="14"/>
  <c r="P67" i="14"/>
  <c r="P56" i="14"/>
  <c r="P86" i="14"/>
  <c r="P85" i="14"/>
  <c r="P84" i="14"/>
  <c r="S84" i="14" s="1"/>
  <c r="H84" i="13" s="1"/>
  <c r="P53" i="14"/>
  <c r="P49" i="14"/>
  <c r="P33" i="14"/>
  <c r="P83" i="14"/>
  <c r="X80" i="14"/>
  <c r="X84" i="14"/>
  <c r="AA84" i="14" s="1"/>
  <c r="J84" i="13" s="1"/>
  <c r="X68" i="14"/>
  <c r="X55" i="14"/>
  <c r="X83" i="14"/>
  <c r="X67" i="14"/>
  <c r="X44" i="14"/>
  <c r="X33" i="14"/>
  <c r="X82" i="14"/>
  <c r="X53" i="14"/>
  <c r="X43" i="14"/>
  <c r="X101" i="14"/>
  <c r="X56" i="14"/>
  <c r="AA56" i="14" s="1"/>
  <c r="J56" i="13" s="1"/>
  <c r="X21" i="14"/>
  <c r="X102" i="14"/>
  <c r="X79" i="14"/>
  <c r="X50" i="14"/>
  <c r="X86" i="14"/>
  <c r="X32" i="14"/>
  <c r="X52" i="14"/>
  <c r="X85" i="14"/>
  <c r="X49" i="14"/>
  <c r="X20" i="14"/>
  <c r="U59" i="14"/>
  <c r="U39" i="14"/>
  <c r="U14" i="14"/>
  <c r="U95" i="14"/>
  <c r="U62" i="14"/>
  <c r="U94" i="14"/>
  <c r="W94" i="14" s="1"/>
  <c r="I94" i="13" s="1"/>
  <c r="U61" i="14"/>
  <c r="U93" i="14"/>
  <c r="U24" i="14"/>
  <c r="U23" i="14"/>
  <c r="U46" i="14"/>
  <c r="U30" i="14"/>
  <c r="U47" i="14"/>
  <c r="U29" i="14"/>
  <c r="U35" i="14"/>
  <c r="U96" i="14"/>
  <c r="U36" i="14"/>
  <c r="U92" i="14"/>
  <c r="U13" i="14"/>
  <c r="U58" i="14"/>
  <c r="U40" i="14"/>
  <c r="V102" i="14"/>
  <c r="V49" i="14"/>
  <c r="V29" i="14"/>
  <c r="V95" i="14"/>
  <c r="V82" i="14"/>
  <c r="V62" i="14"/>
  <c r="V53" i="14"/>
  <c r="V6" i="14"/>
  <c r="W6" i="14" s="1"/>
  <c r="I6" i="13" s="1"/>
  <c r="V32" i="14"/>
  <c r="V61" i="14"/>
  <c r="V52" i="14"/>
  <c r="V105" i="14"/>
  <c r="V93" i="14"/>
  <c r="V80" i="14"/>
  <c r="V104" i="14"/>
  <c r="V40" i="14"/>
  <c r="V101" i="14"/>
  <c r="V56" i="14"/>
  <c r="V39" i="14"/>
  <c r="V79" i="14"/>
  <c r="V23" i="14"/>
  <c r="V55" i="14"/>
  <c r="V99" i="14"/>
  <c r="W99" i="14" s="1"/>
  <c r="I99" i="13" s="1"/>
  <c r="V36" i="14"/>
  <c r="V103" i="14"/>
  <c r="V47" i="14"/>
  <c r="V27" i="14"/>
  <c r="W27" i="14" s="1"/>
  <c r="I27" i="13" s="1"/>
  <c r="V26" i="14"/>
  <c r="W26" i="14" s="1"/>
  <c r="I26" i="13" s="1"/>
  <c r="V68" i="14"/>
  <c r="V24" i="14"/>
  <c r="V85" i="14"/>
  <c r="V33" i="14"/>
  <c r="V7" i="14"/>
  <c r="W7" i="14" s="1"/>
  <c r="I7" i="13" s="1"/>
  <c r="V50" i="14"/>
  <c r="V30" i="14"/>
  <c r="V46" i="14"/>
  <c r="V98" i="14"/>
  <c r="V83" i="14"/>
  <c r="V14" i="14"/>
  <c r="V86" i="14"/>
  <c r="V13" i="14"/>
  <c r="V10" i="14"/>
  <c r="V96" i="14"/>
  <c r="V92" i="14"/>
  <c r="V67" i="14"/>
  <c r="V59" i="14"/>
  <c r="V58" i="14"/>
  <c r="V9" i="14"/>
  <c r="W9" i="14" s="1"/>
  <c r="I9" i="13" s="1"/>
  <c r="V35" i="14"/>
  <c r="Y93" i="14"/>
  <c r="Y46" i="14"/>
  <c r="Y35" i="14"/>
  <c r="Y24" i="14"/>
  <c r="Y96" i="14"/>
  <c r="Y23" i="14"/>
  <c r="Y95" i="14"/>
  <c r="Y62" i="14"/>
  <c r="Y58" i="14"/>
  <c r="Y40" i="14"/>
  <c r="Y39" i="14"/>
  <c r="Y13" i="14"/>
  <c r="Y92" i="14"/>
  <c r="Y59" i="14"/>
  <c r="Y36" i="14"/>
  <c r="AA36" i="14" s="1"/>
  <c r="J36" i="13" s="1"/>
  <c r="Y30" i="14"/>
  <c r="AA30" i="14" s="1"/>
  <c r="J30" i="13" s="1"/>
  <c r="Y47" i="14"/>
  <c r="Y14" i="14"/>
  <c r="Y61" i="14"/>
  <c r="Y94" i="14"/>
  <c r="Y29" i="14"/>
  <c r="AC94" i="14"/>
  <c r="AE94" i="14" s="1"/>
  <c r="K94" i="13" s="1"/>
  <c r="AC47" i="14"/>
  <c r="AC36" i="14"/>
  <c r="AC46" i="14"/>
  <c r="AC35" i="14"/>
  <c r="AC24" i="14"/>
  <c r="AC96" i="14"/>
  <c r="AC23" i="14"/>
  <c r="AC40" i="14"/>
  <c r="AC58" i="14"/>
  <c r="AC92" i="14"/>
  <c r="AC59" i="14"/>
  <c r="AC13" i="14"/>
  <c r="AC62" i="14"/>
  <c r="AC61" i="14"/>
  <c r="AC95" i="14"/>
  <c r="AC93" i="14"/>
  <c r="AC39" i="14"/>
  <c r="AC14" i="14"/>
  <c r="AC30" i="14"/>
  <c r="AC29" i="14"/>
  <c r="I59" i="14"/>
  <c r="I39" i="14"/>
  <c r="I14" i="14"/>
  <c r="I29" i="14"/>
  <c r="I58" i="14"/>
  <c r="I13" i="14"/>
  <c r="I47" i="14"/>
  <c r="I36" i="14"/>
  <c r="I35" i="14"/>
  <c r="I95" i="14"/>
  <c r="I94" i="14"/>
  <c r="K94" i="14" s="1"/>
  <c r="F94" i="13" s="1"/>
  <c r="I92" i="14"/>
  <c r="I24" i="14"/>
  <c r="I96" i="14"/>
  <c r="I62" i="14"/>
  <c r="I23" i="14"/>
  <c r="I93" i="14"/>
  <c r="I61" i="14"/>
  <c r="I40" i="14"/>
  <c r="I30" i="14"/>
  <c r="I46" i="14"/>
  <c r="D67" i="57"/>
  <c r="D44" i="57"/>
  <c r="D102" i="57"/>
  <c r="D56" i="57"/>
  <c r="D50" i="57"/>
  <c r="D55" i="57"/>
  <c r="D49" i="57"/>
  <c r="D101" i="57"/>
  <c r="D68" i="57"/>
  <c r="D33" i="57"/>
  <c r="D83" i="57"/>
  <c r="D52" i="57"/>
  <c r="D98" i="57"/>
  <c r="D53" i="57"/>
  <c r="D32" i="57"/>
  <c r="D85" i="57"/>
  <c r="D86" i="57"/>
  <c r="D43" i="57"/>
  <c r="D99" i="57"/>
  <c r="D21" i="57"/>
  <c r="D20" i="57"/>
  <c r="D82" i="57"/>
  <c r="Q58" i="14"/>
  <c r="Q13" i="14"/>
  <c r="Q94" i="14"/>
  <c r="S94" i="14" s="1"/>
  <c r="H94" i="13" s="1"/>
  <c r="Q61" i="14"/>
  <c r="Q40" i="14"/>
  <c r="Q93" i="14"/>
  <c r="Q92" i="14"/>
  <c r="Q30" i="14"/>
  <c r="Q23" i="14"/>
  <c r="Q36" i="14"/>
  <c r="Q14" i="14"/>
  <c r="Q59" i="14"/>
  <c r="Q47" i="14"/>
  <c r="Q62" i="14"/>
  <c r="Q39" i="14"/>
  <c r="Q46" i="14"/>
  <c r="Q24" i="14"/>
  <c r="Q96" i="14"/>
  <c r="Q95" i="14"/>
  <c r="Q35" i="14"/>
  <c r="Q29" i="14"/>
  <c r="E95" i="57"/>
  <c r="E98" i="57"/>
  <c r="E82" i="57"/>
  <c r="E80" i="57"/>
  <c r="E55" i="57"/>
  <c r="E49" i="57"/>
  <c r="E35" i="57"/>
  <c r="G35" i="57" s="1"/>
  <c r="CE35" i="13" s="1"/>
  <c r="E13" i="57"/>
  <c r="E30" i="57"/>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G56" i="57" s="1"/>
  <c r="CE56" i="13" s="1"/>
  <c r="E53" i="57"/>
  <c r="G53" i="57" s="1"/>
  <c r="CE53" i="13" s="1"/>
  <c r="E102" i="57"/>
  <c r="G102" i="57" s="1"/>
  <c r="CE102" i="13" s="1"/>
  <c r="E21" i="57"/>
  <c r="E99" i="57"/>
  <c r="E20" i="57"/>
  <c r="E58" i="57"/>
  <c r="E39" i="57"/>
  <c r="E40" i="57"/>
  <c r="E36" i="57"/>
  <c r="R101" i="14"/>
  <c r="R86" i="14"/>
  <c r="R61" i="14"/>
  <c r="R52" i="14"/>
  <c r="R79" i="14"/>
  <c r="R105" i="14"/>
  <c r="R93" i="14"/>
  <c r="R80" i="14"/>
  <c r="R104" i="14"/>
  <c r="R40" i="14"/>
  <c r="R50" i="14"/>
  <c r="R103" i="14"/>
  <c r="R92" i="14"/>
  <c r="R30" i="14"/>
  <c r="R59" i="14"/>
  <c r="R39" i="14"/>
  <c r="R14" i="14"/>
  <c r="R55" i="14"/>
  <c r="R98" i="14"/>
  <c r="R35" i="14"/>
  <c r="R99" i="14"/>
  <c r="S99" i="14" s="1"/>
  <c r="H99" i="13" s="1"/>
  <c r="R36" i="14"/>
  <c r="R96" i="14"/>
  <c r="R53" i="14"/>
  <c r="R10" i="14"/>
  <c r="S10" i="14" s="1"/>
  <c r="H10" i="13" s="1"/>
  <c r="R95" i="14"/>
  <c r="R62" i="14"/>
  <c r="R13" i="14"/>
  <c r="R47" i="14"/>
  <c r="R27" i="14"/>
  <c r="S27" i="14" s="1"/>
  <c r="H27" i="13" s="1"/>
  <c r="R102" i="14"/>
  <c r="R26" i="14"/>
  <c r="S26" i="14" s="1"/>
  <c r="H26" i="13" s="1"/>
  <c r="R46" i="14"/>
  <c r="R68" i="14"/>
  <c r="R24" i="14"/>
  <c r="R67" i="14"/>
  <c r="R23" i="14"/>
  <c r="R58" i="14"/>
  <c r="R6" i="14"/>
  <c r="S6" i="14" s="1"/>
  <c r="H6" i="13" s="1"/>
  <c r="R56" i="14"/>
  <c r="S56" i="14" s="1"/>
  <c r="H56" i="13" s="1"/>
  <c r="R83" i="14"/>
  <c r="S83" i="14" s="1"/>
  <c r="H83" i="13" s="1"/>
  <c r="R9" i="14"/>
  <c r="S9" i="14" s="1"/>
  <c r="H9" i="13" s="1"/>
  <c r="R82" i="14"/>
  <c r="R49" i="14"/>
  <c r="R33" i="14"/>
  <c r="R85" i="14"/>
  <c r="R32" i="14"/>
  <c r="R29" i="14"/>
  <c r="R7" i="14"/>
  <c r="J5" i="57"/>
  <c r="K27" i="57"/>
  <c r="CF27" i="13" s="1"/>
  <c r="J96" i="14"/>
  <c r="J83" i="14"/>
  <c r="J67" i="14"/>
  <c r="J23" i="14"/>
  <c r="J7" i="14"/>
  <c r="K7" i="14" s="1"/>
  <c r="F7" i="13" s="1"/>
  <c r="J102" i="14"/>
  <c r="K102" i="14" s="1"/>
  <c r="F102" i="13" s="1"/>
  <c r="J49" i="14"/>
  <c r="J29" i="14"/>
  <c r="J58" i="14"/>
  <c r="J13" i="14"/>
  <c r="J36" i="14"/>
  <c r="J101" i="14"/>
  <c r="J86" i="14"/>
  <c r="K86" i="14" s="1"/>
  <c r="F86" i="13" s="1"/>
  <c r="J47" i="14"/>
  <c r="J27" i="14"/>
  <c r="K27" i="14" s="1"/>
  <c r="F27" i="13" s="1"/>
  <c r="J85" i="14"/>
  <c r="J56" i="14"/>
  <c r="J26" i="14"/>
  <c r="K26" i="14" s="1"/>
  <c r="F26" i="13" s="1"/>
  <c r="J95" i="14"/>
  <c r="J52" i="14"/>
  <c r="K52" i="14" s="1"/>
  <c r="F52" i="13" s="1"/>
  <c r="J68" i="14"/>
  <c r="K68" i="14" s="1"/>
  <c r="F68" i="13" s="1"/>
  <c r="J33" i="14"/>
  <c r="J14" i="14"/>
  <c r="J40" i="14"/>
  <c r="J10" i="14"/>
  <c r="K10" i="14" s="1"/>
  <c r="F10" i="13" s="1"/>
  <c r="J39" i="14"/>
  <c r="J98" i="14"/>
  <c r="K98" i="14" s="1"/>
  <c r="F98" i="13" s="1"/>
  <c r="J62" i="14"/>
  <c r="J61" i="14"/>
  <c r="J55" i="14"/>
  <c r="J93" i="14"/>
  <c r="J59" i="14"/>
  <c r="J9" i="14"/>
  <c r="J92" i="14"/>
  <c r="J103" i="14"/>
  <c r="J99" i="14"/>
  <c r="K99" i="14" s="1"/>
  <c r="F99" i="13" s="1"/>
  <c r="J32" i="14"/>
  <c r="J82" i="14"/>
  <c r="K82" i="14" s="1"/>
  <c r="F82" i="13" s="1"/>
  <c r="J80" i="14"/>
  <c r="J24" i="14"/>
  <c r="J6" i="14"/>
  <c r="K6" i="14" s="1"/>
  <c r="F6" i="13" s="1"/>
  <c r="J53" i="14"/>
  <c r="J50" i="14"/>
  <c r="J105" i="14"/>
  <c r="J104" i="14"/>
  <c r="J46" i="14"/>
  <c r="J30" i="14"/>
  <c r="J79" i="14"/>
  <c r="K79" i="14" s="1"/>
  <c r="F79" i="13" s="1"/>
  <c r="J35" i="14"/>
  <c r="I98" i="57"/>
  <c r="I79" i="57"/>
  <c r="I62" i="57"/>
  <c r="I29" i="57"/>
  <c r="K29" i="57" s="1"/>
  <c r="CF29" i="13" s="1"/>
  <c r="I14" i="57"/>
  <c r="I93" i="57"/>
  <c r="I82" i="57"/>
  <c r="I32" i="57"/>
  <c r="I21" i="57"/>
  <c r="I68" i="57"/>
  <c r="I56" i="57"/>
  <c r="I100" i="57"/>
  <c r="I92" i="57"/>
  <c r="I49" i="57"/>
  <c r="I40" i="57"/>
  <c r="I20" i="57"/>
  <c r="I5" i="57"/>
  <c r="I99" i="57"/>
  <c r="I91" i="57"/>
  <c r="I80" i="57"/>
  <c r="I67" i="57"/>
  <c r="I55" i="57"/>
  <c r="I39" i="57"/>
  <c r="I30" i="57"/>
  <c r="K30" i="57" s="1"/>
  <c r="CF30" i="13" s="1"/>
  <c r="I58" i="57"/>
  <c r="I43" i="57"/>
  <c r="I24" i="57"/>
  <c r="I105" i="57"/>
  <c r="I53" i="57"/>
  <c r="I23" i="57"/>
  <c r="I104" i="57"/>
  <c r="I72" i="57"/>
  <c r="I96" i="57"/>
  <c r="I95" i="57"/>
  <c r="I101" i="57"/>
  <c r="I102" i="57"/>
  <c r="I83" i="57"/>
  <c r="I35" i="57"/>
  <c r="K35" i="57" s="1"/>
  <c r="CF35" i="13" s="1"/>
  <c r="I8" i="57"/>
  <c r="I61" i="57"/>
  <c r="I44" i="57"/>
  <c r="I60" i="57"/>
  <c r="K60" i="57" s="1"/>
  <c r="CF60" i="13" s="1"/>
  <c r="I13" i="57"/>
  <c r="I85" i="57"/>
  <c r="I52" i="57"/>
  <c r="I103" i="57"/>
  <c r="I36" i="57"/>
  <c r="I59" i="57"/>
  <c r="K59" i="57" s="1"/>
  <c r="CF59" i="13" s="1"/>
  <c r="I12" i="57"/>
  <c r="I33" i="57"/>
  <c r="I50" i="57"/>
  <c r="I86" i="57"/>
  <c r="I69" i="57"/>
  <c r="I47" i="57"/>
  <c r="I46" i="57"/>
  <c r="I97" i="57"/>
  <c r="K97" i="57" s="1"/>
  <c r="CF97" i="13" s="1"/>
  <c r="I45" i="57"/>
  <c r="I22" i="57"/>
  <c r="I38" i="57" s="1"/>
  <c r="AH33" i="14"/>
  <c r="AH6" i="14"/>
  <c r="AH58" i="14"/>
  <c r="AH13" i="14"/>
  <c r="AH55" i="14"/>
  <c r="AH101" i="14"/>
  <c r="AH86" i="14"/>
  <c r="AH47" i="14"/>
  <c r="AH36" i="14"/>
  <c r="AH27" i="14"/>
  <c r="AI27" i="14" s="1"/>
  <c r="L27" i="13" s="1"/>
  <c r="AH85" i="14"/>
  <c r="AH56" i="14"/>
  <c r="AH26" i="14"/>
  <c r="AI26" i="14" s="1"/>
  <c r="L26" i="13" s="1"/>
  <c r="AH99" i="14"/>
  <c r="AI99" i="14" s="1"/>
  <c r="L99" i="13" s="1"/>
  <c r="AH68" i="14"/>
  <c r="AH46" i="14"/>
  <c r="AH35" i="14"/>
  <c r="AH24" i="14"/>
  <c r="AH10" i="14"/>
  <c r="AH98" i="14"/>
  <c r="AI98" i="14" s="1"/>
  <c r="L98" i="13" s="1"/>
  <c r="AH61" i="14"/>
  <c r="AH23" i="14"/>
  <c r="AH92" i="14"/>
  <c r="AH29" i="14"/>
  <c r="AH105" i="14"/>
  <c r="AH79" i="14"/>
  <c r="AH104" i="14"/>
  <c r="AH49" i="14"/>
  <c r="AH82" i="14"/>
  <c r="AH30" i="14"/>
  <c r="AH40" i="14"/>
  <c r="AH52" i="14"/>
  <c r="AH103" i="14"/>
  <c r="AH14" i="14"/>
  <c r="AH80" i="14"/>
  <c r="AH50" i="14"/>
  <c r="AH67" i="14"/>
  <c r="AH32" i="14"/>
  <c r="AH93" i="14"/>
  <c r="AH59" i="14"/>
  <c r="AH39" i="14"/>
  <c r="AH102" i="14"/>
  <c r="AH96" i="14"/>
  <c r="AH95" i="14"/>
  <c r="AH83" i="14"/>
  <c r="AH9" i="14"/>
  <c r="AI9" i="14" s="1"/>
  <c r="L9" i="13" s="1"/>
  <c r="AH62" i="14"/>
  <c r="AH7" i="14"/>
  <c r="AH53" i="14"/>
  <c r="AF83" i="14"/>
  <c r="AF67" i="14"/>
  <c r="AF102" i="14"/>
  <c r="AF49" i="14"/>
  <c r="AF84" i="14"/>
  <c r="AF101" i="14"/>
  <c r="AF86" i="14"/>
  <c r="AF85" i="14"/>
  <c r="AF56" i="14"/>
  <c r="AF68" i="14"/>
  <c r="AI68" i="14" s="1"/>
  <c r="L68" i="13" s="1"/>
  <c r="AF44" i="14"/>
  <c r="AF43" i="14"/>
  <c r="AF50" i="14"/>
  <c r="AF20" i="14"/>
  <c r="AF53" i="14"/>
  <c r="AF82" i="14"/>
  <c r="AF52" i="14"/>
  <c r="AF79" i="14"/>
  <c r="AF80" i="14"/>
  <c r="AF21" i="14"/>
  <c r="AF32" i="14"/>
  <c r="AF55" i="14"/>
  <c r="AF33" i="14"/>
  <c r="AD61" i="14"/>
  <c r="AD52" i="14"/>
  <c r="AD85" i="14"/>
  <c r="AD56" i="14"/>
  <c r="AD26" i="14"/>
  <c r="AE26" i="14" s="1"/>
  <c r="K26" i="13" s="1"/>
  <c r="AD99" i="14"/>
  <c r="AE99" i="14" s="1"/>
  <c r="K99" i="13" s="1"/>
  <c r="AD68" i="14"/>
  <c r="AD46" i="14"/>
  <c r="AD35" i="14"/>
  <c r="AD24" i="14"/>
  <c r="AD98" i="14"/>
  <c r="AE98" i="14" s="1"/>
  <c r="K98" i="13" s="1"/>
  <c r="AD55" i="14"/>
  <c r="AD10" i="14"/>
  <c r="AD96" i="14"/>
  <c r="AD83" i="14"/>
  <c r="AD67" i="14"/>
  <c r="AD23" i="14"/>
  <c r="AD9" i="14"/>
  <c r="AE9" i="14" s="1"/>
  <c r="K9" i="13" s="1"/>
  <c r="AD33" i="14"/>
  <c r="AD7" i="14"/>
  <c r="AD58" i="14"/>
  <c r="AD79" i="14"/>
  <c r="AD102" i="14"/>
  <c r="AD80" i="14"/>
  <c r="AD40" i="14"/>
  <c r="AD27" i="14"/>
  <c r="AE27" i="14" s="1"/>
  <c r="K27" i="13" s="1"/>
  <c r="AD101" i="14"/>
  <c r="AD39" i="14"/>
  <c r="AD59" i="14"/>
  <c r="AD13" i="14"/>
  <c r="AD53" i="14"/>
  <c r="AD95" i="14"/>
  <c r="AD62" i="14"/>
  <c r="AD6" i="14"/>
  <c r="AE6" i="14" s="1"/>
  <c r="K6" i="13" s="1"/>
  <c r="AD47" i="14"/>
  <c r="AD93" i="14"/>
  <c r="AD86" i="14"/>
  <c r="AD14" i="14"/>
  <c r="AD92" i="14"/>
  <c r="AD36" i="14"/>
  <c r="AD104" i="14"/>
  <c r="AD32" i="14"/>
  <c r="AD82" i="14"/>
  <c r="AD50" i="14"/>
  <c r="AD105" i="14"/>
  <c r="AD49" i="14"/>
  <c r="AD103" i="14"/>
  <c r="AD30" i="14"/>
  <c r="AD29" i="14"/>
  <c r="AE29" i="14" s="1"/>
  <c r="K29" i="13" s="1"/>
  <c r="Z60" i="14"/>
  <c r="V91" i="14"/>
  <c r="J45" i="14"/>
  <c r="J34" i="14"/>
  <c r="AH72" i="14"/>
  <c r="AH38" i="14"/>
  <c r="V22" i="14"/>
  <c r="J91" i="14"/>
  <c r="F26" i="14"/>
  <c r="G26" i="14" s="1"/>
  <c r="E26" i="13" s="1"/>
  <c r="N72" i="14"/>
  <c r="J12" i="14"/>
  <c r="Z45" i="14"/>
  <c r="Z34" i="14"/>
  <c r="R31" i="14"/>
  <c r="J72" i="14"/>
  <c r="J38" i="14"/>
  <c r="AH69" i="14"/>
  <c r="AH12" i="14"/>
  <c r="R60" i="14"/>
  <c r="N91" i="14"/>
  <c r="N38" i="14"/>
  <c r="AD45" i="14"/>
  <c r="AD34" i="14"/>
  <c r="Z22" i="14"/>
  <c r="V31" i="14"/>
  <c r="J69" i="14"/>
  <c r="V60" i="14"/>
  <c r="AH45" i="14"/>
  <c r="R38" i="14"/>
  <c r="AH60" i="14"/>
  <c r="R72" i="14"/>
  <c r="F33" i="14"/>
  <c r="AH91" i="14"/>
  <c r="AH22" i="14"/>
  <c r="R69" i="14"/>
  <c r="V38" i="14"/>
  <c r="R22" i="14"/>
  <c r="N69" i="14"/>
  <c r="AD22" i="14"/>
  <c r="N34" i="14"/>
  <c r="V72" i="14"/>
  <c r="AD12" i="14"/>
  <c r="AD38" i="14"/>
  <c r="V69" i="14"/>
  <c r="N60" i="14"/>
  <c r="N12" i="14"/>
  <c r="F29" i="14"/>
  <c r="Z31" i="14"/>
  <c r="R12" i="14"/>
  <c r="AH31" i="14"/>
  <c r="Z38" i="14"/>
  <c r="N45" i="14"/>
  <c r="Z91" i="14"/>
  <c r="Z12" i="14"/>
  <c r="J22" i="14"/>
  <c r="F27" i="14"/>
  <c r="G27" i="14" s="1"/>
  <c r="E27" i="13" s="1"/>
  <c r="R91" i="14"/>
  <c r="AD60" i="14"/>
  <c r="N22" i="14"/>
  <c r="F32" i="14"/>
  <c r="R45" i="14"/>
  <c r="J60" i="14"/>
  <c r="F30" i="14"/>
  <c r="AD91" i="14"/>
  <c r="V34" i="14"/>
  <c r="W34" i="14" s="1"/>
  <c r="I34" i="13" s="1"/>
  <c r="Z72" i="14"/>
  <c r="N31" i="14"/>
  <c r="R34" i="14"/>
  <c r="S34" i="14" s="1"/>
  <c r="H34" i="13" s="1"/>
  <c r="AD31" i="14"/>
  <c r="F24" i="14"/>
  <c r="F40" i="14"/>
  <c r="F39" i="14"/>
  <c r="AD72" i="14"/>
  <c r="AD69" i="14"/>
  <c r="J31" i="14"/>
  <c r="V12" i="14"/>
  <c r="Z69" i="14"/>
  <c r="F14" i="14"/>
  <c r="V45" i="14"/>
  <c r="AH34" i="14"/>
  <c r="AI34" i="14" s="1"/>
  <c r="L34" i="13" s="1"/>
  <c r="T44" i="14"/>
  <c r="T33" i="14"/>
  <c r="T82" i="14"/>
  <c r="T53" i="14"/>
  <c r="W53" i="14" s="1"/>
  <c r="I53" i="13" s="1"/>
  <c r="T43" i="14"/>
  <c r="T32" i="14"/>
  <c r="T21" i="14"/>
  <c r="T52" i="14"/>
  <c r="T20" i="14"/>
  <c r="T80" i="14"/>
  <c r="T83" i="14"/>
  <c r="T55" i="14"/>
  <c r="T101" i="14"/>
  <c r="T56" i="14"/>
  <c r="T79" i="14"/>
  <c r="T68" i="14"/>
  <c r="W68" i="14" s="1"/>
  <c r="I68" i="13" s="1"/>
  <c r="T85" i="14"/>
  <c r="W85" i="14" s="1"/>
  <c r="I85" i="13" s="1"/>
  <c r="T84" i="14"/>
  <c r="W84" i="14" s="1"/>
  <c r="I84" i="13" s="1"/>
  <c r="T50" i="14"/>
  <c r="T102" i="14"/>
  <c r="T49" i="14"/>
  <c r="T86" i="14"/>
  <c r="T67" i="14"/>
  <c r="AG45" i="14"/>
  <c r="AC42" i="14"/>
  <c r="Y19" i="14"/>
  <c r="Q38" i="14"/>
  <c r="Q28" i="14"/>
  <c r="AG91" i="14"/>
  <c r="AC12" i="14"/>
  <c r="Q42" i="14"/>
  <c r="M60" i="14"/>
  <c r="AG38" i="14"/>
  <c r="AG28" i="14"/>
  <c r="AI28" i="14" s="1"/>
  <c r="L28" i="13" s="1"/>
  <c r="U22" i="14"/>
  <c r="M103" i="14"/>
  <c r="I91" i="14"/>
  <c r="Y45" i="14"/>
  <c r="U42" i="14"/>
  <c r="Q19" i="14"/>
  <c r="I38" i="14"/>
  <c r="I28" i="14"/>
  <c r="AG12" i="14"/>
  <c r="Q60" i="14"/>
  <c r="M91" i="14"/>
  <c r="AC45" i="14"/>
  <c r="Y22" i="14"/>
  <c r="U19" i="14"/>
  <c r="Q103" i="14"/>
  <c r="M38" i="14"/>
  <c r="M28" i="14"/>
  <c r="O28" i="14" s="1"/>
  <c r="G28" i="13" s="1"/>
  <c r="I12" i="14"/>
  <c r="AC103" i="14"/>
  <c r="AC28" i="14"/>
  <c r="I19" i="14"/>
  <c r="U38" i="14"/>
  <c r="Q22" i="14"/>
  <c r="M19" i="14"/>
  <c r="AG42" i="14"/>
  <c r="AG60" i="14"/>
  <c r="AC22" i="14"/>
  <c r="AG103" i="14"/>
  <c r="Q45" i="14"/>
  <c r="I60" i="14"/>
  <c r="AG19" i="14"/>
  <c r="AC38" i="14"/>
  <c r="AC91" i="14"/>
  <c r="Y60" i="14"/>
  <c r="I45" i="14"/>
  <c r="AC19" i="14"/>
  <c r="M45" i="14"/>
  <c r="Q91" i="14"/>
  <c r="Y38" i="14"/>
  <c r="Q12" i="14"/>
  <c r="AG22" i="14"/>
  <c r="Y91" i="14"/>
  <c r="Y12" i="14"/>
  <c r="I42" i="14"/>
  <c r="I22" i="14"/>
  <c r="AC60" i="14"/>
  <c r="U28" i="14"/>
  <c r="W28" i="14" s="1"/>
  <c r="I28" i="13" s="1"/>
  <c r="M42" i="14"/>
  <c r="M22" i="14"/>
  <c r="U103" i="14"/>
  <c r="M12" i="14"/>
  <c r="I103" i="14"/>
  <c r="Y103" i="14"/>
  <c r="U12" i="14"/>
  <c r="Y42" i="14"/>
  <c r="U60" i="14"/>
  <c r="Y28" i="14"/>
  <c r="U45" i="14"/>
  <c r="U91" i="14"/>
  <c r="H86" i="57"/>
  <c r="H101" i="57"/>
  <c r="H50" i="57"/>
  <c r="K50" i="57" s="1"/>
  <c r="CF50" i="13" s="1"/>
  <c r="H42" i="57"/>
  <c r="H82" i="57"/>
  <c r="H32" i="57"/>
  <c r="H21" i="57"/>
  <c r="H81" i="57"/>
  <c r="K81" i="57" s="1"/>
  <c r="CF81" i="13" s="1"/>
  <c r="H68" i="57"/>
  <c r="H56" i="57"/>
  <c r="H49" i="57"/>
  <c r="H31" i="57"/>
  <c r="H20" i="57"/>
  <c r="H48" i="57"/>
  <c r="H67" i="57"/>
  <c r="H55" i="57"/>
  <c r="H19" i="57"/>
  <c r="H79" i="57"/>
  <c r="H78" i="57"/>
  <c r="K78" i="57" s="1"/>
  <c r="CF78" i="13" s="1"/>
  <c r="H54" i="57"/>
  <c r="K54" i="57" s="1"/>
  <c r="CF54" i="13" s="1"/>
  <c r="H43" i="57"/>
  <c r="H53" i="57"/>
  <c r="H102" i="57"/>
  <c r="H83" i="57"/>
  <c r="H85" i="57"/>
  <c r="H52" i="57"/>
  <c r="H44" i="57"/>
  <c r="H80" i="57"/>
  <c r="H84" i="57"/>
  <c r="H51" i="57"/>
  <c r="H99" i="57"/>
  <c r="H33" i="57"/>
  <c r="H98" i="57"/>
  <c r="K98" i="57" s="1"/>
  <c r="CF98" i="13" s="1"/>
  <c r="H72" i="57"/>
  <c r="H69" i="57"/>
  <c r="M40" i="14"/>
  <c r="M92" i="14"/>
  <c r="M30" i="14"/>
  <c r="M59" i="14"/>
  <c r="M39" i="14"/>
  <c r="M14" i="14"/>
  <c r="M29" i="14"/>
  <c r="M58" i="14"/>
  <c r="M13" i="14"/>
  <c r="M36" i="14"/>
  <c r="M96" i="14"/>
  <c r="M35" i="14"/>
  <c r="M24" i="14"/>
  <c r="M95" i="14"/>
  <c r="M62" i="14"/>
  <c r="M23" i="14"/>
  <c r="M94" i="14"/>
  <c r="O94" i="14" s="1"/>
  <c r="G94" i="13" s="1"/>
  <c r="M93" i="14"/>
  <c r="M61" i="14"/>
  <c r="M47" i="14"/>
  <c r="M46" i="14"/>
  <c r="AG96" i="14"/>
  <c r="AG23" i="14"/>
  <c r="AG29" i="14"/>
  <c r="AG35" i="14"/>
  <c r="AG58" i="14"/>
  <c r="AG13" i="14"/>
  <c r="AG47" i="14"/>
  <c r="AG36" i="14"/>
  <c r="AG46" i="14"/>
  <c r="AG24" i="14"/>
  <c r="AG93" i="14"/>
  <c r="AG30" i="14"/>
  <c r="AG61" i="14"/>
  <c r="AG92" i="14"/>
  <c r="AG95" i="14"/>
  <c r="AG94" i="14"/>
  <c r="AI94" i="14" s="1"/>
  <c r="L94" i="13" s="1"/>
  <c r="AG14" i="14"/>
  <c r="AG59" i="14"/>
  <c r="AG62" i="14"/>
  <c r="AG40" i="14"/>
  <c r="AG39" i="14"/>
  <c r="AB81" i="14"/>
  <c r="X51" i="14"/>
  <c r="X31" i="14"/>
  <c r="X12" i="14" s="1"/>
  <c r="T78" i="14"/>
  <c r="P72" i="14"/>
  <c r="P48" i="14"/>
  <c r="S48" i="14" s="1"/>
  <c r="H48" i="13" s="1"/>
  <c r="AB100" i="14"/>
  <c r="AE100" i="14" s="1"/>
  <c r="K100" i="13" s="1"/>
  <c r="AB69" i="14"/>
  <c r="P81" i="14"/>
  <c r="L19" i="14"/>
  <c r="H78" i="14"/>
  <c r="K78" i="14" s="1"/>
  <c r="F78" i="13" s="1"/>
  <c r="P19" i="14"/>
  <c r="AF72" i="14"/>
  <c r="AF48" i="14"/>
  <c r="P42" i="14"/>
  <c r="AF57" i="14"/>
  <c r="AI57" i="14" s="1"/>
  <c r="L57" i="13" s="1"/>
  <c r="T81" i="14"/>
  <c r="P51" i="14"/>
  <c r="P31" i="14"/>
  <c r="P12" i="14" s="1"/>
  <c r="L78" i="14"/>
  <c r="H72" i="14"/>
  <c r="H48" i="14"/>
  <c r="K48" i="14" s="1"/>
  <c r="F48" i="13" s="1"/>
  <c r="H57" i="14"/>
  <c r="K57" i="14" s="1"/>
  <c r="F57" i="13" s="1"/>
  <c r="AF100" i="14"/>
  <c r="AI100" i="14" s="1"/>
  <c r="L100" i="13" s="1"/>
  <c r="AF69" i="14"/>
  <c r="T42" i="14"/>
  <c r="T51" i="14"/>
  <c r="W51" i="14" s="1"/>
  <c r="I51" i="13" s="1"/>
  <c r="T31" i="14"/>
  <c r="T12" i="14" s="1"/>
  <c r="L72" i="14"/>
  <c r="L48" i="14"/>
  <c r="H100" i="14"/>
  <c r="H69" i="14"/>
  <c r="AB42" i="14"/>
  <c r="X81" i="14"/>
  <c r="AA81" i="14" s="1"/>
  <c r="J81" i="13" s="1"/>
  <c r="X42" i="14"/>
  <c r="P100" i="14"/>
  <c r="T100" i="14"/>
  <c r="L69" i="14"/>
  <c r="T19" i="14"/>
  <c r="X57" i="14"/>
  <c r="AA57" i="14" s="1"/>
  <c r="J57" i="13" s="1"/>
  <c r="P78" i="14"/>
  <c r="H19" i="14"/>
  <c r="AB57" i="14"/>
  <c r="AE57" i="14" s="1"/>
  <c r="K57" i="13" s="1"/>
  <c r="H51" i="14"/>
  <c r="K51" i="14" s="1"/>
  <c r="F51" i="13" s="1"/>
  <c r="L42" i="14"/>
  <c r="T69" i="14"/>
  <c r="AF78" i="14"/>
  <c r="AF42" i="14"/>
  <c r="AB48" i="14"/>
  <c r="P69" i="14"/>
  <c r="AF31" i="14"/>
  <c r="AF12" i="14" s="1"/>
  <c r="AF81" i="14"/>
  <c r="AB19" i="14"/>
  <c r="AF19" i="14"/>
  <c r="X78" i="14"/>
  <c r="AA78" i="14" s="1"/>
  <c r="J78" i="13" s="1"/>
  <c r="AF51" i="14"/>
  <c r="AI51" i="14" s="1"/>
  <c r="L51" i="13" s="1"/>
  <c r="T72" i="14"/>
  <c r="T48" i="14"/>
  <c r="W48" i="14" s="1"/>
  <c r="I48" i="13" s="1"/>
  <c r="H42" i="14"/>
  <c r="L57" i="14"/>
  <c r="O57" i="14" s="1"/>
  <c r="G57" i="13" s="1"/>
  <c r="X48" i="14"/>
  <c r="AA48" i="14" s="1"/>
  <c r="J48" i="13" s="1"/>
  <c r="X100" i="14"/>
  <c r="AA100" i="14" s="1"/>
  <c r="J100" i="13" s="1"/>
  <c r="X72" i="14"/>
  <c r="L81" i="14"/>
  <c r="X19" i="14"/>
  <c r="AB51" i="14"/>
  <c r="L100" i="14"/>
  <c r="H81" i="14"/>
  <c r="H31" i="14"/>
  <c r="H12" i="14" s="1"/>
  <c r="L31" i="14"/>
  <c r="L12" i="14" s="1"/>
  <c r="X69" i="14"/>
  <c r="T57" i="14"/>
  <c r="W57" i="14" s="1"/>
  <c r="I57" i="13" s="1"/>
  <c r="AB31" i="14"/>
  <c r="AB12" i="14" s="1"/>
  <c r="AB78" i="14"/>
  <c r="AE78" i="14" s="1"/>
  <c r="K78" i="13" s="1"/>
  <c r="AB72" i="14"/>
  <c r="L51" i="14"/>
  <c r="P57" i="14"/>
  <c r="N99" i="14"/>
  <c r="O99" i="14" s="1"/>
  <c r="G99" i="13" s="1"/>
  <c r="N68" i="14"/>
  <c r="N46" i="14"/>
  <c r="N35" i="14"/>
  <c r="N24" i="14"/>
  <c r="N103" i="14"/>
  <c r="N92" i="14"/>
  <c r="N79" i="14"/>
  <c r="N50" i="14"/>
  <c r="O50" i="14" s="1"/>
  <c r="G50" i="13" s="1"/>
  <c r="N30" i="14"/>
  <c r="O30" i="14" s="1"/>
  <c r="G30" i="13" s="1"/>
  <c r="N59" i="14"/>
  <c r="N39" i="14"/>
  <c r="N14" i="14"/>
  <c r="N13" i="14"/>
  <c r="N102" i="14"/>
  <c r="O102" i="14" s="1"/>
  <c r="G102" i="13" s="1"/>
  <c r="N49" i="14"/>
  <c r="N29" i="14"/>
  <c r="N58" i="14"/>
  <c r="N101" i="14"/>
  <c r="N86" i="14"/>
  <c r="N96" i="14"/>
  <c r="N53" i="14"/>
  <c r="N95" i="14"/>
  <c r="N52" i="14"/>
  <c r="N36" i="14"/>
  <c r="N40" i="14"/>
  <c r="N10" i="14"/>
  <c r="O10" i="14" s="1"/>
  <c r="G10" i="13" s="1"/>
  <c r="N98" i="14"/>
  <c r="O98" i="14" s="1"/>
  <c r="G98" i="13" s="1"/>
  <c r="N23" i="14"/>
  <c r="N85" i="14"/>
  <c r="N33" i="14"/>
  <c r="N62" i="14"/>
  <c r="N55" i="14"/>
  <c r="N56" i="14"/>
  <c r="N93" i="14"/>
  <c r="N61" i="14"/>
  <c r="N83" i="14"/>
  <c r="N105" i="14"/>
  <c r="N104" i="14"/>
  <c r="N80" i="14"/>
  <c r="N67" i="14"/>
  <c r="O67" i="14" s="1"/>
  <c r="G67" i="13" s="1"/>
  <c r="N32" i="14"/>
  <c r="N82" i="14"/>
  <c r="O82" i="14" s="1"/>
  <c r="G82" i="13" s="1"/>
  <c r="N27" i="14"/>
  <c r="O27" i="14" s="1"/>
  <c r="G27" i="13" s="1"/>
  <c r="N26" i="14"/>
  <c r="O26" i="14" s="1"/>
  <c r="G26" i="13" s="1"/>
  <c r="N9" i="14"/>
  <c r="O9" i="14" s="1"/>
  <c r="G9" i="13" s="1"/>
  <c r="N7" i="14"/>
  <c r="O7" i="14" s="1"/>
  <c r="G7" i="13" s="1"/>
  <c r="N6" i="14"/>
  <c r="O6" i="14" s="1"/>
  <c r="G6" i="13" s="1"/>
  <c r="N47" i="14"/>
  <c r="AB32" i="14"/>
  <c r="AB21" i="14"/>
  <c r="AB85" i="14"/>
  <c r="AB56" i="14"/>
  <c r="AB84" i="14"/>
  <c r="AB68" i="14"/>
  <c r="AE68" i="14" s="1"/>
  <c r="K68" i="13" s="1"/>
  <c r="AB55" i="14"/>
  <c r="AE55" i="14" s="1"/>
  <c r="K55" i="13" s="1"/>
  <c r="AB83" i="14"/>
  <c r="AE83" i="14" s="1"/>
  <c r="K83" i="13" s="1"/>
  <c r="AB67" i="14"/>
  <c r="AB82" i="14"/>
  <c r="AE82" i="14" s="1"/>
  <c r="K82" i="13" s="1"/>
  <c r="AB80" i="14"/>
  <c r="AB102" i="14"/>
  <c r="AB20" i="14"/>
  <c r="AB44" i="14"/>
  <c r="AB43" i="14"/>
  <c r="AB33" i="14"/>
  <c r="AB53" i="14"/>
  <c r="AB52" i="14"/>
  <c r="AB50" i="14"/>
  <c r="AB86" i="14"/>
  <c r="AB79" i="14"/>
  <c r="AB49" i="14"/>
  <c r="AB101" i="14"/>
  <c r="AE101" i="14" s="1"/>
  <c r="K101" i="13" s="1"/>
  <c r="D72" i="57"/>
  <c r="D48" i="57"/>
  <c r="G48" i="57" s="1"/>
  <c r="CE48" i="13" s="1"/>
  <c r="D31" i="57"/>
  <c r="D78" i="57"/>
  <c r="G78" i="57" s="1"/>
  <c r="CE78" i="13" s="1"/>
  <c r="D80" i="57"/>
  <c r="D42" i="57"/>
  <c r="D84" i="57"/>
  <c r="D69" i="57"/>
  <c r="D54" i="57"/>
  <c r="G54" i="57" s="1"/>
  <c r="CE54" i="13" s="1"/>
  <c r="D19" i="57"/>
  <c r="D81" i="57"/>
  <c r="G81" i="57" s="1"/>
  <c r="CE81" i="13" s="1"/>
  <c r="D51" i="57"/>
  <c r="D79" i="57"/>
  <c r="E100" i="57"/>
  <c r="E8" i="57"/>
  <c r="E45" i="57"/>
  <c r="E60" i="57"/>
  <c r="E12" i="57"/>
  <c r="E69" i="57"/>
  <c r="E97" i="57"/>
  <c r="E22" i="57"/>
  <c r="E38" i="57" s="1"/>
  <c r="E5" i="57"/>
  <c r="E103" i="57"/>
  <c r="E91" i="57"/>
  <c r="E72" i="57"/>
  <c r="F8" i="57"/>
  <c r="F69" i="57"/>
  <c r="G95" i="57"/>
  <c r="CE95" i="13" s="1"/>
  <c r="F103" i="57"/>
  <c r="F72" i="57"/>
  <c r="F22" i="57"/>
  <c r="F5" i="57"/>
  <c r="F97" i="57"/>
  <c r="F31" i="57"/>
  <c r="F12" i="57"/>
  <c r="F91" i="57"/>
  <c r="F100" i="57"/>
  <c r="F38" i="57"/>
  <c r="F34" i="57"/>
  <c r="F45" i="57"/>
  <c r="F19" i="57"/>
  <c r="F42" i="57"/>
  <c r="F60" i="57"/>
  <c r="D83" i="15"/>
  <c r="G83" i="15" s="1"/>
  <c r="M83" i="13" s="1"/>
  <c r="D82" i="15"/>
  <c r="D79" i="15"/>
  <c r="D99" i="15"/>
  <c r="D80" i="15"/>
  <c r="D98" i="15"/>
  <c r="D68" i="15"/>
  <c r="D67" i="15"/>
  <c r="D86" i="15"/>
  <c r="D85" i="15"/>
  <c r="D56" i="15"/>
  <c r="D55" i="15"/>
  <c r="D49" i="15"/>
  <c r="D102" i="15"/>
  <c r="D53" i="15"/>
  <c r="D101" i="15"/>
  <c r="D52" i="15"/>
  <c r="D50" i="15"/>
  <c r="G50" i="15" s="1"/>
  <c r="M50" i="13" s="1"/>
  <c r="E93" i="15"/>
  <c r="E62" i="15"/>
  <c r="E92" i="15"/>
  <c r="E61" i="15"/>
  <c r="E59" i="15"/>
  <c r="E58" i="15"/>
  <c r="G96" i="15"/>
  <c r="M96" i="13" s="1"/>
  <c r="G95" i="15"/>
  <c r="M95" i="13" s="1"/>
  <c r="S82" i="14"/>
  <c r="H82" i="13" s="1"/>
  <c r="K53" i="14"/>
  <c r="F53" i="13" s="1"/>
  <c r="K29" i="15"/>
  <c r="N29" i="13" s="1"/>
  <c r="K27" i="15"/>
  <c r="N27" i="13" s="1"/>
  <c r="K26" i="15"/>
  <c r="N26" i="13" s="1"/>
  <c r="J5" i="15"/>
  <c r="K96" i="15"/>
  <c r="N96" i="13" s="1"/>
  <c r="K95" i="15"/>
  <c r="N95" i="13" s="1"/>
  <c r="K56" i="14"/>
  <c r="F56" i="13" s="1"/>
  <c r="D82" i="14"/>
  <c r="D68" i="14"/>
  <c r="D53" i="14"/>
  <c r="D52" i="14"/>
  <c r="D79" i="14"/>
  <c r="D101" i="14"/>
  <c r="D102" i="14"/>
  <c r="D86" i="14"/>
  <c r="D56" i="14"/>
  <c r="D67" i="14"/>
  <c r="D83" i="14"/>
  <c r="D49"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53" i="14"/>
  <c r="F62" i="14"/>
  <c r="F61" i="14"/>
  <c r="F52" i="14"/>
  <c r="F68" i="14"/>
  <c r="F67" i="14"/>
  <c r="F49" i="14"/>
  <c r="F59" i="14"/>
  <c r="F80" i="14"/>
  <c r="F58" i="14"/>
  <c r="F79" i="14"/>
  <c r="F56" i="14"/>
  <c r="F55" i="14"/>
  <c r="F86" i="14"/>
  <c r="F85" i="14"/>
  <c r="F83" i="14"/>
  <c r="F50" i="14"/>
  <c r="F82" i="14"/>
  <c r="H82" i="15"/>
  <c r="H67" i="15"/>
  <c r="H44" i="15"/>
  <c r="H32" i="15"/>
  <c r="H31" i="15"/>
  <c r="H50" i="15"/>
  <c r="H101" i="15"/>
  <c r="H86" i="15"/>
  <c r="H72" i="15"/>
  <c r="H48" i="15"/>
  <c r="K48" i="15" s="1"/>
  <c r="N48" i="13" s="1"/>
  <c r="H99" i="15"/>
  <c r="H85" i="15"/>
  <c r="H84" i="15"/>
  <c r="K84" i="15" s="1"/>
  <c r="N84" i="13" s="1"/>
  <c r="H69" i="15"/>
  <c r="H19" i="15"/>
  <c r="H42" i="15"/>
  <c r="H56" i="15"/>
  <c r="H53" i="15"/>
  <c r="K53" i="15" s="1"/>
  <c r="N53" i="13" s="1"/>
  <c r="H80" i="15"/>
  <c r="H102" i="15"/>
  <c r="H98" i="15"/>
  <c r="H81" i="15"/>
  <c r="H52" i="15"/>
  <c r="H51" i="15"/>
  <c r="H83" i="15"/>
  <c r="H68" i="15"/>
  <c r="H55" i="15"/>
  <c r="H21" i="15"/>
  <c r="H54" i="15"/>
  <c r="K54" i="15" s="1"/>
  <c r="N54" i="13" s="1"/>
  <c r="H33" i="15"/>
  <c r="H20" i="15"/>
  <c r="H43" i="15"/>
  <c r="H79" i="15"/>
  <c r="H78" i="15"/>
  <c r="K78" i="15" s="1"/>
  <c r="N78" i="13" s="1"/>
  <c r="H49" i="15"/>
  <c r="G30" i="15"/>
  <c r="M30" i="13" s="1"/>
  <c r="G27" i="15"/>
  <c r="M27" i="13" s="1"/>
  <c r="G26" i="15"/>
  <c r="M26" i="13" s="1"/>
  <c r="G29" i="15"/>
  <c r="M29" i="13" s="1"/>
  <c r="E47" i="15"/>
  <c r="E46" i="15"/>
  <c r="E24" i="15"/>
  <c r="G24" i="15" s="1"/>
  <c r="M24" i="13" s="1"/>
  <c r="E13" i="15"/>
  <c r="E40" i="15"/>
  <c r="E23" i="15"/>
  <c r="E39" i="15"/>
  <c r="E14" i="15"/>
  <c r="D21" i="15"/>
  <c r="D32" i="15"/>
  <c r="D20" i="15"/>
  <c r="D43" i="15"/>
  <c r="D33" i="15"/>
  <c r="D44" i="15"/>
  <c r="E14" i="14"/>
  <c r="E13" i="14"/>
  <c r="D33" i="14"/>
  <c r="D32" i="14"/>
  <c r="F23" i="14"/>
  <c r="F13" i="14"/>
  <c r="F19" i="15"/>
  <c r="AA65" i="14"/>
  <c r="J65" i="13" s="1"/>
  <c r="AA64" i="14"/>
  <c r="J64" i="13" s="1"/>
  <c r="AA83" i="14"/>
  <c r="J83" i="13" s="1"/>
  <c r="S65" i="14"/>
  <c r="H65" i="13" s="1"/>
  <c r="S64" i="14"/>
  <c r="H64" i="13" s="1"/>
  <c r="AE30" i="14"/>
  <c r="K30" i="13" s="1"/>
  <c r="K30" i="14"/>
  <c r="F30" i="13" s="1"/>
  <c r="W98" i="14"/>
  <c r="I98" i="13" s="1"/>
  <c r="W10" i="14"/>
  <c r="I10" i="13" s="1"/>
  <c r="AE64" i="14"/>
  <c r="K64" i="13" s="1"/>
  <c r="AE65" i="14"/>
  <c r="K65" i="13" s="1"/>
  <c r="S98" i="14"/>
  <c r="H98" i="13" s="1"/>
  <c r="S7" i="14"/>
  <c r="H7" i="13" s="1"/>
  <c r="K35" i="14"/>
  <c r="F35" i="13" s="1"/>
  <c r="K9" i="14"/>
  <c r="F9" i="13" s="1"/>
  <c r="AI6" i="14"/>
  <c r="L6" i="13" s="1"/>
  <c r="AI10" i="14"/>
  <c r="L10" i="13" s="1"/>
  <c r="AI7" i="14"/>
  <c r="L7" i="13" s="1"/>
  <c r="AI65" i="14"/>
  <c r="L65" i="13" s="1"/>
  <c r="AI64" i="14"/>
  <c r="L64" i="13" s="1"/>
  <c r="AI84" i="14"/>
  <c r="L84" i="13" s="1"/>
  <c r="AE96" i="14"/>
  <c r="K96" i="13" s="1"/>
  <c r="AE7" i="14"/>
  <c r="K7" i="13" s="1"/>
  <c r="AE10" i="14"/>
  <c r="K10" i="13" s="1"/>
  <c r="K67" i="14"/>
  <c r="F67" i="13" s="1"/>
  <c r="K65" i="14"/>
  <c r="F65" i="13" s="1"/>
  <c r="K64" i="14"/>
  <c r="F64" i="13" s="1"/>
  <c r="AA59" i="14"/>
  <c r="J59" i="13" s="1"/>
  <c r="AA9" i="14"/>
  <c r="J9" i="13" s="1"/>
  <c r="AA6" i="14"/>
  <c r="J6" i="13" s="1"/>
  <c r="W64" i="14"/>
  <c r="I64" i="13" s="1"/>
  <c r="W67" i="14"/>
  <c r="I67" i="13" s="1"/>
  <c r="W65" i="14"/>
  <c r="I65" i="13" s="1"/>
  <c r="E92" i="14"/>
  <c r="E24" i="14"/>
  <c r="E96" i="14"/>
  <c r="E62" i="14"/>
  <c r="E95" i="14"/>
  <c r="E61" i="14"/>
  <c r="E40" i="14"/>
  <c r="E94" i="14"/>
  <c r="G94" i="14" s="1"/>
  <c r="E94" i="13" s="1"/>
  <c r="E39" i="14"/>
  <c r="E93" i="14"/>
  <c r="E59" i="14"/>
  <c r="E47" i="14"/>
  <c r="E46" i="14"/>
  <c r="E23" i="14"/>
  <c r="E30" i="14"/>
  <c r="G30" i="14" s="1"/>
  <c r="E30" i="13" s="1"/>
  <c r="E29" i="14"/>
  <c r="E58" i="14"/>
  <c r="E36" i="14"/>
  <c r="E35" i="14"/>
  <c r="AE28" i="14"/>
  <c r="K28" i="13" s="1"/>
  <c r="D20" i="14"/>
  <c r="G65" i="14"/>
  <c r="E65" i="13" s="1"/>
  <c r="G64" i="14"/>
  <c r="E64" i="13" s="1"/>
  <c r="D44" i="14"/>
  <c r="D80" i="14"/>
  <c r="D55" i="14"/>
  <c r="D50" i="14"/>
  <c r="D43" i="14"/>
  <c r="D85" i="14"/>
  <c r="D84" i="14"/>
  <c r="D21" i="14"/>
  <c r="F102" i="14"/>
  <c r="F36" i="14"/>
  <c r="F35" i="14"/>
  <c r="F101" i="14"/>
  <c r="F96" i="14"/>
  <c r="F95" i="14"/>
  <c r="F93" i="14"/>
  <c r="F105" i="14"/>
  <c r="F6" i="14"/>
  <c r="G6" i="14" s="1"/>
  <c r="E6" i="13" s="1"/>
  <c r="F103" i="14"/>
  <c r="F99" i="14"/>
  <c r="G99" i="14" s="1"/>
  <c r="E99" i="13" s="1"/>
  <c r="F47" i="14"/>
  <c r="F98" i="14"/>
  <c r="G98" i="14" s="1"/>
  <c r="E98" i="13" s="1"/>
  <c r="F46" i="14"/>
  <c r="F92" i="14"/>
  <c r="F10" i="14"/>
  <c r="G10" i="14" s="1"/>
  <c r="E10" i="13" s="1"/>
  <c r="F9" i="14"/>
  <c r="G9" i="14" s="1"/>
  <c r="E9" i="13" s="1"/>
  <c r="F7" i="14"/>
  <c r="G7" i="14" s="1"/>
  <c r="E7" i="13" s="1"/>
  <c r="F104" i="14"/>
  <c r="O64" i="14"/>
  <c r="G64" i="13" s="1"/>
  <c r="O65" i="14"/>
  <c r="G65" i="13" s="1"/>
  <c r="E103" i="14"/>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G47" i="51"/>
  <c r="BS47" i="13" s="1"/>
  <c r="DP47" i="13" s="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G61" i="51"/>
  <c r="BS61" i="13" s="1"/>
  <c r="DP61"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104" i="51"/>
  <c r="BS104" i="13" s="1"/>
  <c r="DP104" i="13" s="1"/>
  <c r="G73" i="51"/>
  <c r="BS73" i="13" s="1"/>
  <c r="DP73" i="13" s="1"/>
  <c r="E94" i="51"/>
  <c r="G94" i="51" s="1"/>
  <c r="BS94" i="13" s="1"/>
  <c r="DP94" i="13" s="1"/>
  <c r="L58" i="30"/>
  <c r="O58" i="30" s="1"/>
  <c r="AV58" i="13" s="1"/>
  <c r="G24" i="51"/>
  <c r="BS24" i="13" s="1"/>
  <c r="DP24"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G23" i="51"/>
  <c r="BS23" i="13" s="1"/>
  <c r="DP23" i="13" s="1"/>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G95" i="51"/>
  <c r="BS95" i="13" s="1"/>
  <c r="DP95"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G14" i="51"/>
  <c r="BS14" i="13" s="1"/>
  <c r="DP14"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G96" i="51"/>
  <c r="BS96" i="13" s="1"/>
  <c r="DP96" i="13" s="1"/>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G13" i="51"/>
  <c r="BS13" i="13" s="1"/>
  <c r="DP13" i="13" s="1"/>
  <c r="EA8" i="12"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100" i="57"/>
  <c r="CF100" i="13" s="1"/>
  <c r="K48" i="57"/>
  <c r="CF48" i="13" s="1"/>
  <c r="K94" i="57"/>
  <c r="CF94" i="13" s="1"/>
  <c r="D55" i="55"/>
  <c r="G55" i="55" s="1"/>
  <c r="CB55" i="13" s="1"/>
  <c r="DT55" i="13" s="1"/>
  <c r="K96" i="57"/>
  <c r="CF96" i="13" s="1"/>
  <c r="K85" i="57"/>
  <c r="CF85" i="13" s="1"/>
  <c r="D19" i="55"/>
  <c r="N91" i="16"/>
  <c r="K36" i="57"/>
  <c r="CF36" i="13" s="1"/>
  <c r="K34" i="57"/>
  <c r="CF34" i="13" s="1"/>
  <c r="N10" i="16"/>
  <c r="L54" i="54"/>
  <c r="O54" i="54" s="1"/>
  <c r="CA54" i="13" s="1"/>
  <c r="K79" i="57"/>
  <c r="CF79"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K51" i="57"/>
  <c r="CF51" i="13" s="1"/>
  <c r="D31" i="55"/>
  <c r="L49" i="54"/>
  <c r="N38" i="16"/>
  <c r="K99" i="57"/>
  <c r="CF99" i="13" s="1"/>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K93" i="59"/>
  <c r="BB93" i="13" s="1"/>
  <c r="N52" i="21"/>
  <c r="G24" i="59"/>
  <c r="BA24" i="13" s="1"/>
  <c r="BD12" i="13"/>
  <c r="K61" i="59"/>
  <c r="BB61" i="13" s="1"/>
  <c r="BD62" i="13"/>
  <c r="G40" i="59"/>
  <c r="BA40" i="13" s="1"/>
  <c r="K38" i="59"/>
  <c r="BB38" i="13" s="1"/>
  <c r="N55" i="21"/>
  <c r="O94" i="59"/>
  <c r="BC94" i="13" s="1"/>
  <c r="G96" i="59"/>
  <c r="BA96" i="13" s="1"/>
  <c r="BD94" i="13"/>
  <c r="O92" i="59"/>
  <c r="BC92" i="13" s="1"/>
  <c r="G94" i="59"/>
  <c r="BA94" i="13" s="1"/>
  <c r="O105" i="59"/>
  <c r="BC105" i="13" s="1"/>
  <c r="BD38" i="13"/>
  <c r="K92" i="59"/>
  <c r="BB92" i="13" s="1"/>
  <c r="BD61" i="13"/>
  <c r="G92" i="59"/>
  <c r="BA92" i="13" s="1"/>
  <c r="K105" i="59"/>
  <c r="BB105" i="13" s="1"/>
  <c r="G60" i="59"/>
  <c r="BA60" i="13" s="1"/>
  <c r="N48" i="21"/>
  <c r="O38" i="59"/>
  <c r="BC38" i="13" s="1"/>
  <c r="K40" i="59"/>
  <c r="BB40" i="13" s="1"/>
  <c r="O39" i="59"/>
  <c r="BC39" i="13" s="1"/>
  <c r="N54" i="21"/>
  <c r="K96" i="59"/>
  <c r="BB96" i="13" s="1"/>
  <c r="K22" i="59"/>
  <c r="BB22" i="13" s="1"/>
  <c r="O93" i="59"/>
  <c r="BC93" i="13" s="1"/>
  <c r="G39" i="59"/>
  <c r="BA39" i="13" s="1"/>
  <c r="K60" i="59"/>
  <c r="BB60" i="13" s="1"/>
  <c r="O104" i="59"/>
  <c r="BC104" i="13" s="1"/>
  <c r="L72" i="67"/>
  <c r="M92" i="50"/>
  <c r="O92" i="50" s="1"/>
  <c r="BR92" i="13" s="1"/>
  <c r="M94" i="50"/>
  <c r="O94" i="50" s="1"/>
  <c r="BR94" i="13" s="1"/>
  <c r="H6" i="70"/>
  <c r="K6" i="70" s="1"/>
  <c r="CU6" i="13" s="1"/>
  <c r="E79" i="18"/>
  <c r="L56" i="67"/>
  <c r="O56" i="67" s="1"/>
  <c r="CI56" i="13" s="1"/>
  <c r="N50" i="21"/>
  <c r="L50" i="17"/>
  <c r="O50" i="17" s="1"/>
  <c r="U50" i="13" s="1"/>
  <c r="N56" i="21"/>
  <c r="K94" i="59"/>
  <c r="BB94" i="13" s="1"/>
  <c r="G104" i="59"/>
  <c r="BA104" i="13" s="1"/>
  <c r="O91" i="59"/>
  <c r="BC91" i="13" s="1"/>
  <c r="O13" i="59"/>
  <c r="BC13" i="13" s="1"/>
  <c r="BD40" i="13"/>
  <c r="O96" i="59"/>
  <c r="BC96" i="13" s="1"/>
  <c r="L43" i="67"/>
  <c r="L54" i="67"/>
  <c r="O54" i="67" s="1"/>
  <c r="CI54" i="13" s="1"/>
  <c r="M24" i="50"/>
  <c r="O24" i="50" s="1"/>
  <c r="BR24" i="13" s="1"/>
  <c r="M70" i="50"/>
  <c r="H10" i="70"/>
  <c r="K10" i="70" s="1"/>
  <c r="CU10" i="13" s="1"/>
  <c r="L21" i="67"/>
  <c r="E9" i="55"/>
  <c r="L51" i="17"/>
  <c r="O51" i="17" s="1"/>
  <c r="U51" i="13" s="1"/>
  <c r="N51" i="21"/>
  <c r="O24" i="59"/>
  <c r="BC24" i="13" s="1"/>
  <c r="BD105" i="13"/>
  <c r="BD60" i="13"/>
  <c r="G23" i="59"/>
  <c r="BA23" i="13" s="1"/>
  <c r="E100" i="55"/>
  <c r="I39" i="48"/>
  <c r="K39" i="48" s="1"/>
  <c r="BM39" i="13" s="1"/>
  <c r="I102" i="48"/>
  <c r="K102" i="48" s="1"/>
  <c r="BM102" i="13" s="1"/>
  <c r="M71" i="50"/>
  <c r="E100" i="45"/>
  <c r="E92" i="45"/>
  <c r="G92" i="45" s="1"/>
  <c r="AX92" i="13" s="1"/>
  <c r="L48" i="67"/>
  <c r="O48" i="67" s="1"/>
  <c r="CI48" i="13" s="1"/>
  <c r="P31" i="29"/>
  <c r="L53" i="17"/>
  <c r="O53" i="17" s="1"/>
  <c r="U53" i="13" s="1"/>
  <c r="O22" i="59"/>
  <c r="BC22" i="13" s="1"/>
  <c r="BD103" i="13"/>
  <c r="K39" i="59"/>
  <c r="BB39" i="13" s="1"/>
  <c r="G105" i="59"/>
  <c r="BA105" i="13" s="1"/>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G95" i="59"/>
  <c r="BA95" i="13" s="1"/>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G93" i="59"/>
  <c r="BA93" i="13" s="1"/>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O103" i="59"/>
  <c r="BC103" i="13" s="1"/>
  <c r="O62" i="59"/>
  <c r="BC62" i="13" s="1"/>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O95" i="59"/>
  <c r="BC95" i="13" s="1"/>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K56" i="15"/>
  <c r="N56" i="13" s="1"/>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G33" i="51"/>
  <c r="BS33" i="13" s="1"/>
  <c r="DP33" i="13" s="1"/>
  <c r="G56" i="51"/>
  <c r="BS56" i="13" s="1"/>
  <c r="DP5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G82" i="51"/>
  <c r="BS82" i="13" s="1"/>
  <c r="DP82" i="13" s="1"/>
  <c r="G86" i="51"/>
  <c r="BS86" i="13" s="1"/>
  <c r="DP86" i="13" s="1"/>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G49" i="51"/>
  <c r="BS49" i="13" s="1"/>
  <c r="DP49" i="13" s="1"/>
  <c r="U96" i="46"/>
  <c r="H98" i="45"/>
  <c r="K98" i="45" s="1"/>
  <c r="AY98" i="13" s="1"/>
  <c r="L32" i="50"/>
  <c r="O32" i="50" s="1"/>
  <c r="BR32" i="13" s="1"/>
  <c r="H99" i="52"/>
  <c r="K99" i="52" s="1"/>
  <c r="BU99" i="13" s="1"/>
  <c r="D51" i="51"/>
  <c r="G51" i="51" s="1"/>
  <c r="BS51" i="13" s="1"/>
  <c r="DP51" i="13" s="1"/>
  <c r="G79" i="51"/>
  <c r="BS79" i="13" s="1"/>
  <c r="DP79" i="13" s="1"/>
  <c r="U71" i="46"/>
  <c r="H33" i="45"/>
  <c r="H74" i="52"/>
  <c r="K74" i="52" s="1"/>
  <c r="BU74" i="13" s="1"/>
  <c r="H66" i="52"/>
  <c r="K66" i="52" s="1"/>
  <c r="BU66" i="13" s="1"/>
  <c r="G32" i="51"/>
  <c r="BS32" i="13" s="1"/>
  <c r="DP32"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G99" i="51"/>
  <c r="BS99" i="13" s="1"/>
  <c r="DP99"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G98" i="51"/>
  <c r="BS98" i="13" s="1"/>
  <c r="DP98" i="13" s="1"/>
  <c r="L70" i="50"/>
  <c r="H100" i="45"/>
  <c r="L72" i="50"/>
  <c r="H84" i="52"/>
  <c r="K84" i="52" s="1"/>
  <c r="BU84" i="13" s="1"/>
  <c r="G53" i="51"/>
  <c r="BS53" i="13" s="1"/>
  <c r="DP53"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K21" i="15"/>
  <c r="N21" i="13" s="1"/>
  <c r="I22" i="17"/>
  <c r="K22" i="17" s="1"/>
  <c r="T22" i="13" s="1"/>
  <c r="M70" i="54"/>
  <c r="K81" i="15"/>
  <c r="N81" i="13" s="1"/>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K55" i="15"/>
  <c r="N55" i="13" s="1"/>
  <c r="V22" i="19"/>
  <c r="H33" i="48"/>
  <c r="K33" i="48" s="1"/>
  <c r="BM33" i="13" s="1"/>
  <c r="M71" i="54"/>
  <c r="V24" i="19"/>
  <c r="K85" i="15"/>
  <c r="N85" i="13" s="1"/>
  <c r="H49" i="48"/>
  <c r="K49" i="48" s="1"/>
  <c r="BM49" i="13" s="1"/>
  <c r="V33" i="19"/>
  <c r="K49" i="15"/>
  <c r="N49" i="13" s="1"/>
  <c r="V32" i="19"/>
  <c r="V23" i="19"/>
  <c r="H32" i="48"/>
  <c r="K32" i="48" s="1"/>
  <c r="BM32" i="13" s="1"/>
  <c r="K51" i="15"/>
  <c r="N51" i="13" s="1"/>
  <c r="M48" i="54"/>
  <c r="H48" i="48"/>
  <c r="K48" i="48" s="1"/>
  <c r="BM48" i="13" s="1"/>
  <c r="H52" i="48"/>
  <c r="K52" i="48" s="1"/>
  <c r="BM52" i="13" s="1"/>
  <c r="K79" i="15"/>
  <c r="N79" i="13" s="1"/>
  <c r="K86" i="15"/>
  <c r="N86"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K84" i="57"/>
  <c r="CF84"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K34" i="15"/>
  <c r="N34" i="13" s="1"/>
  <c r="K35" i="15"/>
  <c r="N35"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G92" i="51"/>
  <c r="BS92" i="13" s="1"/>
  <c r="DP92" i="13" s="1"/>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G96" i="57"/>
  <c r="CE96"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G99" i="57"/>
  <c r="CE99" i="13" s="1"/>
  <c r="H32" i="54"/>
  <c r="K32" i="54" s="1"/>
  <c r="BZ32" i="13" s="1"/>
  <c r="F6" i="67"/>
  <c r="F44" i="67"/>
  <c r="F33" i="67"/>
  <c r="D44" i="67"/>
  <c r="G29" i="57"/>
  <c r="CE29" i="13" s="1"/>
  <c r="F101" i="67"/>
  <c r="F9" i="67"/>
  <c r="F73" i="67"/>
  <c r="F42" i="67"/>
  <c r="M40" i="52"/>
  <c r="O40" i="52" s="1"/>
  <c r="BV40" i="13" s="1"/>
  <c r="G30" i="57"/>
  <c r="CE30" i="13" s="1"/>
  <c r="G28" i="57"/>
  <c r="CE28" i="13" s="1"/>
  <c r="M52" i="52"/>
  <c r="F45" i="67"/>
  <c r="F100" i="67"/>
  <c r="F31" i="67"/>
  <c r="G98" i="57"/>
  <c r="CE98" i="13" s="1"/>
  <c r="F72" i="67"/>
  <c r="F5" i="67"/>
  <c r="G34" i="57"/>
  <c r="CE34" i="13" s="1"/>
  <c r="F74" i="67"/>
  <c r="G62" i="57"/>
  <c r="CE62" i="13" s="1"/>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G51" i="57"/>
  <c r="CE51" i="13" s="1"/>
  <c r="G50" i="57"/>
  <c r="CE50" i="13" s="1"/>
  <c r="G83" i="57"/>
  <c r="CE83" i="13" s="1"/>
  <c r="H86" i="54"/>
  <c r="K86" i="54" s="1"/>
  <c r="BZ86" i="13" s="1"/>
  <c r="G84" i="57"/>
  <c r="CE84"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K51" i="59"/>
  <c r="BB51" i="13" s="1"/>
  <c r="I73" i="49"/>
  <c r="BD56" i="13"/>
  <c r="H101" i="50"/>
  <c r="K101" i="50" s="1"/>
  <c r="BQ101" i="13" s="1"/>
  <c r="H82" i="50"/>
  <c r="K82" i="50" s="1"/>
  <c r="BQ82" i="13" s="1"/>
  <c r="O51" i="59"/>
  <c r="BC51" i="13" s="1"/>
  <c r="D84" i="46"/>
  <c r="G84" i="46" s="1"/>
  <c r="BE84" i="13" s="1"/>
  <c r="O31" i="59"/>
  <c r="BC31"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G97" i="59"/>
  <c r="BA97"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O100" i="59"/>
  <c r="BC100" i="13" s="1"/>
  <c r="P82" i="30"/>
  <c r="P57" i="30"/>
  <c r="S57" i="30" s="1"/>
  <c r="AW57" i="13" s="1"/>
  <c r="BD31" i="13"/>
  <c r="G48" i="59"/>
  <c r="BA48" i="13" s="1"/>
  <c r="O53" i="59"/>
  <c r="BC53" i="13" s="1"/>
  <c r="G99" i="59"/>
  <c r="BA99" i="13" s="1"/>
  <c r="P31" i="30"/>
  <c r="P12" i="30" s="1"/>
  <c r="P85" i="30"/>
  <c r="S85" i="30" s="1"/>
  <c r="AW85" i="13" s="1"/>
  <c r="T31" i="46"/>
  <c r="W31" i="46" s="1"/>
  <c r="BI31" i="13" s="1"/>
  <c r="D79" i="46"/>
  <c r="G79" i="46" s="1"/>
  <c r="BE79" i="13" s="1"/>
  <c r="K100" i="59"/>
  <c r="BB100" i="13" s="1"/>
  <c r="BD55" i="13"/>
  <c r="O49" i="59"/>
  <c r="BC49" i="13" s="1"/>
  <c r="K55" i="59"/>
  <c r="BB55" i="13" s="1"/>
  <c r="P21" i="30"/>
  <c r="P78" i="30"/>
  <c r="S78" i="30" s="1"/>
  <c r="AW78" i="13" s="1"/>
  <c r="P31" i="46"/>
  <c r="S31" i="46" s="1"/>
  <c r="BH31" i="13" s="1"/>
  <c r="K98" i="59"/>
  <c r="BB98" i="13" s="1"/>
  <c r="BD53" i="13"/>
  <c r="D102" i="46"/>
  <c r="G102" i="46" s="1"/>
  <c r="BE102" i="13" s="1"/>
  <c r="P42" i="30"/>
  <c r="P80" i="30"/>
  <c r="S80" i="30" s="1"/>
  <c r="AW80" i="13" s="1"/>
  <c r="L32" i="46"/>
  <c r="O32" i="46" s="1"/>
  <c r="BG32" i="13" s="1"/>
  <c r="G102" i="59"/>
  <c r="BA102" i="13" s="1"/>
  <c r="BD49" i="13"/>
  <c r="G31" i="59"/>
  <c r="BA31" i="13" s="1"/>
  <c r="K49" i="59"/>
  <c r="BB49" i="13" s="1"/>
  <c r="BD54" i="13"/>
  <c r="T33" i="46"/>
  <c r="W33" i="46" s="1"/>
  <c r="BI33" i="13" s="1"/>
  <c r="P19" i="30"/>
  <c r="D99" i="46"/>
  <c r="G99" i="46" s="1"/>
  <c r="BE99" i="13" s="1"/>
  <c r="BD52" i="13"/>
  <c r="H32" i="46"/>
  <c r="K32" i="46" s="1"/>
  <c r="BF32" i="13" s="1"/>
  <c r="P48" i="30"/>
  <c r="D101" i="46"/>
  <c r="G101" i="46" s="1"/>
  <c r="BE101" i="13" s="1"/>
  <c r="D78" i="46"/>
  <c r="G78" i="46" s="1"/>
  <c r="BE78" i="13" s="1"/>
  <c r="J92" i="46"/>
  <c r="G98" i="59"/>
  <c r="BA98" i="13" s="1"/>
  <c r="K33" i="59"/>
  <c r="BB33" i="13" s="1"/>
  <c r="BD32" i="13"/>
  <c r="G55" i="59"/>
  <c r="BA55" i="13" s="1"/>
  <c r="BD50" i="13"/>
  <c r="O54" i="59"/>
  <c r="BC54" i="13" s="1"/>
  <c r="P43" i="30"/>
  <c r="P70" i="30"/>
  <c r="L31" i="46"/>
  <c r="O31" i="46" s="1"/>
  <c r="BG31" i="13" s="1"/>
  <c r="D31" i="46"/>
  <c r="G31" i="46" s="1"/>
  <c r="BE31" i="13" s="1"/>
  <c r="D83" i="46"/>
  <c r="G83" i="46" s="1"/>
  <c r="BE83" i="13" s="1"/>
  <c r="K31" i="59"/>
  <c r="BB31" i="13" s="1"/>
  <c r="O101" i="59"/>
  <c r="BC101" i="13" s="1"/>
  <c r="G53" i="59"/>
  <c r="BA53" i="13" s="1"/>
  <c r="BD48" i="13"/>
  <c r="O52" i="59"/>
  <c r="BC52" i="13" s="1"/>
  <c r="P53" i="30"/>
  <c r="P73" i="30"/>
  <c r="J69" i="46"/>
  <c r="J38" i="46"/>
  <c r="D82" i="46"/>
  <c r="G82" i="46" s="1"/>
  <c r="BE82" i="13" s="1"/>
  <c r="O99" i="59"/>
  <c r="BC99" i="13" s="1"/>
  <c r="P58" i="30"/>
  <c r="S58" i="30" s="1"/>
  <c r="AW58" i="13" s="1"/>
  <c r="P51" i="30"/>
  <c r="P50" i="30"/>
  <c r="P20" i="30"/>
  <c r="D100" i="46"/>
  <c r="G100" i="46" s="1"/>
  <c r="BE100" i="13" s="1"/>
  <c r="P32" i="46"/>
  <c r="S32" i="46" s="1"/>
  <c r="BH32" i="13" s="1"/>
  <c r="BD101" i="13"/>
  <c r="K99" i="59"/>
  <c r="BB99" i="13" s="1"/>
  <c r="K32" i="59"/>
  <c r="BB32" i="13" s="1"/>
  <c r="P69" i="30"/>
  <c r="P83" i="30"/>
  <c r="P59" i="30"/>
  <c r="S59" i="30" s="1"/>
  <c r="AW59" i="13" s="1"/>
  <c r="D85" i="46"/>
  <c r="G85" i="46" s="1"/>
  <c r="BE85" i="13" s="1"/>
  <c r="K48" i="59"/>
  <c r="BB48" i="13" s="1"/>
  <c r="G56" i="59"/>
  <c r="BA56" i="13" s="1"/>
  <c r="BD99" i="13"/>
  <c r="K97" i="59"/>
  <c r="BB97" i="13" s="1"/>
  <c r="O32" i="59"/>
  <c r="BC32" i="13" s="1"/>
  <c r="BD102" i="13"/>
  <c r="P79" i="30"/>
  <c r="S79" i="30" s="1"/>
  <c r="AW79" i="13" s="1"/>
  <c r="P71" i="30"/>
  <c r="D86" i="46"/>
  <c r="G86" i="46" s="1"/>
  <c r="BE86" i="13" s="1"/>
  <c r="D54" i="46"/>
  <c r="G54" i="46" s="1"/>
  <c r="BE54" i="13" s="1"/>
  <c r="G54" i="59"/>
  <c r="BA54" i="13" s="1"/>
  <c r="BD97" i="13"/>
  <c r="BD100" i="13"/>
  <c r="G32" i="59"/>
  <c r="BA32" i="13" s="1"/>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G82" i="15"/>
  <c r="M82" i="13" s="1"/>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G52" i="15"/>
  <c r="M52" i="13" s="1"/>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G79" i="15"/>
  <c r="M79" i="13" s="1"/>
  <c r="E72" i="15"/>
  <c r="J12" i="19"/>
  <c r="J13" i="19"/>
  <c r="P56" i="18"/>
  <c r="D67" i="21"/>
  <c r="U80" i="18"/>
  <c r="D67" i="18"/>
  <c r="Q98" i="18"/>
  <c r="U38" i="18"/>
  <c r="D51" i="18"/>
  <c r="E12" i="15"/>
  <c r="J24" i="19"/>
  <c r="P79" i="18"/>
  <c r="Q97" i="18"/>
  <c r="U7" i="18"/>
  <c r="W7" i="18" s="1"/>
  <c r="Z7" i="13" s="1"/>
  <c r="U55" i="18"/>
  <c r="T33" i="18"/>
  <c r="G85" i="15"/>
  <c r="M85" i="13" s="1"/>
  <c r="Q101" i="18"/>
  <c r="S101" i="18" s="1"/>
  <c r="Y101" i="13" s="1"/>
  <c r="Q96" i="18"/>
  <c r="U27" i="18"/>
  <c r="W27" i="18" s="1"/>
  <c r="Z27" i="13" s="1"/>
  <c r="U52" i="18"/>
  <c r="U102" i="18"/>
  <c r="W102" i="18" s="1"/>
  <c r="Z102" i="13" s="1"/>
  <c r="G86" i="15"/>
  <c r="M86" i="13" s="1"/>
  <c r="D42" i="15"/>
  <c r="E45" i="15"/>
  <c r="P69" i="18"/>
  <c r="P63" i="18"/>
  <c r="U32" i="18"/>
  <c r="U39" i="18"/>
  <c r="T61" i="18"/>
  <c r="Q92" i="18"/>
  <c r="P83" i="18"/>
  <c r="U54" i="18"/>
  <c r="E98" i="18"/>
  <c r="G98" i="18" s="1"/>
  <c r="V98" i="13" s="1"/>
  <c r="G56" i="15"/>
  <c r="M56" i="13" s="1"/>
  <c r="D19" i="15"/>
  <c r="G19" i="15" s="1"/>
  <c r="M19" i="13" s="1"/>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O86" i="18" s="1"/>
  <c r="X86" i="13" s="1"/>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19" i="14"/>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G49" i="15"/>
  <c r="M49" i="13" s="1"/>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G36" i="15"/>
  <c r="M36" i="13" s="1"/>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AA95" i="14"/>
  <c r="J95" i="13" s="1"/>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G35" i="15"/>
  <c r="M35" i="13" s="1"/>
  <c r="F8" i="15"/>
  <c r="D72" i="15"/>
  <c r="M22" i="16"/>
  <c r="AI35" i="14"/>
  <c r="L35" i="13" s="1"/>
  <c r="G40" i="15"/>
  <c r="M40" i="13" s="1"/>
  <c r="F31" i="14"/>
  <c r="G36" i="14"/>
  <c r="E36" i="13" s="1"/>
  <c r="F12" i="14"/>
  <c r="G103" i="14"/>
  <c r="E103" i="13" s="1"/>
  <c r="F91" i="14"/>
  <c r="F22" i="14"/>
  <c r="F45" i="14"/>
  <c r="F72" i="14"/>
  <c r="AE36" i="14"/>
  <c r="K36" i="13" s="1"/>
  <c r="F34" i="14"/>
  <c r="G34" i="14" s="1"/>
  <c r="E34" i="13" s="1"/>
  <c r="F69" i="14"/>
  <c r="F60" i="14"/>
  <c r="F38" i="14"/>
  <c r="O34" i="14"/>
  <c r="G34" i="13" s="1"/>
  <c r="AI96" i="14"/>
  <c r="L96" i="13" s="1"/>
  <c r="E38" i="14"/>
  <c r="H101" i="80"/>
  <c r="K101" i="80" s="1"/>
  <c r="AL101" i="13" s="1"/>
  <c r="H86" i="80"/>
  <c r="K86" i="80" s="1"/>
  <c r="AL86" i="13" s="1"/>
  <c r="D83" i="80"/>
  <c r="D48" i="80"/>
  <c r="E42" i="14"/>
  <c r="G29" i="14"/>
  <c r="E29" i="13" s="1"/>
  <c r="H80" i="80"/>
  <c r="H78" i="80"/>
  <c r="E28" i="14"/>
  <c r="G28" i="14" s="1"/>
  <c r="E28" i="13" s="1"/>
  <c r="H51" i="80"/>
  <c r="H32" i="80"/>
  <c r="H102" i="80"/>
  <c r="K102" i="80" s="1"/>
  <c r="AL102" i="13" s="1"/>
  <c r="E45" i="14"/>
  <c r="E91" i="14"/>
  <c r="D99" i="80"/>
  <c r="E12" i="14"/>
  <c r="E60" i="14"/>
  <c r="E22" i="14"/>
  <c r="AA94" i="14"/>
  <c r="J94" i="13" s="1"/>
  <c r="D81" i="80"/>
  <c r="H83" i="80"/>
  <c r="S95" i="14"/>
  <c r="H95" i="13" s="1"/>
  <c r="D54" i="80"/>
  <c r="G54" i="80" s="1"/>
  <c r="AK54" i="13" s="1"/>
  <c r="H48" i="80"/>
  <c r="H98" i="80"/>
  <c r="S28" i="14"/>
  <c r="H28" i="13" s="1"/>
  <c r="H52" i="80"/>
  <c r="S29" i="14"/>
  <c r="H29" i="13" s="1"/>
  <c r="K60" i="14"/>
  <c r="F60" i="13" s="1"/>
  <c r="K34" i="14"/>
  <c r="F34" i="13" s="1"/>
  <c r="AA34" i="14"/>
  <c r="J34" i="13" s="1"/>
  <c r="E13" i="80"/>
  <c r="AA61" i="14"/>
  <c r="J61" i="13" s="1"/>
  <c r="AE34" i="14"/>
  <c r="K34" i="13" s="1"/>
  <c r="I7" i="80"/>
  <c r="I95" i="80"/>
  <c r="E28" i="80"/>
  <c r="G28" i="80" s="1"/>
  <c r="AK28" i="13" s="1"/>
  <c r="AA28" i="14"/>
  <c r="J28" i="13" s="1"/>
  <c r="H79" i="80"/>
  <c r="K28" i="14"/>
  <c r="F28" i="13" s="1"/>
  <c r="D82" i="80"/>
  <c r="E30" i="80"/>
  <c r="G30" i="80" s="1"/>
  <c r="AK30" i="13" s="1"/>
  <c r="E45" i="80"/>
  <c r="AI29" i="14"/>
  <c r="L29" i="13" s="1"/>
  <c r="W95" i="14"/>
  <c r="I95" i="13" s="1"/>
  <c r="W29" i="14"/>
  <c r="I29" i="13" s="1"/>
  <c r="W92" i="14"/>
  <c r="I92" i="13" s="1"/>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AI101" i="14"/>
  <c r="L101" i="13" s="1"/>
  <c r="AI80" i="14"/>
  <c r="L80" i="13" s="1"/>
  <c r="AI71" i="14"/>
  <c r="L71" i="13" s="1"/>
  <c r="AI52" i="14"/>
  <c r="L52" i="13" s="1"/>
  <c r="AI78" i="14"/>
  <c r="L78" i="13" s="1"/>
  <c r="AI81" i="14"/>
  <c r="L81" i="13" s="1"/>
  <c r="AI53" i="14"/>
  <c r="L53" i="13" s="1"/>
  <c r="AI59" i="14"/>
  <c r="L59" i="13" s="1"/>
  <c r="AI48" i="14"/>
  <c r="L48" i="13" s="1"/>
  <c r="AI86" i="14"/>
  <c r="L86" i="13" s="1"/>
  <c r="AI49" i="14"/>
  <c r="L49" i="13" s="1"/>
  <c r="AI58" i="14"/>
  <c r="L58" i="13" s="1"/>
  <c r="I47" i="80"/>
  <c r="I12" i="80"/>
  <c r="E29" i="80"/>
  <c r="G29" i="80" s="1"/>
  <c r="AK29" i="13" s="1"/>
  <c r="D50" i="80"/>
  <c r="K101" i="14"/>
  <c r="F101" i="13" s="1"/>
  <c r="K59" i="14"/>
  <c r="F59" i="13" s="1"/>
  <c r="K80" i="14"/>
  <c r="F80" i="13" s="1"/>
  <c r="K49" i="14"/>
  <c r="F49" i="13" s="1"/>
  <c r="K100" i="14"/>
  <c r="F100" i="13" s="1"/>
  <c r="K85" i="14"/>
  <c r="F85" i="13" s="1"/>
  <c r="K50" i="14"/>
  <c r="F50" i="13" s="1"/>
  <c r="K81" i="14"/>
  <c r="F81" i="13" s="1"/>
  <c r="I14" i="80"/>
  <c r="I45" i="80"/>
  <c r="W80" i="14"/>
  <c r="I80" i="13" s="1"/>
  <c r="W82" i="14"/>
  <c r="I82" i="13" s="1"/>
  <c r="W100" i="14"/>
  <c r="I100" i="13" s="1"/>
  <c r="W78" i="14"/>
  <c r="I78" i="13" s="1"/>
  <c r="W52" i="14"/>
  <c r="I52" i="13" s="1"/>
  <c r="W58" i="14"/>
  <c r="I58" i="13" s="1"/>
  <c r="W81" i="14"/>
  <c r="I81" i="13" s="1"/>
  <c r="W59" i="14"/>
  <c r="I59" i="13" s="1"/>
  <c r="W86" i="14"/>
  <c r="I86" i="13" s="1"/>
  <c r="E5" i="80"/>
  <c r="I22" i="80"/>
  <c r="I60" i="80"/>
  <c r="D72" i="14"/>
  <c r="G59" i="14"/>
  <c r="E59" i="13" s="1"/>
  <c r="G58" i="14"/>
  <c r="E58" i="13" s="1"/>
  <c r="D57" i="14"/>
  <c r="G57" i="14" s="1"/>
  <c r="E57" i="13" s="1"/>
  <c r="G52" i="14"/>
  <c r="E52" i="13" s="1"/>
  <c r="D51" i="14"/>
  <c r="G51" i="14" s="1"/>
  <c r="E51" i="13" s="1"/>
  <c r="G50" i="14"/>
  <c r="E50" i="13" s="1"/>
  <c r="G49" i="14"/>
  <c r="E49" i="13" s="1"/>
  <c r="D48" i="14"/>
  <c r="G48" i="14" s="1"/>
  <c r="E48" i="13" s="1"/>
  <c r="D42" i="14"/>
  <c r="D31" i="14"/>
  <c r="D100" i="14"/>
  <c r="G100" i="14" s="1"/>
  <c r="E100" i="13" s="1"/>
  <c r="D81" i="14"/>
  <c r="G81" i="14" s="1"/>
  <c r="E81" i="13" s="1"/>
  <c r="G84" i="14"/>
  <c r="E84" i="13" s="1"/>
  <c r="D19" i="14"/>
  <c r="D78" i="14"/>
  <c r="G78" i="14" s="1"/>
  <c r="E78" i="13" s="1"/>
  <c r="D69" i="14"/>
  <c r="I39" i="80"/>
  <c r="I24" i="80"/>
  <c r="I62" i="80"/>
  <c r="E8" i="80"/>
  <c r="AE79" i="14"/>
  <c r="K79" i="13" s="1"/>
  <c r="AE80" i="14"/>
  <c r="K80" i="13" s="1"/>
  <c r="AE49" i="14"/>
  <c r="K49" i="13" s="1"/>
  <c r="AE50" i="14"/>
  <c r="K50" i="13" s="1"/>
  <c r="AE81" i="14"/>
  <c r="K81" i="13" s="1"/>
  <c r="AE53" i="14"/>
  <c r="K53" i="13" s="1"/>
  <c r="AE48" i="14"/>
  <c r="K48" i="13" s="1"/>
  <c r="AE51" i="14"/>
  <c r="K51" i="13" s="1"/>
  <c r="AE84" i="14"/>
  <c r="K84" i="13" s="1"/>
  <c r="E47" i="80"/>
  <c r="E93" i="80"/>
  <c r="E61" i="80"/>
  <c r="E92" i="80"/>
  <c r="O78" i="14"/>
  <c r="G78" i="13" s="1"/>
  <c r="O79" i="14"/>
  <c r="G79" i="13" s="1"/>
  <c r="O84" i="14"/>
  <c r="G84" i="13" s="1"/>
  <c r="O72" i="14"/>
  <c r="G72" i="13" s="1"/>
  <c r="O86" i="14"/>
  <c r="G86" i="13" s="1"/>
  <c r="O51" i="14"/>
  <c r="G51" i="13" s="1"/>
  <c r="O100" i="14"/>
  <c r="G100" i="13" s="1"/>
  <c r="O58" i="14"/>
  <c r="G58" i="13" s="1"/>
  <c r="O83" i="14"/>
  <c r="G83" i="13" s="1"/>
  <c r="O81" i="14"/>
  <c r="G81" i="13" s="1"/>
  <c r="O53" i="14"/>
  <c r="G53" i="13" s="1"/>
  <c r="O48" i="14"/>
  <c r="G48" i="13" s="1"/>
  <c r="O101" i="14"/>
  <c r="G101" i="13" s="1"/>
  <c r="I28" i="80"/>
  <c r="K28" i="80" s="1"/>
  <c r="AL28" i="13" s="1"/>
  <c r="I8" i="80"/>
  <c r="H82" i="80"/>
  <c r="I92" i="80"/>
  <c r="E94" i="80"/>
  <c r="AA82" i="14"/>
  <c r="J82" i="13" s="1"/>
  <c r="AA80" i="14"/>
  <c r="J80" i="13" s="1"/>
  <c r="AA52" i="14"/>
  <c r="J52" i="13" s="1"/>
  <c r="AA50" i="14"/>
  <c r="J50" i="13" s="1"/>
  <c r="AA53" i="14"/>
  <c r="J53" i="13" s="1"/>
  <c r="AA49" i="14"/>
  <c r="J49" i="13" s="1"/>
  <c r="AA51" i="14"/>
  <c r="J51" i="13" s="1"/>
  <c r="I6" i="80"/>
  <c r="E40" i="80"/>
  <c r="I9" i="80"/>
  <c r="I94" i="80"/>
  <c r="E96" i="80"/>
  <c r="S86" i="14"/>
  <c r="H86" i="13" s="1"/>
  <c r="S81" i="14"/>
  <c r="H81" i="13" s="1"/>
  <c r="S79" i="14"/>
  <c r="H79" i="13" s="1"/>
  <c r="S78" i="14"/>
  <c r="H78" i="13" s="1"/>
  <c r="S19" i="14"/>
  <c r="H19" i="13" s="1"/>
  <c r="S102" i="14"/>
  <c r="H102" i="13" s="1"/>
  <c r="S57" i="14"/>
  <c r="H57" i="13" s="1"/>
  <c r="S52" i="14"/>
  <c r="H52" i="13" s="1"/>
  <c r="S51" i="14"/>
  <c r="H51" i="13" s="1"/>
  <c r="S50" i="14"/>
  <c r="H50" i="13" s="1"/>
  <c r="S100" i="14"/>
  <c r="H100" i="13" s="1"/>
  <c r="S101" i="14"/>
  <c r="H101" i="13" s="1"/>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S96" i="14" l="1"/>
  <c r="H96" i="13" s="1"/>
  <c r="S36" i="14"/>
  <c r="H36" i="13" s="1"/>
  <c r="K47" i="14"/>
  <c r="F47" i="13" s="1"/>
  <c r="AE59" i="14"/>
  <c r="K59" i="13" s="1"/>
  <c r="W50" i="14"/>
  <c r="I50" i="13" s="1"/>
  <c r="S49" i="14"/>
  <c r="H49" i="13" s="1"/>
  <c r="AA35" i="14"/>
  <c r="J35" i="13" s="1"/>
  <c r="K101" i="59"/>
  <c r="BB101" i="13" s="1"/>
  <c r="AA96" i="14"/>
  <c r="J96" i="13" s="1"/>
  <c r="G82" i="14"/>
  <c r="E82" i="13" s="1"/>
  <c r="O49" i="14"/>
  <c r="G49" i="13" s="1"/>
  <c r="G53" i="14"/>
  <c r="E53" i="13" s="1"/>
  <c r="AA102" i="14"/>
  <c r="J102" i="13" s="1"/>
  <c r="G35" i="59"/>
  <c r="BA35" i="13" s="1"/>
  <c r="G62" i="51"/>
  <c r="BS62" i="13" s="1"/>
  <c r="DP62" i="13" s="1"/>
  <c r="AA29" i="14"/>
  <c r="J29" i="13" s="1"/>
  <c r="DV48" i="13"/>
  <c r="AI79" i="14"/>
  <c r="L79" i="13" s="1"/>
  <c r="K80" i="57"/>
  <c r="CF80" i="13" s="1"/>
  <c r="S80" i="14"/>
  <c r="H80" i="13" s="1"/>
  <c r="W101" i="14"/>
  <c r="I101" i="13" s="1"/>
  <c r="O68" i="14"/>
  <c r="G68" i="13" s="1"/>
  <c r="O56" i="14"/>
  <c r="G56" i="13" s="1"/>
  <c r="G103" i="59"/>
  <c r="BA103" i="13" s="1"/>
  <c r="AI85" i="14"/>
  <c r="L85" i="13" s="1"/>
  <c r="AI36" i="14"/>
  <c r="L36" i="13" s="1"/>
  <c r="AA58" i="14"/>
  <c r="J58" i="13" s="1"/>
  <c r="S53" i="14"/>
  <c r="H53" i="13" s="1"/>
  <c r="O56" i="59"/>
  <c r="BC56" i="13" s="1"/>
  <c r="W56" i="14"/>
  <c r="I56" i="13" s="1"/>
  <c r="S67" i="14"/>
  <c r="H67" i="13" s="1"/>
  <c r="AE85" i="14"/>
  <c r="K85" i="13" s="1"/>
  <c r="AI67" i="14"/>
  <c r="L67" i="13" s="1"/>
  <c r="O55" i="14"/>
  <c r="G55" i="13" s="1"/>
  <c r="S59" i="14"/>
  <c r="H59" i="13" s="1"/>
  <c r="G52" i="57"/>
  <c r="CE52" i="13" s="1"/>
  <c r="W36" i="14"/>
  <c r="I36" i="13" s="1"/>
  <c r="AA55" i="14"/>
  <c r="J55" i="13" s="1"/>
  <c r="S85" i="14"/>
  <c r="H85" i="13" s="1"/>
  <c r="G30" i="51"/>
  <c r="BS30" i="13" s="1"/>
  <c r="DP30" i="13" s="1"/>
  <c r="G86" i="14"/>
  <c r="E86" i="13" s="1"/>
  <c r="G43" i="59"/>
  <c r="BA43" i="13" s="1"/>
  <c r="K83" i="57"/>
  <c r="CF83" i="13" s="1"/>
  <c r="W49" i="14"/>
  <c r="I49" i="13" s="1"/>
  <c r="AI50" i="14"/>
  <c r="L50" i="13" s="1"/>
  <c r="AE102" i="14"/>
  <c r="K102" i="13" s="1"/>
  <c r="K53" i="57"/>
  <c r="CF53" i="13" s="1"/>
  <c r="G44" i="59"/>
  <c r="BA44" i="13" s="1"/>
  <c r="G10" i="51"/>
  <c r="BS10" i="13" s="1"/>
  <c r="DP10" i="13" s="1"/>
  <c r="G20" i="59"/>
  <c r="BA20" i="13" s="1"/>
  <c r="AI102" i="14"/>
  <c r="L102" i="13" s="1"/>
  <c r="G38" i="59"/>
  <c r="BA38" i="13" s="1"/>
  <c r="AE52" i="14"/>
  <c r="K52" i="13" s="1"/>
  <c r="G86" i="57"/>
  <c r="CE86" i="13" s="1"/>
  <c r="K52" i="57"/>
  <c r="CF52" i="13" s="1"/>
  <c r="G49" i="57"/>
  <c r="CE49" i="13" s="1"/>
  <c r="W30" i="14"/>
  <c r="I30" i="13" s="1"/>
  <c r="AA79" i="14"/>
  <c r="J79" i="13" s="1"/>
  <c r="G62" i="14"/>
  <c r="E62" i="13" s="1"/>
  <c r="G85" i="57"/>
  <c r="CE85" i="13" s="1"/>
  <c r="DV85" i="13" s="1"/>
  <c r="G55" i="57"/>
  <c r="CE55" i="13" s="1"/>
  <c r="O85" i="14"/>
  <c r="G85" i="13" s="1"/>
  <c r="O59" i="14"/>
  <c r="G59" i="13" s="1"/>
  <c r="K102" i="57"/>
  <c r="CF102" i="13" s="1"/>
  <c r="DV102" i="13" s="1"/>
  <c r="W102" i="14"/>
  <c r="I102" i="13" s="1"/>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68" i="14"/>
  <c r="E68" i="13" s="1"/>
  <c r="K96" i="14"/>
  <c r="F96" i="13" s="1"/>
  <c r="S68" i="14"/>
  <c r="H68" i="13" s="1"/>
  <c r="G67" i="51"/>
  <c r="BS67" i="13" s="1"/>
  <c r="DP67" i="13" s="1"/>
  <c r="EA28" i="12" s="1"/>
  <c r="S58" i="14"/>
  <c r="H58" i="13" s="1"/>
  <c r="K83" i="14"/>
  <c r="F83" i="13" s="1"/>
  <c r="K55" i="14"/>
  <c r="F55" i="13" s="1"/>
  <c r="G79" i="57"/>
  <c r="CE79" i="13" s="1"/>
  <c r="G82" i="57"/>
  <c r="CE82" i="13" s="1"/>
  <c r="W83" i="14"/>
  <c r="I83" i="13" s="1"/>
  <c r="W55" i="14"/>
  <c r="I55" i="13" s="1"/>
  <c r="O80" i="14"/>
  <c r="G80" i="13" s="1"/>
  <c r="AA67" i="14"/>
  <c r="J67" i="13" s="1"/>
  <c r="AI30" i="14"/>
  <c r="L30" i="13" s="1"/>
  <c r="K58" i="14"/>
  <c r="F58" i="13" s="1"/>
  <c r="AE58" i="14"/>
  <c r="K58" i="13" s="1"/>
  <c r="AI83" i="14"/>
  <c r="L83" i="13" s="1"/>
  <c r="AI82" i="14"/>
  <c r="L82" i="13" s="1"/>
  <c r="K82" i="57"/>
  <c r="CF82" i="13" s="1"/>
  <c r="K29" i="14"/>
  <c r="F29" i="13" s="1"/>
  <c r="AI56" i="14"/>
  <c r="L56" i="13" s="1"/>
  <c r="DV26" i="13"/>
  <c r="EM13" i="12" s="1"/>
  <c r="K68" i="57"/>
  <c r="CF68" i="13" s="1"/>
  <c r="G20" i="51"/>
  <c r="BS20" i="13" s="1"/>
  <c r="DP20" i="13" s="1"/>
  <c r="G7" i="51"/>
  <c r="BS7" i="13" s="1"/>
  <c r="DP7" i="13" s="1"/>
  <c r="AE67" i="14"/>
  <c r="K67" i="13" s="1"/>
  <c r="G21" i="51"/>
  <c r="BS21" i="13" s="1"/>
  <c r="DP21" i="13" s="1"/>
  <c r="G35" i="51"/>
  <c r="BS35" i="13" s="1"/>
  <c r="DP35" i="13" s="1"/>
  <c r="EA16" i="12" s="1"/>
  <c r="G43" i="51"/>
  <c r="BS43" i="13" s="1"/>
  <c r="DP43" i="13" s="1"/>
  <c r="EA20" i="12" s="1"/>
  <c r="G58" i="51"/>
  <c r="BS58" i="13" s="1"/>
  <c r="DP58" i="13" s="1"/>
  <c r="G39" i="51"/>
  <c r="BS39" i="13" s="1"/>
  <c r="DP39" i="13" s="1"/>
  <c r="O52" i="14"/>
  <c r="G52" i="13" s="1"/>
  <c r="K86" i="57"/>
  <c r="CF86" i="13" s="1"/>
  <c r="G61" i="59"/>
  <c r="BA61" i="13" s="1"/>
  <c r="DJ61" i="13" s="1"/>
  <c r="G22" i="59"/>
  <c r="BA22" i="13" s="1"/>
  <c r="G9" i="51"/>
  <c r="BS9" i="13" s="1"/>
  <c r="DP9" i="13" s="1"/>
  <c r="EA6" i="12" s="1"/>
  <c r="G59" i="51"/>
  <c r="BS59" i="13" s="1"/>
  <c r="DP59" i="13" s="1"/>
  <c r="O29" i="14"/>
  <c r="G29" i="13" s="1"/>
  <c r="K49" i="57"/>
  <c r="CF49" i="13" s="1"/>
  <c r="DJ78" i="13"/>
  <c r="AI55" i="14"/>
  <c r="L55" i="13" s="1"/>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DV80" i="13" s="1"/>
  <c r="K60" i="15"/>
  <c r="N60" i="13" s="1"/>
  <c r="G101" i="14"/>
  <c r="E101" i="13" s="1"/>
  <c r="DJ34" i="13"/>
  <c r="K82" i="59"/>
  <c r="BB82" i="13" s="1"/>
  <c r="K79" i="59"/>
  <c r="BB79" i="13" s="1"/>
  <c r="DJ9" i="13"/>
  <c r="DO6" i="12" s="1"/>
  <c r="DJ30" i="13"/>
  <c r="DJ26" i="13"/>
  <c r="DO13" i="12" s="1"/>
  <c r="AE86" i="14"/>
  <c r="K86" i="13" s="1"/>
  <c r="AE56" i="14"/>
  <c r="K56" i="13" s="1"/>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O95" i="14"/>
  <c r="G95" i="13" s="1"/>
  <c r="S30" i="14"/>
  <c r="H30" i="13" s="1"/>
  <c r="CX27" i="13"/>
  <c r="G67" i="14"/>
  <c r="E67" i="13" s="1"/>
  <c r="G95" i="14"/>
  <c r="E95" i="13" s="1"/>
  <c r="G56" i="14"/>
  <c r="E56" i="13" s="1"/>
  <c r="K67" i="57"/>
  <c r="CF67" i="13" s="1"/>
  <c r="DV67" i="13" s="1"/>
  <c r="EM28" i="12" s="1"/>
  <c r="G72" i="59"/>
  <c r="BA72" i="13" s="1"/>
  <c r="G79" i="59"/>
  <c r="BA79" i="13" s="1"/>
  <c r="G53" i="15"/>
  <c r="M53" i="13" s="1"/>
  <c r="CX53" i="13" s="1"/>
  <c r="G67" i="59"/>
  <c r="BA67" i="13" s="1"/>
  <c r="G8" i="59"/>
  <c r="BA8" i="13" s="1"/>
  <c r="G82" i="59"/>
  <c r="BA82" i="13" s="1"/>
  <c r="G55" i="14"/>
  <c r="E55" i="13" s="1"/>
  <c r="G59" i="59"/>
  <c r="BA59" i="13" s="1"/>
  <c r="DJ59" i="13" s="1"/>
  <c r="G45" i="59"/>
  <c r="BA45" i="13" s="1"/>
  <c r="DJ45" i="13" s="1"/>
  <c r="G59" i="15"/>
  <c r="M59" i="13" s="1"/>
  <c r="G42" i="59"/>
  <c r="BA42" i="13" s="1"/>
  <c r="G68" i="59"/>
  <c r="BA68" i="13" s="1"/>
  <c r="G97" i="57"/>
  <c r="CE97" i="13" s="1"/>
  <c r="DV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G85" i="59"/>
  <c r="BA85" i="13" s="1"/>
  <c r="G80" i="14"/>
  <c r="E80" i="13" s="1"/>
  <c r="G79" i="14"/>
  <c r="E79" i="13" s="1"/>
  <c r="K50" i="15"/>
  <c r="N50" i="13" s="1"/>
  <c r="CX50" i="13" s="1"/>
  <c r="CX29" i="13"/>
  <c r="CQ14" i="12" s="1"/>
  <c r="CW26" i="13"/>
  <c r="CO13" i="12" s="1"/>
  <c r="CW27" i="13"/>
  <c r="K58" i="57"/>
  <c r="CF58" i="13" s="1"/>
  <c r="DV53" i="13"/>
  <c r="G83" i="14"/>
  <c r="E83" i="13" s="1"/>
  <c r="G59" i="57"/>
  <c r="CE59" i="13" s="1"/>
  <c r="DV59" i="13" s="1"/>
  <c r="G85" i="14"/>
  <c r="E85" i="13" s="1"/>
  <c r="K82" i="15"/>
  <c r="N82" i="13" s="1"/>
  <c r="CX82" i="13" s="1"/>
  <c r="AI95" i="14"/>
  <c r="L95" i="13" s="1"/>
  <c r="W79" i="14"/>
  <c r="I79" i="13" s="1"/>
  <c r="S55" i="14"/>
  <c r="H55" i="13" s="1"/>
  <c r="AA86" i="14"/>
  <c r="J86" i="13" s="1"/>
  <c r="AA85" i="14"/>
  <c r="J85" i="13" s="1"/>
  <c r="AA101" i="14"/>
  <c r="J101" i="13" s="1"/>
  <c r="AA68" i="14"/>
  <c r="J68" i="13" s="1"/>
  <c r="CW68" i="13" s="1"/>
  <c r="AE39" i="14"/>
  <c r="K39" i="13" s="1"/>
  <c r="G96" i="14"/>
  <c r="E96" i="13" s="1"/>
  <c r="O36" i="14"/>
  <c r="G36" i="13" s="1"/>
  <c r="G68" i="57"/>
  <c r="CE68" i="13" s="1"/>
  <c r="DV68" i="13" s="1"/>
  <c r="K68" i="15"/>
  <c r="N68" i="13" s="1"/>
  <c r="K58" i="15"/>
  <c r="N58" i="13" s="1"/>
  <c r="G102" i="14"/>
  <c r="E102" i="13" s="1"/>
  <c r="DV54" i="13"/>
  <c r="G58" i="57"/>
  <c r="CE58" i="13" s="1"/>
  <c r="K36" i="14"/>
  <c r="F36" i="13" s="1"/>
  <c r="CX95" i="13"/>
  <c r="CQ38" i="12" s="1"/>
  <c r="G58" i="15"/>
  <c r="M58" i="13" s="1"/>
  <c r="CX96" i="13"/>
  <c r="O35" i="14"/>
  <c r="G35" i="13" s="1"/>
  <c r="G67" i="15"/>
  <c r="M67" i="13" s="1"/>
  <c r="G68" i="15"/>
  <c r="M68" i="13" s="1"/>
  <c r="S35" i="14"/>
  <c r="H35" i="13" s="1"/>
  <c r="AE35" i="14"/>
  <c r="K35" i="13" s="1"/>
  <c r="G35" i="14"/>
  <c r="E35" i="13" s="1"/>
  <c r="O96" i="14"/>
  <c r="G96" i="13" s="1"/>
  <c r="AA47" i="14"/>
  <c r="J47" i="13" s="1"/>
  <c r="W96" i="14"/>
  <c r="I96" i="13" s="1"/>
  <c r="W35" i="14"/>
  <c r="I35" i="13" s="1"/>
  <c r="AI60" i="14"/>
  <c r="L60" i="13" s="1"/>
  <c r="S24" i="14"/>
  <c r="H24" i="13" s="1"/>
  <c r="CW98" i="13"/>
  <c r="CW10" i="13"/>
  <c r="CW99" i="13"/>
  <c r="CW7" i="13"/>
  <c r="CW9" i="13"/>
  <c r="CO6" i="12" s="1"/>
  <c r="CW6" i="13"/>
  <c r="CO5" i="12" s="1"/>
  <c r="K95" i="14"/>
  <c r="F95" i="13" s="1"/>
  <c r="AE95" i="14"/>
  <c r="K95" i="13" s="1"/>
  <c r="CW64" i="13"/>
  <c r="CO27" i="12" s="1"/>
  <c r="CW65" i="13"/>
  <c r="S35" i="16"/>
  <c r="R35" i="13" s="1"/>
  <c r="EA21" i="12"/>
  <c r="EA37" i="12"/>
  <c r="EA15" i="12"/>
  <c r="EE26" i="12"/>
  <c r="EA26" i="12"/>
  <c r="EA29" i="12"/>
  <c r="EE37" i="12"/>
  <c r="EA12" i="12"/>
  <c r="EA30" i="12"/>
  <c r="EC21" i="12"/>
  <c r="EE15" i="12"/>
  <c r="EI12" i="12"/>
  <c r="EE21" i="12"/>
  <c r="EE28" i="12"/>
  <c r="DV51" i="13"/>
  <c r="N39" i="1"/>
  <c r="N26" i="1"/>
  <c r="EE38" i="12"/>
  <c r="EI16" i="12"/>
  <c r="EI37" i="12"/>
  <c r="EA38"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O61" i="14"/>
  <c r="G61" i="13" s="1"/>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O93" i="14"/>
  <c r="G93" i="13" s="1"/>
  <c r="O98" i="18"/>
  <c r="X98" i="13" s="1"/>
  <c r="S13" i="16"/>
  <c r="R13" i="13" s="1"/>
  <c r="O99" i="18"/>
  <c r="X99" i="13" s="1"/>
  <c r="K84" i="30"/>
  <c r="AU84" i="13" s="1"/>
  <c r="G12" i="55"/>
  <c r="CB12" i="13" s="1"/>
  <c r="DT12" i="13" s="1"/>
  <c r="O23" i="14"/>
  <c r="G23" i="13" s="1"/>
  <c r="O81" i="18"/>
  <c r="X81" i="13" s="1"/>
  <c r="S79" i="16"/>
  <c r="R79" i="13" s="1"/>
  <c r="O68" i="18"/>
  <c r="X68" i="13" s="1"/>
  <c r="EZ36" i="12"/>
  <c r="T43" i="1" s="1"/>
  <c r="O40" i="14"/>
  <c r="G40" i="13" s="1"/>
  <c r="W71" i="14"/>
  <c r="I71" i="13" s="1"/>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O104" i="14"/>
  <c r="G104" i="13" s="1"/>
  <c r="O73" i="21"/>
  <c r="AJ73" i="13" s="1"/>
  <c r="W73" i="46"/>
  <c r="BI73" i="13" s="1"/>
  <c r="K8" i="57"/>
  <c r="CF8" i="13" s="1"/>
  <c r="DD78" i="13"/>
  <c r="K93" i="30"/>
  <c r="AU93" i="13" s="1"/>
  <c r="DN78" i="13"/>
  <c r="W23" i="18"/>
  <c r="Z23" i="13" s="1"/>
  <c r="DU99" i="13"/>
  <c r="W69" i="14"/>
  <c r="I69" i="13" s="1"/>
  <c r="O21" i="14"/>
  <c r="G21" i="13" s="1"/>
  <c r="W39" i="18"/>
  <c r="Z39" i="13" s="1"/>
  <c r="O91" i="14"/>
  <c r="G91" i="13" s="1"/>
  <c r="DN86" i="13"/>
  <c r="W23" i="14"/>
  <c r="I23" i="13" s="1"/>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O46" i="14"/>
  <c r="G46" i="13" s="1"/>
  <c r="CZ49" i="13"/>
  <c r="O33" i="30"/>
  <c r="AV33" i="13" s="1"/>
  <c r="W22" i="14"/>
  <c r="I22" i="13" s="1"/>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O24" i="14"/>
  <c r="G24" i="13" s="1"/>
  <c r="DM101" i="13"/>
  <c r="K39" i="57"/>
  <c r="CF39" i="13" s="1"/>
  <c r="G73" i="55"/>
  <c r="CB73" i="13" s="1"/>
  <c r="DT73" i="13" s="1"/>
  <c r="K103" i="57"/>
  <c r="CF103" i="13" s="1"/>
  <c r="G39" i="18"/>
  <c r="V39" i="13" s="1"/>
  <c r="O39" i="16"/>
  <c r="Q39" i="13" s="1"/>
  <c r="W94" i="18"/>
  <c r="Z94" i="13" s="1"/>
  <c r="S34" i="16"/>
  <c r="R34" i="13" s="1"/>
  <c r="DU92" i="13"/>
  <c r="DM73" i="13"/>
  <c r="DU30" i="12" s="1"/>
  <c r="K23" i="59"/>
  <c r="BB23" i="13" s="1"/>
  <c r="W61" i="14"/>
  <c r="I61" i="13" s="1"/>
  <c r="O91" i="18"/>
  <c r="X91" i="13" s="1"/>
  <c r="O103" i="67"/>
  <c r="CI103" i="13" s="1"/>
  <c r="S84" i="16"/>
  <c r="R84" i="13" s="1"/>
  <c r="K40" i="57"/>
  <c r="CF40" i="13" s="1"/>
  <c r="DU31" i="13"/>
  <c r="DC103" i="13"/>
  <c r="DV83" i="13"/>
  <c r="DC62" i="13"/>
  <c r="DM62" i="13"/>
  <c r="L43" i="103"/>
  <c r="W93" i="14"/>
  <c r="I93" i="13" s="1"/>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W72" i="14"/>
  <c r="I72" i="13" s="1"/>
  <c r="DC81" i="13"/>
  <c r="G74" i="49"/>
  <c r="BN74" i="13" s="1"/>
  <c r="O70" i="18"/>
  <c r="X70" i="13" s="1"/>
  <c r="S63" i="16"/>
  <c r="R63" i="13" s="1"/>
  <c r="W38" i="14"/>
  <c r="I38" i="13" s="1"/>
  <c r="W103" i="14"/>
  <c r="I103" i="13" s="1"/>
  <c r="W91" i="14"/>
  <c r="I91" i="13" s="1"/>
  <c r="O32" i="19"/>
  <c r="AC32" i="13" s="1"/>
  <c r="S21" i="14"/>
  <c r="H21" i="13" s="1"/>
  <c r="DM93" i="13"/>
  <c r="DU37" i="12" s="1"/>
  <c r="W40" i="18"/>
  <c r="Z40" i="13" s="1"/>
  <c r="K85" i="30"/>
  <c r="AU85" i="13" s="1"/>
  <c r="DV79" i="13"/>
  <c r="DV99" i="13"/>
  <c r="W105" i="14"/>
  <c r="I105" i="13" s="1"/>
  <c r="DQ92" i="13"/>
  <c r="W60" i="14"/>
  <c r="I60" i="13" s="1"/>
  <c r="S60" i="16"/>
  <c r="R60" i="13" s="1"/>
  <c r="G23" i="19"/>
  <c r="AA23" i="13" s="1"/>
  <c r="K70" i="49"/>
  <c r="BO70" i="13" s="1"/>
  <c r="K71" i="49"/>
  <c r="BO71" i="13" s="1"/>
  <c r="O47" i="14"/>
  <c r="G47" i="13" s="1"/>
  <c r="O96" i="18"/>
  <c r="X96" i="13" s="1"/>
  <c r="DO104" i="13"/>
  <c r="DV28" i="13"/>
  <c r="DV49" i="13"/>
  <c r="G56" i="18"/>
  <c r="V56" i="13" s="1"/>
  <c r="O105" i="18"/>
  <c r="X105" i="13" s="1"/>
  <c r="O64" i="18"/>
  <c r="X64" i="13" s="1"/>
  <c r="O22" i="45"/>
  <c r="AZ22" i="13" s="1"/>
  <c r="O19" i="30"/>
  <c r="AV19" i="13" s="1"/>
  <c r="K69" i="49"/>
  <c r="BO69" i="13" s="1"/>
  <c r="S78" i="16"/>
  <c r="R78" i="13" s="1"/>
  <c r="K9" i="57"/>
  <c r="CF9" i="13" s="1"/>
  <c r="DJ60" i="13"/>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DJ91" i="13"/>
  <c r="G21" i="55"/>
  <c r="CB21" i="13" s="1"/>
  <c r="DT21" i="13" s="1"/>
  <c r="W22" i="18"/>
  <c r="Z22" i="13" s="1"/>
  <c r="O105" i="14"/>
  <c r="G105" i="13" s="1"/>
  <c r="G60" i="18"/>
  <c r="V60" i="13" s="1"/>
  <c r="O51" i="18"/>
  <c r="X51" i="13" s="1"/>
  <c r="DU22" i="13"/>
  <c r="CX54" i="13"/>
  <c r="DN50" i="13"/>
  <c r="DN48" i="13"/>
  <c r="W70" i="14"/>
  <c r="I70" i="13" s="1"/>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W39" i="14"/>
  <c r="I39" i="13" s="1"/>
  <c r="W24" i="14"/>
  <c r="I24" i="13" s="1"/>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DV100" i="13"/>
  <c r="G69" i="52"/>
  <c r="BT69" i="13" s="1"/>
  <c r="K13" i="57"/>
  <c r="CF13" i="13" s="1"/>
  <c r="K24" i="57"/>
  <c r="CF24" i="13" s="1"/>
  <c r="K32" i="57"/>
  <c r="CF32" i="13" s="1"/>
  <c r="G74" i="55"/>
  <c r="CB74" i="13" s="1"/>
  <c r="DT74" i="13" s="1"/>
  <c r="K44" i="57"/>
  <c r="CF44" i="13" s="1"/>
  <c r="K23" i="15"/>
  <c r="N23" i="13" s="1"/>
  <c r="K73" i="49"/>
  <c r="BO73" i="13" s="1"/>
  <c r="W62" i="14"/>
  <c r="I62" i="13" s="1"/>
  <c r="O23" i="16"/>
  <c r="Q23" i="13" s="1"/>
  <c r="W38" i="18"/>
  <c r="Z38" i="13" s="1"/>
  <c r="DM39" i="13"/>
  <c r="O40" i="16"/>
  <c r="Q40" i="13" s="1"/>
  <c r="O19" i="14"/>
  <c r="G19" i="13" s="1"/>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DJ38" i="13"/>
  <c r="K19" i="57"/>
  <c r="CF19" i="13" s="1"/>
  <c r="G61" i="55"/>
  <c r="CB61" i="13" s="1"/>
  <c r="DT61" i="13" s="1"/>
  <c r="W104" i="14"/>
  <c r="I104" i="13" s="1"/>
  <c r="W40" i="14"/>
  <c r="I40" i="13" s="1"/>
  <c r="W46" i="14"/>
  <c r="I46" i="13" s="1"/>
  <c r="DV29" i="13"/>
  <c r="DJ103" i="13"/>
  <c r="DM100" i="13"/>
  <c r="O67" i="18"/>
  <c r="X67" i="13" s="1"/>
  <c r="K12" i="15"/>
  <c r="N12" i="13" s="1"/>
  <c r="W72" i="46"/>
  <c r="BI72" i="13" s="1"/>
  <c r="G71" i="53"/>
  <c r="BX71" i="13" s="1"/>
  <c r="DR71" i="13" s="1"/>
  <c r="DJ92" i="13"/>
  <c r="K61" i="57"/>
  <c r="CF61" i="13" s="1"/>
  <c r="K21" i="57"/>
  <c r="CF21" i="13" s="1"/>
  <c r="O20" i="30"/>
  <c r="AV20" i="13" s="1"/>
  <c r="DV52" i="13"/>
  <c r="DN31" i="13"/>
  <c r="S99" i="16"/>
  <c r="R93" i="13" s="1"/>
  <c r="DV35" i="13"/>
  <c r="S93" i="16"/>
  <c r="O24" i="21"/>
  <c r="AJ24" i="13" s="1"/>
  <c r="G12" i="59"/>
  <c r="BA12" i="13" s="1"/>
  <c r="S105" i="16"/>
  <c r="R99" i="13" s="1"/>
  <c r="DV82" i="13"/>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DV98" i="13"/>
  <c r="K7" i="57"/>
  <c r="CF7" i="13" s="1"/>
  <c r="S65" i="16"/>
  <c r="R65" i="13" s="1"/>
  <c r="O92" i="14"/>
  <c r="G92" i="13" s="1"/>
  <c r="G19" i="55"/>
  <c r="CB19" i="13" s="1"/>
  <c r="DT19" i="13" s="1"/>
  <c r="S74" i="16"/>
  <c r="R74" i="13" s="1"/>
  <c r="G51" i="30"/>
  <c r="AT51" i="13" s="1"/>
  <c r="DU104" i="13"/>
  <c r="W105" i="18"/>
  <c r="Z105" i="13" s="1"/>
  <c r="O54" i="18"/>
  <c r="X54" i="13" s="1"/>
  <c r="DV50" i="13"/>
  <c r="O81" i="30"/>
  <c r="AV81" i="13" s="1"/>
  <c r="O53" i="30"/>
  <c r="AV53" i="13" s="1"/>
  <c r="DU52" i="13"/>
  <c r="S61" i="16"/>
  <c r="R61" i="13" s="1"/>
  <c r="O45" i="14"/>
  <c r="G45" i="13" s="1"/>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O38" i="14"/>
  <c r="G38" i="13" s="1"/>
  <c r="DU85" i="13"/>
  <c r="DV9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O22" i="14"/>
  <c r="G22" i="13" s="1"/>
  <c r="S62" i="16"/>
  <c r="R62" i="13" s="1"/>
  <c r="K46" i="30"/>
  <c r="AU46" i="13" s="1"/>
  <c r="DI61" i="13"/>
  <c r="DV81" i="13"/>
  <c r="DU105" i="13"/>
  <c r="DV30" i="13"/>
  <c r="DU83" i="13"/>
  <c r="S70" i="16"/>
  <c r="R70" i="13" s="1"/>
  <c r="O20" i="14"/>
  <c r="G20" i="13" s="1"/>
  <c r="S6" i="16"/>
  <c r="R6" i="13" s="1"/>
  <c r="G103" i="45"/>
  <c r="AX103" i="13" s="1"/>
  <c r="DV78" i="13"/>
  <c r="DU54" i="13"/>
  <c r="DU23" i="13"/>
  <c r="G100" i="55"/>
  <c r="CB100" i="13" s="1"/>
  <c r="DT100" i="13" s="1"/>
  <c r="K61" i="15"/>
  <c r="N61" i="13" s="1"/>
  <c r="W104" i="18"/>
  <c r="Z104" i="13" s="1"/>
  <c r="O33" i="19"/>
  <c r="AC33" i="13" s="1"/>
  <c r="DU12" i="13"/>
  <c r="S56" i="16"/>
  <c r="R56" i="13" s="1"/>
  <c r="S72" i="16"/>
  <c r="R72" i="13" s="1"/>
  <c r="O43" i="14"/>
  <c r="G43" i="13" s="1"/>
  <c r="O42" i="14"/>
  <c r="G42" i="13" s="1"/>
  <c r="DM102" i="13"/>
  <c r="DU93" i="13"/>
  <c r="DU80" i="13"/>
  <c r="DU101" i="13"/>
  <c r="W47" i="14"/>
  <c r="I47" i="13" s="1"/>
  <c r="W73" i="14"/>
  <c r="I73" i="13" s="1"/>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DJ62" i="13"/>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O44" i="14"/>
  <c r="G44" i="13" s="1"/>
  <c r="G86" i="18"/>
  <c r="V86" i="13" s="1"/>
  <c r="O83" i="18"/>
  <c r="X83" i="13" s="1"/>
  <c r="O74" i="30"/>
  <c r="AV74" i="13" s="1"/>
  <c r="DN60" i="13"/>
  <c r="W45" i="14"/>
  <c r="I45" i="13" s="1"/>
  <c r="CZ54" i="13"/>
  <c r="DN51" i="13"/>
  <c r="O103" i="14"/>
  <c r="G103" i="13" s="1"/>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W74" i="14"/>
  <c r="I74" i="13" s="1"/>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DV96" i="13"/>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CX56" i="13"/>
  <c r="DD79" i="13"/>
  <c r="DN84" i="13"/>
  <c r="DC86" i="13"/>
  <c r="S20" i="14"/>
  <c r="H20" i="13" s="1"/>
  <c r="S36" i="16"/>
  <c r="R36" i="13" s="1"/>
  <c r="DC78" i="13"/>
  <c r="K45" i="30"/>
  <c r="AU45" i="13" s="1"/>
  <c r="DZ23" i="13"/>
  <c r="S91" i="16"/>
  <c r="G50" i="30"/>
  <c r="AT50" i="13" s="1"/>
  <c r="K22" i="48"/>
  <c r="BM22" i="13" s="1"/>
  <c r="DC100" i="13"/>
  <c r="G19" i="30"/>
  <c r="AT19" i="13" s="1"/>
  <c r="DC54" i="13"/>
  <c r="O50" i="21"/>
  <c r="AJ50" i="13" s="1"/>
  <c r="S95" i="16"/>
  <c r="R89" i="13" s="1"/>
  <c r="O60" i="14"/>
  <c r="G60" i="13" s="1"/>
  <c r="W33" i="19"/>
  <c r="AE33" i="13" s="1"/>
  <c r="CX86" i="13"/>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CX52" i="13"/>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CX85" i="13"/>
  <c r="K32" i="45"/>
  <c r="AY32" i="13" s="1"/>
  <c r="S96" i="16"/>
  <c r="R90" i="13" s="1"/>
  <c r="AA32" i="68"/>
  <c r="CO32" i="13" s="1"/>
  <c r="G39" i="19"/>
  <c r="AA39" i="13" s="1"/>
  <c r="DZ7" i="13"/>
  <c r="CX79"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CX55" i="13"/>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CX49" i="13"/>
  <c r="DM12" i="13"/>
  <c r="DM38" i="13"/>
  <c r="G12" i="30"/>
  <c r="AT12" i="13" s="1"/>
  <c r="G73" i="30"/>
  <c r="AT73" i="13" s="1"/>
  <c r="DN47" i="13"/>
  <c r="DW21" i="12" s="1"/>
  <c r="DM51" i="13"/>
  <c r="DN62" i="13"/>
  <c r="O31" i="68"/>
  <c r="CL31" i="13" s="1"/>
  <c r="G72" i="55"/>
  <c r="CB72" i="13" s="1"/>
  <c r="DT72" i="13" s="1"/>
  <c r="CX83" i="13"/>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O39" i="14"/>
  <c r="G39" i="13" s="1"/>
  <c r="O97" i="16"/>
  <c r="Q91" i="13" s="1"/>
  <c r="O104" i="18"/>
  <c r="X104" i="13" s="1"/>
  <c r="G47" i="30"/>
  <c r="AT47" i="13" s="1"/>
  <c r="K12" i="30"/>
  <c r="AU12" i="13" s="1"/>
  <c r="G14" i="30"/>
  <c r="AT14" i="13" s="1"/>
  <c r="O31" i="45"/>
  <c r="AZ31" i="13" s="1"/>
  <c r="DV86" i="13" l="1"/>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EM16" i="12"/>
  <c r="DA20" i="12"/>
  <c r="EK37" i="12"/>
  <c r="EK38" i="12"/>
  <c r="DO37" i="12"/>
  <c r="DW37" i="12"/>
  <c r="EU37" i="12"/>
  <c r="EM38" i="12"/>
  <c r="EI15" i="12"/>
  <c r="EM14"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O62" i="14"/>
  <c r="G62" i="13" s="1"/>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O74" i="14"/>
  <c r="G74" i="13" s="1"/>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AE69" i="14"/>
  <c r="K69" i="13" s="1"/>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K69" i="14"/>
  <c r="F69" i="13" s="1"/>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AA104" i="14"/>
  <c r="J104" i="13" s="1"/>
  <c r="S116" i="13"/>
  <c r="AA103" i="14"/>
  <c r="J103" i="13" s="1"/>
  <c r="K81" i="16"/>
  <c r="P81" i="13" s="1"/>
  <c r="G91" i="16"/>
  <c r="DB52" i="13"/>
  <c r="G83" i="16"/>
  <c r="O83" i="13" s="1"/>
  <c r="S66" i="18"/>
  <c r="Y66" i="13" s="1"/>
  <c r="DB81" i="13"/>
  <c r="O24" i="18"/>
  <c r="X24" i="13" s="1"/>
  <c r="W23" i="19"/>
  <c r="AE23" i="13" s="1"/>
  <c r="AE117" i="13" s="1"/>
  <c r="O80" i="16"/>
  <c r="Q80" i="13" s="1"/>
  <c r="G19" i="14"/>
  <c r="E19" i="13" s="1"/>
  <c r="G38" i="15"/>
  <c r="M38" i="13" s="1"/>
  <c r="CX38" i="13" s="1"/>
  <c r="G72" i="16"/>
  <c r="O72" i="13" s="1"/>
  <c r="K24" i="16"/>
  <c r="P24" i="13" s="1"/>
  <c r="W67" i="18"/>
  <c r="Z67" i="13" s="1"/>
  <c r="O14" i="19"/>
  <c r="AC14" i="13" s="1"/>
  <c r="O38" i="18"/>
  <c r="X38" i="13" s="1"/>
  <c r="G39" i="14"/>
  <c r="E39" i="13" s="1"/>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AI69" i="14"/>
  <c r="L69" i="13" s="1"/>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AA44" i="14"/>
  <c r="J44" i="13" s="1"/>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73" i="14"/>
  <c r="E73" i="13" s="1"/>
  <c r="K49" i="16"/>
  <c r="P49" i="13" s="1"/>
  <c r="G14" i="15"/>
  <c r="M14" i="13" s="1"/>
  <c r="CX14" i="13" s="1"/>
  <c r="G44" i="15"/>
  <c r="M44" i="13" s="1"/>
  <c r="G38" i="16"/>
  <c r="O38" i="13" s="1"/>
  <c r="AA93" i="14"/>
  <c r="J93" i="13" s="1"/>
  <c r="G31" i="16"/>
  <c r="O31" i="13" s="1"/>
  <c r="G86" i="16"/>
  <c r="O86" i="13" s="1"/>
  <c r="R108" i="13"/>
  <c r="K10" i="16"/>
  <c r="P10" i="13" s="1"/>
  <c r="K64" i="16"/>
  <c r="P64" i="13" s="1"/>
  <c r="K7" i="16"/>
  <c r="P7" i="13" s="1"/>
  <c r="O74" i="16"/>
  <c r="Q74" i="13" s="1"/>
  <c r="G9" i="16"/>
  <c r="O9" i="13" s="1"/>
  <c r="T109" i="13"/>
  <c r="BX118" i="13"/>
  <c r="G72" i="14"/>
  <c r="E72" i="13" s="1"/>
  <c r="K66" i="16"/>
  <c r="P66" i="13" s="1"/>
  <c r="T112" i="13"/>
  <c r="O73" i="16"/>
  <c r="Q73" i="13" s="1"/>
  <c r="CY94" i="13"/>
  <c r="CZ33" i="13"/>
  <c r="T115" i="13"/>
  <c r="O53" i="16"/>
  <c r="Q53" i="13" s="1"/>
  <c r="G62" i="16"/>
  <c r="O62" i="13" s="1"/>
  <c r="AA40" i="14"/>
  <c r="J40" i="13" s="1"/>
  <c r="K60" i="16"/>
  <c r="P60" i="13" s="1"/>
  <c r="O84" i="16"/>
  <c r="Q84" i="13" s="1"/>
  <c r="K98" i="16"/>
  <c r="P92" i="13" s="1"/>
  <c r="CZ61" i="13"/>
  <c r="O81" i="16"/>
  <c r="Q81" i="13" s="1"/>
  <c r="K71" i="16"/>
  <c r="P71" i="13" s="1"/>
  <c r="G32" i="15"/>
  <c r="M32" i="13" s="1"/>
  <c r="CX32" i="13" s="1"/>
  <c r="K47" i="16"/>
  <c r="P47" i="13" s="1"/>
  <c r="O83" i="16"/>
  <c r="Q83" i="13" s="1"/>
  <c r="AA20" i="14"/>
  <c r="J20" i="13" s="1"/>
  <c r="G101" i="15"/>
  <c r="M101" i="13" s="1"/>
  <c r="CX101" i="13" s="1"/>
  <c r="AA24" i="14"/>
  <c r="J24" i="13" s="1"/>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AA105" i="14"/>
  <c r="J105" i="13" s="1"/>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AI23" i="14"/>
  <c r="L23" i="13" s="1"/>
  <c r="AE74" i="14"/>
  <c r="K74" i="13" s="1"/>
  <c r="AA39" i="14"/>
  <c r="J39" i="13" s="1"/>
  <c r="AE93" i="14"/>
  <c r="K93" i="13" s="1"/>
  <c r="G7" i="16"/>
  <c r="O7" i="13" s="1"/>
  <c r="AE40" i="14"/>
  <c r="K40" i="13" s="1"/>
  <c r="K6" i="16"/>
  <c r="P6" i="13" s="1"/>
  <c r="K67" i="16"/>
  <c r="P67" i="13" s="1"/>
  <c r="G8" i="16"/>
  <c r="O8" i="13" s="1"/>
  <c r="AE70" i="14"/>
  <c r="K70" i="13" s="1"/>
  <c r="AI93" i="14"/>
  <c r="L93" i="13" s="1"/>
  <c r="AA43" i="14"/>
  <c r="J43" i="13" s="1"/>
  <c r="AV116" i="13"/>
  <c r="AA42" i="14"/>
  <c r="J42" i="13" s="1"/>
  <c r="G24" i="14"/>
  <c r="E24" i="13" s="1"/>
  <c r="AY107" i="13"/>
  <c r="G69" i="16"/>
  <c r="O69" i="13" s="1"/>
  <c r="AI46" i="14"/>
  <c r="L46" i="13" s="1"/>
  <c r="AA92" i="14"/>
  <c r="J92" i="13" s="1"/>
  <c r="AT108" i="13"/>
  <c r="AI38" i="14"/>
  <c r="L38" i="13" s="1"/>
  <c r="O72" i="16"/>
  <c r="Q72" i="13" s="1"/>
  <c r="G60" i="15"/>
  <c r="M60" i="13" s="1"/>
  <c r="CX60" i="13" s="1"/>
  <c r="G47" i="14"/>
  <c r="E47" i="13" s="1"/>
  <c r="AI61" i="14"/>
  <c r="L61" i="13" s="1"/>
  <c r="AE107" i="13"/>
  <c r="AI104" i="14"/>
  <c r="L104" i="13" s="1"/>
  <c r="G74" i="14"/>
  <c r="E74" i="13" s="1"/>
  <c r="AE45" i="14"/>
  <c r="K45" i="13" s="1"/>
  <c r="AA73" i="14"/>
  <c r="J73" i="13" s="1"/>
  <c r="G46" i="14"/>
  <c r="E46" i="13" s="1"/>
  <c r="AE42" i="14"/>
  <c r="K42" i="13" s="1"/>
  <c r="O69" i="14"/>
  <c r="G69" i="13" s="1"/>
  <c r="AI70" i="14"/>
  <c r="L70" i="13" s="1"/>
  <c r="DN70" i="13"/>
  <c r="DW29" i="12" s="1"/>
  <c r="AE23" i="14"/>
  <c r="K23" i="13" s="1"/>
  <c r="G40" i="14"/>
  <c r="E40" i="13" s="1"/>
  <c r="AE103" i="14"/>
  <c r="K103" i="13" s="1"/>
  <c r="G70" i="14"/>
  <c r="E70" i="13" s="1"/>
  <c r="AE71" i="14"/>
  <c r="K71" i="13" s="1"/>
  <c r="AE22" i="14"/>
  <c r="K22" i="13" s="1"/>
  <c r="AI39" i="14"/>
  <c r="L39" i="13" s="1"/>
  <c r="AI62" i="14"/>
  <c r="L62" i="13" s="1"/>
  <c r="AI105" i="14"/>
  <c r="L105" i="13" s="1"/>
  <c r="AE47" i="14"/>
  <c r="K47" i="13" s="1"/>
  <c r="K71" i="14"/>
  <c r="F71" i="13" s="1"/>
  <c r="AI91" i="14"/>
  <c r="L91" i="13" s="1"/>
  <c r="AI20" i="14"/>
  <c r="L20" i="13" s="1"/>
  <c r="AE92" i="14"/>
  <c r="K92" i="13" s="1"/>
  <c r="G69" i="14"/>
  <c r="E69" i="13" s="1"/>
  <c r="AY113" i="13"/>
  <c r="G91" i="14"/>
  <c r="E91" i="13" s="1"/>
  <c r="K70" i="14"/>
  <c r="F70" i="13" s="1"/>
  <c r="G104" i="14"/>
  <c r="E104" i="13" s="1"/>
  <c r="G92" i="14"/>
  <c r="E92" i="13" s="1"/>
  <c r="AI24" i="14"/>
  <c r="L24" i="13" s="1"/>
  <c r="BO113" i="13"/>
  <c r="CI110" i="13"/>
  <c r="CF107" i="13"/>
  <c r="AE91" i="14"/>
  <c r="K91" i="13" s="1"/>
  <c r="AI74" i="14"/>
  <c r="L74" i="13" s="1"/>
  <c r="G22" i="14"/>
  <c r="E22" i="13" s="1"/>
  <c r="AE73" i="14"/>
  <c r="K73" i="13" s="1"/>
  <c r="G105" i="14"/>
  <c r="E105" i="13" s="1"/>
  <c r="AE105" i="14"/>
  <c r="K105" i="13" s="1"/>
  <c r="AI73" i="14"/>
  <c r="L73" i="13" s="1"/>
  <c r="O71" i="14"/>
  <c r="G71" i="13" s="1"/>
  <c r="K43" i="14"/>
  <c r="F43" i="13" s="1"/>
  <c r="AE62" i="14"/>
  <c r="K62" i="13" s="1"/>
  <c r="K45" i="14"/>
  <c r="F45" i="13" s="1"/>
  <c r="W19" i="14"/>
  <c r="I19" i="13" s="1"/>
  <c r="G71" i="14"/>
  <c r="E71" i="13" s="1"/>
  <c r="AA74" i="14"/>
  <c r="J74" i="13" s="1"/>
  <c r="AE72" i="14"/>
  <c r="K72" i="13" s="1"/>
  <c r="AE46" i="14"/>
  <c r="K46" i="13" s="1"/>
  <c r="G93" i="14"/>
  <c r="E93" i="13" s="1"/>
  <c r="AI22" i="14"/>
  <c r="L22" i="13" s="1"/>
  <c r="AA22" i="14"/>
  <c r="J22" i="13" s="1"/>
  <c r="AE104" i="14"/>
  <c r="K104" i="13" s="1"/>
  <c r="G38" i="14"/>
  <c r="E38" i="13" s="1"/>
  <c r="K7" i="80"/>
  <c r="AL7" i="13" s="1"/>
  <c r="BB115" i="13"/>
  <c r="W21" i="14"/>
  <c r="I21" i="13" s="1"/>
  <c r="AE61" i="14"/>
  <c r="K61" i="13" s="1"/>
  <c r="G60" i="14"/>
  <c r="E60" i="13" s="1"/>
  <c r="DE54" i="13"/>
  <c r="K104" i="14"/>
  <c r="F104" i="13" s="1"/>
  <c r="G44" i="14"/>
  <c r="E44" i="13" s="1"/>
  <c r="BX117" i="13"/>
  <c r="BC117" i="13"/>
  <c r="S71" i="14"/>
  <c r="H71" i="13" s="1"/>
  <c r="G43" i="14"/>
  <c r="E43" i="13" s="1"/>
  <c r="K42" i="14"/>
  <c r="F42" i="13" s="1"/>
  <c r="BO114" i="13"/>
  <c r="BO115" i="13"/>
  <c r="AI43" i="14"/>
  <c r="L43" i="13" s="1"/>
  <c r="AI19" i="14"/>
  <c r="L19" i="13" s="1"/>
  <c r="AE24" i="14"/>
  <c r="K24" i="13" s="1"/>
  <c r="G61" i="14"/>
  <c r="E61" i="13" s="1"/>
  <c r="K93" i="14"/>
  <c r="F93" i="13" s="1"/>
  <c r="AI92" i="14"/>
  <c r="L92" i="13" s="1"/>
  <c r="G45" i="14"/>
  <c r="E45" i="13" s="1"/>
  <c r="AI72" i="14"/>
  <c r="L72" i="13" s="1"/>
  <c r="G23" i="14"/>
  <c r="E23" i="13" s="1"/>
  <c r="AI103" i="14"/>
  <c r="L103" i="13" s="1"/>
  <c r="CI116" i="13"/>
  <c r="AE60" i="14"/>
  <c r="K60" i="13" s="1"/>
  <c r="CI107" i="13"/>
  <c r="BC116" i="13"/>
  <c r="AI45" i="14"/>
  <c r="L45" i="13" s="1"/>
  <c r="R111" i="13"/>
  <c r="AI40" i="14"/>
  <c r="L40" i="13" s="1"/>
  <c r="K46" i="14"/>
  <c r="F46" i="13" s="1"/>
  <c r="R117" i="13"/>
  <c r="K95" i="80"/>
  <c r="AL95" i="13" s="1"/>
  <c r="AE38" i="14"/>
  <c r="K38" i="13" s="1"/>
  <c r="S47" i="14"/>
  <c r="H47" i="13" s="1"/>
  <c r="N118" i="13"/>
  <c r="AS110" i="13"/>
  <c r="AS113" i="13"/>
  <c r="AI47" i="14"/>
  <c r="L47" i="13" s="1"/>
  <c r="N111" i="13"/>
  <c r="BB117" i="13"/>
  <c r="DE102" i="13"/>
  <c r="AV108" i="13"/>
  <c r="K74" i="14"/>
  <c r="F74" i="13" s="1"/>
  <c r="AS116" i="13"/>
  <c r="K19" i="14"/>
  <c r="F19" i="13" s="1"/>
  <c r="G13" i="80"/>
  <c r="AK13" i="13" s="1"/>
  <c r="K21" i="14"/>
  <c r="F21" i="13" s="1"/>
  <c r="AA115" i="13"/>
  <c r="K22" i="14"/>
  <c r="F22" i="13" s="1"/>
  <c r="BX111" i="13"/>
  <c r="K92" i="14"/>
  <c r="F92" i="13" s="1"/>
  <c r="S73" i="14"/>
  <c r="H73" i="13" s="1"/>
  <c r="N110" i="13"/>
  <c r="S93" i="14"/>
  <c r="H93" i="13" s="1"/>
  <c r="K91" i="14"/>
  <c r="F91" i="13" s="1"/>
  <c r="S38" i="14"/>
  <c r="H38" i="13" s="1"/>
  <c r="DN69" i="13"/>
  <c r="DN72" i="13"/>
  <c r="AT117" i="13"/>
  <c r="BT115" i="13"/>
  <c r="K23" i="14"/>
  <c r="F23" i="13" s="1"/>
  <c r="S103" i="14"/>
  <c r="H103" i="13" s="1"/>
  <c r="AA23" i="14"/>
  <c r="J23" i="13" s="1"/>
  <c r="S62" i="14"/>
  <c r="H62" i="13" s="1"/>
  <c r="CI112" i="13"/>
  <c r="AA60" i="14"/>
  <c r="J60" i="13" s="1"/>
  <c r="CI117" i="13"/>
  <c r="S45" i="14"/>
  <c r="H45" i="13" s="1"/>
  <c r="K39" i="14"/>
  <c r="F39" i="13" s="1"/>
  <c r="R110" i="13"/>
  <c r="BL117" i="13"/>
  <c r="AA91" i="14"/>
  <c r="J91" i="13" s="1"/>
  <c r="S39" i="14"/>
  <c r="H39" i="13" s="1"/>
  <c r="BN115" i="13"/>
  <c r="S42" i="14"/>
  <c r="H42" i="13" s="1"/>
  <c r="AA62" i="14"/>
  <c r="J62" i="13" s="1"/>
  <c r="AS115" i="13"/>
  <c r="AI44" i="14"/>
  <c r="L44" i="13" s="1"/>
  <c r="K72" i="14"/>
  <c r="F72" i="13" s="1"/>
  <c r="BC115" i="13"/>
  <c r="O73" i="14"/>
  <c r="G73" i="13" s="1"/>
  <c r="DN73" i="13"/>
  <c r="DE86" i="13"/>
  <c r="G105" i="80"/>
  <c r="AK105" i="13" s="1"/>
  <c r="CO112" i="13"/>
  <c r="N109" i="13"/>
  <c r="BR113" i="13"/>
  <c r="R107" i="13"/>
  <c r="K61" i="14"/>
  <c r="F61" i="13" s="1"/>
  <c r="CO109" i="13"/>
  <c r="R116" i="13"/>
  <c r="AA70" i="14"/>
  <c r="J70" i="13" s="1"/>
  <c r="O70" i="14"/>
  <c r="G70" i="13" s="1"/>
  <c r="K105" i="14"/>
  <c r="F105" i="13" s="1"/>
  <c r="AA109" i="13"/>
  <c r="DE101" i="13"/>
  <c r="AA38" i="14"/>
  <c r="J38" i="13" s="1"/>
  <c r="CB109" i="13"/>
  <c r="CF116" i="13"/>
  <c r="S104" i="14"/>
  <c r="H104" i="13" s="1"/>
  <c r="AZ117" i="13"/>
  <c r="S91" i="14"/>
  <c r="H91" i="13" s="1"/>
  <c r="AI21" i="14"/>
  <c r="L21" i="13" s="1"/>
  <c r="AZ108" i="13"/>
  <c r="S44" i="14"/>
  <c r="H44" i="13" s="1"/>
  <c r="CF110" i="13"/>
  <c r="S70" i="14"/>
  <c r="H70" i="13" s="1"/>
  <c r="CW94" i="13"/>
  <c r="S22" i="14"/>
  <c r="H22" i="13" s="1"/>
  <c r="AE19" i="14"/>
  <c r="K19" i="13" s="1"/>
  <c r="AA45" i="14"/>
  <c r="J45" i="13" s="1"/>
  <c r="AS118" i="13"/>
  <c r="AA69" i="14"/>
  <c r="J69" i="13" s="1"/>
  <c r="K44" i="14"/>
  <c r="F44" i="13" s="1"/>
  <c r="AI42" i="14"/>
  <c r="L42" i="13" s="1"/>
  <c r="AA112" i="13"/>
  <c r="W43" i="14"/>
  <c r="I43" i="13" s="1"/>
  <c r="AS112" i="13"/>
  <c r="BA115" i="13"/>
  <c r="S43" i="14"/>
  <c r="H43" i="13" s="1"/>
  <c r="AA72" i="14"/>
  <c r="J72" i="13" s="1"/>
  <c r="G21" i="14"/>
  <c r="E21" i="13" s="1"/>
  <c r="AZ114" i="13"/>
  <c r="S69" i="14"/>
  <c r="H69" i="13" s="1"/>
  <c r="S60" i="14"/>
  <c r="H60" i="13" s="1"/>
  <c r="K40" i="14"/>
  <c r="F40" i="13" s="1"/>
  <c r="CO115" i="13"/>
  <c r="BM117" i="13"/>
  <c r="CD115" i="13"/>
  <c r="CF108" i="13"/>
  <c r="K38" i="14"/>
  <c r="F38" i="13" s="1"/>
  <c r="AE112" i="13"/>
  <c r="R109" i="13"/>
  <c r="S72" i="14"/>
  <c r="H72" i="13" s="1"/>
  <c r="AA46" i="14"/>
  <c r="J46" i="13" s="1"/>
  <c r="BD115" i="13"/>
  <c r="S92" i="14"/>
  <c r="H92" i="13" s="1"/>
  <c r="S61" i="14"/>
  <c r="H61" i="13" s="1"/>
  <c r="AE20" i="14"/>
  <c r="K20" i="13" s="1"/>
  <c r="S105" i="14"/>
  <c r="H105" i="13" s="1"/>
  <c r="CW36" i="13"/>
  <c r="CW96" i="13"/>
  <c r="R113" i="13"/>
  <c r="K103" i="14"/>
  <c r="F103" i="13" s="1"/>
  <c r="AE44" i="14"/>
  <c r="K44" i="13" s="1"/>
  <c r="S40" i="14"/>
  <c r="H40" i="13" s="1"/>
  <c r="R114" i="13"/>
  <c r="BN113" i="13"/>
  <c r="K13" i="80"/>
  <c r="AL13" i="13" s="1"/>
  <c r="K24" i="14"/>
  <c r="F24" i="13" s="1"/>
  <c r="G20" i="14"/>
  <c r="E20" i="13" s="1"/>
  <c r="S23" i="14"/>
  <c r="H23" i="13" s="1"/>
  <c r="S46" i="14"/>
  <c r="H46" i="13" s="1"/>
  <c r="CF117" i="13"/>
  <c r="CO107" i="13"/>
  <c r="BR114" i="13"/>
  <c r="CF114" i="13"/>
  <c r="CF113" i="13"/>
  <c r="K62" i="14"/>
  <c r="F62" i="13" s="1"/>
  <c r="G42" i="14"/>
  <c r="E42" i="13" s="1"/>
  <c r="CF111" i="13"/>
  <c r="AV110" i="13"/>
  <c r="G104" i="80"/>
  <c r="AK104" i="13" s="1"/>
  <c r="AZ113" i="13"/>
  <c r="K20" i="14"/>
  <c r="F20" i="13" s="1"/>
  <c r="DO12" i="13"/>
  <c r="K10" i="80"/>
  <c r="AL10" i="13" s="1"/>
  <c r="CX40" i="13"/>
  <c r="DE28" i="13"/>
  <c r="BA116" i="13"/>
  <c r="CO110" i="13"/>
  <c r="AC107" i="13"/>
  <c r="BX112" i="13"/>
  <c r="S74" i="14"/>
  <c r="H74" i="13" s="1"/>
  <c r="CW95" i="13"/>
  <c r="CB113" i="13"/>
  <c r="BX116" i="13"/>
  <c r="G38" i="80"/>
  <c r="AK38" i="13" s="1"/>
  <c r="DE42" i="13"/>
  <c r="K105" i="80"/>
  <c r="AL105" i="13" s="1"/>
  <c r="CI108" i="13"/>
  <c r="BN114" i="13"/>
  <c r="CI111" i="13"/>
  <c r="CI114" i="13"/>
  <c r="BX110" i="13"/>
  <c r="CA114" i="13"/>
  <c r="CI115" i="13"/>
  <c r="K73" i="14"/>
  <c r="F73" i="13" s="1"/>
  <c r="DE44" i="13"/>
  <c r="BF117" i="13"/>
  <c r="BX114" i="13"/>
  <c r="BI114" i="13"/>
  <c r="AE21" i="14"/>
  <c r="K21" i="13" s="1"/>
  <c r="CB116" i="13"/>
  <c r="CB111" i="13"/>
  <c r="BX115" i="13"/>
  <c r="G6" i="80"/>
  <c r="AK6" i="13" s="1"/>
  <c r="AA19" i="14"/>
  <c r="J19" i="13" s="1"/>
  <c r="AJ115" i="13"/>
  <c r="BW117" i="13"/>
  <c r="AA21" i="14"/>
  <c r="J21" i="13" s="1"/>
  <c r="BT113" i="13"/>
  <c r="BT118" i="13"/>
  <c r="BT117" i="13"/>
  <c r="CI118" i="13"/>
  <c r="CW34" i="13"/>
  <c r="CF109" i="13"/>
  <c r="AV107" i="13"/>
  <c r="N112" i="13"/>
  <c r="AA71" i="14"/>
  <c r="J71" i="13" s="1"/>
  <c r="CO118" i="13"/>
  <c r="K40" i="80"/>
  <c r="AL40" i="13" s="1"/>
  <c r="N108" i="13"/>
  <c r="CB107" i="13"/>
  <c r="BX113" i="13"/>
  <c r="CW35" i="13"/>
  <c r="DM23" i="13"/>
  <c r="CB117" i="13"/>
  <c r="N115" i="13"/>
  <c r="BR115" i="13"/>
  <c r="CB108" i="13"/>
  <c r="CB110" i="13"/>
  <c r="W20" i="14"/>
  <c r="I20" i="13" s="1"/>
  <c r="K5" i="80"/>
  <c r="AL5" i="13" s="1"/>
  <c r="K96" i="80"/>
  <c r="AL96" i="13" s="1"/>
  <c r="K103" i="80"/>
  <c r="AL103" i="13" s="1"/>
  <c r="BD117" i="13"/>
  <c r="BB116" i="13"/>
  <c r="AJ114" i="13"/>
  <c r="BH117" i="13"/>
  <c r="BR110" i="13"/>
  <c r="W44" i="14"/>
  <c r="I44" i="13" s="1"/>
  <c r="N117" i="13"/>
  <c r="G7" i="80"/>
  <c r="AK7" i="13" s="1"/>
  <c r="DE35" i="13"/>
  <c r="DE84" i="13"/>
  <c r="AE111" i="13"/>
  <c r="BT111" i="13"/>
  <c r="CF115" i="13"/>
  <c r="G91" i="80"/>
  <c r="AK91" i="13" s="1"/>
  <c r="AJ113" i="13"/>
  <c r="CA115" i="13"/>
  <c r="AT114" i="13"/>
  <c r="BD116" i="13"/>
  <c r="CO108" i="13"/>
  <c r="R112" i="13"/>
  <c r="R118" i="13"/>
  <c r="DE56" i="13"/>
  <c r="CF112" i="13"/>
  <c r="AE43" i="14"/>
  <c r="K43" i="13" s="1"/>
  <c r="CW29" i="13"/>
  <c r="N116" i="13"/>
  <c r="G12" i="80"/>
  <c r="AK12" i="13" s="1"/>
  <c r="CW30" i="13"/>
  <c r="CB114" i="13"/>
  <c r="N114" i="13"/>
  <c r="K91" i="80"/>
  <c r="AL91" i="13" s="1"/>
  <c r="K104" i="80"/>
  <c r="AL104" i="13" s="1"/>
  <c r="CF118" i="13"/>
  <c r="BL110" i="13"/>
  <c r="DJ23" i="13"/>
  <c r="R115" i="13"/>
  <c r="W42" i="14"/>
  <c r="I42" i="13" s="1"/>
  <c r="G60" i="80"/>
  <c r="AK60" i="13" s="1"/>
  <c r="G95" i="80"/>
  <c r="AK95" i="13" s="1"/>
  <c r="K9" i="80"/>
  <c r="AL9" i="13" s="1"/>
  <c r="G22" i="80"/>
  <c r="AK22" i="13" s="1"/>
  <c r="CW28" i="13"/>
  <c r="N107" i="13"/>
  <c r="DE29" i="13"/>
  <c r="DE59" i="13"/>
  <c r="N113" i="13"/>
  <c r="BT114" i="13"/>
  <c r="G39" i="80"/>
  <c r="AK39" i="13" s="1"/>
  <c r="DE55" i="13"/>
  <c r="AE31" i="14"/>
  <c r="K31" i="13" s="1"/>
  <c r="AE12" i="14"/>
  <c r="K12" i="13" s="1"/>
  <c r="CW78" i="13"/>
  <c r="G14" i="14"/>
  <c r="E14" i="13" s="1"/>
  <c r="G33" i="14"/>
  <c r="E33" i="13" s="1"/>
  <c r="G61" i="80"/>
  <c r="AK61" i="13" s="1"/>
  <c r="K60" i="80"/>
  <c r="AL60" i="13" s="1"/>
  <c r="CV29" i="13"/>
  <c r="E108" i="80"/>
  <c r="K23" i="80"/>
  <c r="AL23" i="13" s="1"/>
  <c r="K92" i="80"/>
  <c r="AL92" i="13" s="1"/>
  <c r="K62" i="80"/>
  <c r="AL62" i="13" s="1"/>
  <c r="AV117" i="13"/>
  <c r="S12" i="14"/>
  <c r="H12" i="13" s="1"/>
  <c r="S31" i="14"/>
  <c r="H31" i="13" s="1"/>
  <c r="O32" i="14"/>
  <c r="G32" i="13" s="1"/>
  <c r="O13" i="14"/>
  <c r="G13" i="13" s="1"/>
  <c r="G13" i="14"/>
  <c r="E13" i="13" s="1"/>
  <c r="G32" i="14"/>
  <c r="E32" i="13" s="1"/>
  <c r="DE34" i="13"/>
  <c r="K94" i="80"/>
  <c r="AL94" i="13" s="1"/>
  <c r="G92" i="80"/>
  <c r="AK92" i="13" s="1"/>
  <c r="S14" i="14"/>
  <c r="H14" i="13" s="1"/>
  <c r="S33" i="14"/>
  <c r="H33" i="13" s="1"/>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AA32" i="14"/>
  <c r="J32" i="13" s="1"/>
  <c r="AA13" i="14"/>
  <c r="J13" i="13" s="1"/>
  <c r="CW86" i="13"/>
  <c r="CW51" i="13"/>
  <c r="K39" i="80"/>
  <c r="AL39" i="13" s="1"/>
  <c r="G93" i="80"/>
  <c r="AK93" i="13" s="1"/>
  <c r="DE100" i="13"/>
  <c r="D109" i="80"/>
  <c r="G9" i="80"/>
  <c r="AK9" i="13" s="1"/>
  <c r="CV30" i="13"/>
  <c r="DE30" i="13"/>
  <c r="CW79" i="13"/>
  <c r="CW52" i="13"/>
  <c r="K38" i="80"/>
  <c r="AL38" i="13" s="1"/>
  <c r="K12" i="80"/>
  <c r="AL12" i="13" s="1"/>
  <c r="DJ12" i="13"/>
  <c r="CV28" i="13"/>
  <c r="BA114" i="13"/>
  <c r="CW53" i="13"/>
  <c r="K13" i="14"/>
  <c r="F13" i="13" s="1"/>
  <c r="K32" i="14"/>
  <c r="F32" i="13" s="1"/>
  <c r="G40" i="80"/>
  <c r="AK40" i="13" s="1"/>
  <c r="K14" i="80"/>
  <c r="AL14" i="13" s="1"/>
  <c r="DJ22" i="13"/>
  <c r="DJ14" i="13"/>
  <c r="CW57" i="13"/>
  <c r="CV57" i="13"/>
  <c r="W12" i="14"/>
  <c r="I12" i="13" s="1"/>
  <c r="W31" i="14"/>
  <c r="I31" i="13" s="1"/>
  <c r="K61" i="80"/>
  <c r="AL61" i="13" s="1"/>
  <c r="G103" i="80"/>
  <c r="AK103" i="13" s="1"/>
  <c r="DJ24" i="13"/>
  <c r="S32" i="14"/>
  <c r="H32" i="13" s="1"/>
  <c r="S13" i="14"/>
  <c r="H13" i="13" s="1"/>
  <c r="CW81" i="13"/>
  <c r="CV58" i="13"/>
  <c r="CW58" i="13"/>
  <c r="W13" i="14"/>
  <c r="I13" i="13" s="1"/>
  <c r="W32" i="14"/>
  <c r="I32" i="13" s="1"/>
  <c r="K33" i="14"/>
  <c r="F33" i="13" s="1"/>
  <c r="K14" i="14"/>
  <c r="F14" i="13" s="1"/>
  <c r="D110" i="80"/>
  <c r="G10" i="80"/>
  <c r="AK10" i="13" s="1"/>
  <c r="DE36" i="13"/>
  <c r="DE85" i="13"/>
  <c r="K22" i="80"/>
  <c r="AL22" i="13" s="1"/>
  <c r="BA117" i="13"/>
  <c r="DJ13" i="13"/>
  <c r="DO8" i="12" s="1"/>
  <c r="O12" i="14"/>
  <c r="G12" i="13" s="1"/>
  <c r="O31" i="14"/>
  <c r="G31" i="13" s="1"/>
  <c r="CW101" i="13"/>
  <c r="CW59" i="13"/>
  <c r="CV59" i="13"/>
  <c r="AI32" i="14"/>
  <c r="L32" i="13" s="1"/>
  <c r="AI13" i="14"/>
  <c r="L13" i="13" s="1"/>
  <c r="AI31" i="14"/>
  <c r="L31" i="13" s="1"/>
  <c r="AI12" i="14"/>
  <c r="L12" i="13" s="1"/>
  <c r="K24" i="80"/>
  <c r="AL24" i="13" s="1"/>
  <c r="G14" i="80"/>
  <c r="AK14" i="13" s="1"/>
  <c r="O33" i="14"/>
  <c r="G33" i="13" s="1"/>
  <c r="O14" i="14"/>
  <c r="G14" i="13" s="1"/>
  <c r="AE32" i="14"/>
  <c r="K32" i="13" s="1"/>
  <c r="AE13" i="14"/>
  <c r="K13" i="13" s="1"/>
  <c r="CW82" i="13"/>
  <c r="W14" i="14"/>
  <c r="I14" i="13" s="1"/>
  <c r="W33" i="14"/>
  <c r="I33" i="13" s="1"/>
  <c r="K31" i="14"/>
  <c r="F31" i="13" s="1"/>
  <c r="K12" i="14"/>
  <c r="F12" i="13" s="1"/>
  <c r="AI33" i="14"/>
  <c r="L33" i="13" s="1"/>
  <c r="AI14" i="14"/>
  <c r="L14" i="13" s="1"/>
  <c r="AA33" i="14"/>
  <c r="J33" i="13" s="1"/>
  <c r="AA14" i="14"/>
  <c r="J14" i="13" s="1"/>
  <c r="CW83" i="13"/>
  <c r="CW100" i="13"/>
  <c r="E109" i="80"/>
  <c r="G24" i="80"/>
  <c r="AK24" i="13" s="1"/>
  <c r="AA31" i="14"/>
  <c r="J31" i="13" s="1"/>
  <c r="AA12" i="14"/>
  <c r="J12" i="13" s="1"/>
  <c r="AE33" i="14"/>
  <c r="K33" i="13" s="1"/>
  <c r="AE14" i="14"/>
  <c r="K14" i="13" s="1"/>
  <c r="CW85" i="13"/>
  <c r="DE43" i="13"/>
  <c r="E110" i="80"/>
  <c r="D12" i="14"/>
  <c r="G12" i="14" s="1"/>
  <c r="E12" i="13" s="1"/>
  <c r="G31" i="14"/>
  <c r="E31" i="13" s="1"/>
  <c r="DE58" i="13"/>
  <c r="DE57" i="13"/>
  <c r="AH10" i="1"/>
  <c r="AM10" i="1"/>
  <c r="AF17" i="1"/>
  <c r="AP11" i="1"/>
  <c r="AQ16" i="1"/>
  <c r="AH25" i="1"/>
  <c r="AH23" i="1"/>
  <c r="AI28" i="1"/>
  <c r="AO10" i="1"/>
  <c r="AP25" i="1"/>
  <c r="AO17" i="1"/>
  <c r="AM15" i="1"/>
  <c r="AG17" i="1"/>
  <c r="AO22" i="1"/>
  <c r="AO7" i="1"/>
  <c r="AH19" i="1"/>
  <c r="AG24" i="1"/>
  <c r="AI24" i="1"/>
  <c r="AJ11" i="1"/>
  <c r="AN19" i="1"/>
  <c r="AQ19" i="1"/>
  <c r="AJ22" i="1"/>
  <c r="AJ25" i="1"/>
  <c r="AI22" i="1"/>
  <c r="AH20" i="1"/>
  <c r="AP19" i="1"/>
  <c r="AJ23" i="1"/>
  <c r="AF28" i="1"/>
  <c r="AG32" i="1"/>
  <c r="AN32" i="1"/>
  <c r="AG11" i="1"/>
  <c r="AO24" i="1"/>
  <c r="AO27" i="1"/>
  <c r="AQ21" i="1"/>
  <c r="AI15" i="1"/>
  <c r="AQ24" i="1"/>
  <c r="AM30" i="1"/>
  <c r="AM31" i="1"/>
  <c r="AP16" i="1"/>
  <c r="AF5" i="1"/>
  <c r="AF25" i="1"/>
  <c r="AH28" i="1"/>
  <c r="AM27" i="1"/>
  <c r="AP10" i="1"/>
  <c r="AM24" i="1"/>
  <c r="AG21" i="1"/>
  <c r="AO28" i="1"/>
  <c r="AQ23" i="1"/>
  <c r="AJ17" i="1"/>
  <c r="AJ15" i="1"/>
  <c r="AG16" i="1"/>
  <c r="AG19" i="1"/>
  <c r="AM19" i="1"/>
  <c r="AP32" i="1"/>
  <c r="AG28" i="1"/>
  <c r="AI23" i="1"/>
  <c r="AF16" i="1"/>
  <c r="AQ27" i="1"/>
  <c r="AI27" i="1"/>
  <c r="AP27" i="1"/>
  <c r="AN22" i="1"/>
  <c r="AF10" i="1"/>
  <c r="AJ7" i="1"/>
  <c r="AK20" i="1"/>
  <c r="AN16" i="1"/>
  <c r="AH22" i="1"/>
  <c r="AJ28" i="1"/>
  <c r="AP21" i="1"/>
  <c r="AF7" i="1"/>
  <c r="AL15" i="1"/>
  <c r="AP23" i="1"/>
  <c r="AK24" i="1"/>
  <c r="AG26" i="1"/>
  <c r="AL31" i="1"/>
  <c r="AH11" i="1"/>
  <c r="AF21" i="1"/>
  <c r="AF11" i="1"/>
  <c r="AH9" i="1"/>
  <c r="AI25" i="1"/>
  <c r="AQ28" i="1"/>
  <c r="AM32" i="1"/>
  <c r="AH7" i="1"/>
  <c r="AK22" i="1"/>
  <c r="AJ20" i="1"/>
  <c r="AP26" i="1"/>
  <c r="AN5" i="1"/>
  <c r="AN28" i="1"/>
  <c r="AH30" i="1"/>
  <c r="AQ5" i="1"/>
  <c r="AQ20" i="1"/>
  <c r="AG25" i="1"/>
  <c r="AG31" i="1"/>
  <c r="AP28" i="1"/>
  <c r="AF23" i="1"/>
  <c r="AP20" i="1"/>
  <c r="AQ10" i="1"/>
  <c r="AL16" i="1"/>
  <c r="AG10" i="1"/>
  <c r="AL22" i="1"/>
  <c r="AF26" i="1"/>
  <c r="AM20" i="1"/>
  <c r="AI32" i="1"/>
  <c r="AH15" i="1"/>
  <c r="AK7" i="1"/>
  <c r="AF15" i="1"/>
  <c r="AQ25" i="1"/>
  <c r="AL7" i="1"/>
  <c r="AG22" i="1"/>
  <c r="AI16" i="1"/>
  <c r="AK5" i="1"/>
  <c r="AH17" i="1"/>
  <c r="AG9" i="1"/>
  <c r="AJ30" i="1"/>
  <c r="AJ10" i="1"/>
  <c r="AH24" i="1"/>
  <c r="AN10" i="1"/>
  <c r="AO26" i="1"/>
  <c r="AH26" i="1"/>
  <c r="AQ7" i="1"/>
  <c r="AG20" i="1"/>
  <c r="AI21" i="1"/>
  <c r="AN20" i="1"/>
  <c r="AG27" i="1"/>
  <c r="AJ19" i="1"/>
  <c r="AJ32" i="1"/>
  <c r="AI26" i="1"/>
  <c r="AM22" i="1"/>
  <c r="AL20" i="1"/>
  <c r="AO21" i="1"/>
  <c r="AH21" i="1"/>
  <c r="AH27" i="1"/>
  <c r="AJ24" i="1"/>
  <c r="AI10" i="1"/>
  <c r="AK16" i="1"/>
  <c r="AK19" i="1"/>
  <c r="AQ22" i="1"/>
  <c r="AF24" i="1"/>
  <c r="AJ31" i="1"/>
  <c r="AN27" i="1"/>
  <c r="AI5" i="1"/>
  <c r="AL19" i="1"/>
  <c r="AQ14" i="1"/>
  <c r="AN24" i="1"/>
  <c r="AJ5" i="1"/>
  <c r="AF30" i="1"/>
  <c r="AF27" i="1"/>
  <c r="AO25" i="1"/>
  <c r="AL5" i="1"/>
  <c r="AO20" i="1"/>
  <c r="AP7" i="1"/>
  <c r="AL24" i="1"/>
  <c r="AF9" i="1"/>
  <c r="AK31" i="1"/>
  <c r="AO15" i="1"/>
  <c r="AH16" i="1"/>
  <c r="AI20" i="1"/>
  <c r="AH5" i="1"/>
  <c r="AL28" i="1"/>
  <c r="AI7" i="1"/>
  <c r="AO32" i="1"/>
  <c r="AM21" i="1"/>
  <c r="AO14" i="1"/>
  <c r="AM28" i="1"/>
  <c r="AG5" i="1"/>
  <c r="AK25" i="1"/>
  <c r="AF22" i="1"/>
  <c r="AK32" i="1"/>
  <c r="AF32" i="1"/>
  <c r="AI17" i="1"/>
  <c r="AK28" i="1"/>
  <c r="AQ11" i="1"/>
  <c r="AM26" i="1"/>
  <c r="AH32" i="1"/>
  <c r="AK11" i="1"/>
  <c r="AN31" i="1"/>
  <c r="AM5" i="1"/>
  <c r="AG30" i="1"/>
  <c r="AF31" i="1"/>
  <c r="AP14" i="1"/>
  <c r="AJ14" i="1"/>
  <c r="AO16" i="1"/>
  <c r="AF20" i="1"/>
  <c r="AL27" i="1"/>
  <c r="AN9" i="1"/>
  <c r="AH31" i="1"/>
  <c r="AQ17" i="1"/>
  <c r="AP17" i="1"/>
  <c r="AO23" i="1"/>
  <c r="AO11" i="1"/>
  <c r="AN7" i="1"/>
  <c r="AK29" i="1"/>
  <c r="AO5" i="1"/>
  <c r="AL32" i="1"/>
  <c r="AQ31" i="1"/>
  <c r="AI31" i="1"/>
  <c r="AJ27" i="1"/>
  <c r="AG7" i="1"/>
  <c r="AK17" i="1"/>
  <c r="AP5" i="1"/>
  <c r="AP24" i="1"/>
  <c r="AJ26" i="1"/>
  <c r="AM7" i="1"/>
  <c r="AJ21" i="1"/>
  <c r="AM14" i="1"/>
  <c r="AP22" i="1"/>
  <c r="AP31" i="1"/>
  <c r="AI11" i="1"/>
  <c r="AL10" i="1"/>
  <c r="AI30" i="1"/>
  <c r="AI19" i="1"/>
  <c r="AL26" i="1"/>
  <c r="AO19" i="1"/>
  <c r="AF13" i="1"/>
  <c r="AK27" i="1"/>
  <c r="AJ16" i="1"/>
  <c r="AG23" i="1"/>
  <c r="AK10" i="1"/>
  <c r="AG14" i="1"/>
  <c r="AQ32" i="1"/>
  <c r="AF19" i="1"/>
  <c r="AG15" i="1"/>
  <c r="AM16" i="1"/>
  <c r="AK23" i="1"/>
  <c r="AO31"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P8" i="1"/>
  <c r="AN33" i="1"/>
  <c r="AO30" i="1"/>
  <c r="AI14" i="1"/>
  <c r="AM8" i="1"/>
  <c r="AH13" i="1"/>
  <c r="AH33" i="1"/>
  <c r="AL6" i="1"/>
  <c r="AI29" i="1"/>
  <c r="AO2" i="1"/>
  <c r="AO8" i="1"/>
  <c r="AN11" i="1"/>
  <c r="AQ6" i="1"/>
  <c r="AI13" i="1"/>
  <c r="AN6" i="1"/>
  <c r="AJ29" i="1"/>
  <c r="AN8" i="1"/>
  <c r="AJ9" i="1"/>
  <c r="AQ12" i="1"/>
  <c r="AK15" i="1"/>
  <c r="AF14" i="1"/>
  <c r="AL30" i="1"/>
  <c r="AM17" i="1"/>
  <c r="AG12" i="1"/>
  <c r="AL8" i="1"/>
  <c r="AL9" i="1"/>
  <c r="AN12" i="1"/>
  <c r="AN13" i="1"/>
  <c r="AQ2" i="1"/>
  <c r="AQ29" i="1"/>
  <c r="AM6" i="1"/>
  <c r="AO13" i="1"/>
  <c r="AO6" i="1"/>
  <c r="AN30" i="1"/>
  <c r="AK13" i="1"/>
  <c r="AN25" i="1"/>
  <c r="AL2" i="1"/>
  <c r="AP13" i="1"/>
  <c r="AN23" i="1"/>
  <c r="AP30" i="1"/>
  <c r="AL17" i="1"/>
  <c r="AP9" i="1"/>
  <c r="AM13" i="1"/>
  <c r="AG13" i="1"/>
  <c r="AQ30" i="1"/>
  <c r="AO29" i="1"/>
  <c r="AQ33" i="1"/>
  <c r="AQ8" i="1"/>
  <c r="AM29" i="1"/>
  <c r="AP29" i="1"/>
  <c r="AK2" i="1"/>
  <c r="AF2" i="1"/>
  <c r="AI9" i="1"/>
  <c r="AH2" i="1"/>
  <c r="AN26" i="1"/>
  <c r="AG8" i="1"/>
  <c r="AI8" i="1"/>
  <c r="AI33" i="1"/>
  <c r="AL29" i="1"/>
  <c r="AJ8" i="1"/>
  <c r="AK12" i="1"/>
  <c r="AL12" i="1"/>
  <c r="AL33" i="1"/>
  <c r="AG29" i="1"/>
  <c r="AJ12" i="1"/>
  <c r="AG6" i="1"/>
  <c r="AO9" i="1"/>
  <c r="AJ33" i="1"/>
  <c r="AK33" i="1"/>
  <c r="AM23" i="1"/>
  <c r="AL13" i="1"/>
  <c r="AF12" i="1"/>
  <c r="AK8" i="1"/>
  <c r="AP33" i="1"/>
  <c r="AO33" i="1"/>
  <c r="AF6" i="1"/>
  <c r="AK26" i="1"/>
  <c r="AH29" i="1"/>
  <c r="AG33" i="1"/>
  <c r="AN2" i="1"/>
  <c r="AL25" i="1"/>
  <c r="AF33" i="1"/>
  <c r="AN29" i="1"/>
  <c r="AH12" i="1"/>
  <c r="AI6" i="1"/>
  <c r="AQ9" i="1"/>
  <c r="AP12" i="1"/>
  <c r="AL23" i="1"/>
  <c r="AM11" i="1"/>
  <c r="AK21" i="1"/>
  <c r="AL11" i="1"/>
  <c r="AP6" i="1"/>
  <c r="AI2" i="1"/>
  <c r="AQ26" i="1"/>
  <c r="AJ6" i="1"/>
  <c r="AN15" i="1"/>
  <c r="AK6" i="1"/>
  <c r="AM12" i="1"/>
  <c r="AM25" i="1"/>
  <c r="AJ2" i="1"/>
  <c r="AN17" i="1"/>
  <c r="AQ15" i="1"/>
  <c r="AH14" i="1"/>
  <c r="AF8" i="1"/>
  <c r="AH8" i="1"/>
  <c r="AH6" i="1"/>
  <c r="AI12" i="1"/>
  <c r="AN14" i="1"/>
  <c r="AK14" i="1"/>
  <c r="AO12" i="1"/>
  <c r="AK30" i="1"/>
  <c r="AQ13" i="1"/>
  <c r="AP2" i="1"/>
  <c r="AF29" i="1"/>
  <c r="AP15" i="1"/>
  <c r="AN21" i="1"/>
  <c r="AL14" i="1"/>
  <c r="AK9" i="1"/>
  <c r="AM9" i="1"/>
  <c r="AG2" i="1"/>
  <c r="AL21" i="1"/>
  <c r="AM2" i="1"/>
  <c r="AM33"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EZ10" i="12" s="1"/>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M35" i="106"/>
  <c r="M30" i="106"/>
  <c r="N35" i="106"/>
  <c r="N30" i="106"/>
  <c r="C35" i="106"/>
  <c r="C30" i="106"/>
  <c r="J35" i="106"/>
  <c r="J30" i="106"/>
  <c r="M28" i="106"/>
  <c r="M33" i="106"/>
  <c r="L35" i="106"/>
  <c r="L30" i="106"/>
  <c r="L34" i="106"/>
  <c r="L29" i="106"/>
  <c r="D23" i="108"/>
  <c r="G18" i="108"/>
  <c r="G23" i="108"/>
  <c r="D18" i="108"/>
  <c r="F18" i="108"/>
  <c r="F23" i="108"/>
  <c r="K35" i="106"/>
  <c r="K30" i="106"/>
  <c r="K34" i="106"/>
  <c r="K29" i="106"/>
  <c r="G22" i="108"/>
  <c r="L28" i="106"/>
  <c r="L33" i="106"/>
  <c r="O35" i="106"/>
  <c r="O30" i="106"/>
  <c r="D22" i="108"/>
  <c r="G17" i="108"/>
  <c r="G19" i="108"/>
  <c r="G24" i="108"/>
  <c r="D19" i="108"/>
  <c r="D24" i="108"/>
  <c r="C33" i="106"/>
  <c r="J28" i="106"/>
  <c r="J33" i="106"/>
  <c r="E35" i="106"/>
  <c r="E30" i="106"/>
  <c r="C34" i="106"/>
  <c r="O28" i="106"/>
  <c r="O33" i="106"/>
  <c r="D35" i="106"/>
  <c r="D30" i="106"/>
  <c r="F24" i="108"/>
  <c r="F19" i="108"/>
  <c r="K28" i="106"/>
  <c r="K33" i="106"/>
  <c r="E33" i="106"/>
  <c r="J29" i="106"/>
  <c r="J34" i="106"/>
  <c r="C28" i="106"/>
  <c r="C29" i="106"/>
  <c r="M29" i="106"/>
  <c r="M34" i="106"/>
  <c r="N34" i="106"/>
  <c r="N29" i="106"/>
  <c r="D33" i="106"/>
  <c r="E34" i="106"/>
  <c r="D17" i="108"/>
  <c r="F17" i="108"/>
  <c r="F22" i="108"/>
  <c r="D29" i="106"/>
  <c r="D34" i="106"/>
  <c r="D28" i="106"/>
  <c r="N28" i="106"/>
  <c r="N33" i="106"/>
  <c r="E28" i="106"/>
  <c r="E29" i="106"/>
  <c r="O29" i="106"/>
  <c r="O34"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<sst xmlns="http://schemas.openxmlformats.org/spreadsheetml/2006/main" count="13105" uniqueCount="1864">
  <si>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</si>
  <si>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</si>
  <si>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</si>
  <si>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</si>
  <si>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</si>
  <si>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</si>
  <si>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</si>
  <si>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</si>
  <si>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</si>
  <si>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</si>
  <si>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</si>
  <si>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</si>
  <si>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</si>
  <si>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</si>
  <si>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</si>
  <si>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</si>
  <si>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</si>
  <si>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</si>
  <si>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</si>
  <si>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</si>
  <si>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</si>
  <si>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</si>
  <si>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</si>
  <si>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</si>
  <si>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</si>
  <si>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</si>
  <si>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</si>
  <si>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</si>
  <si>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</si>
  <si>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</si>
  <si>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</si>
  <si>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</si>
  <si>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</si>
  <si>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</si>
  <si>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</si>
  <si>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</si>
  <si>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</si>
  <si>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</si>
  <si>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</si>
  <si>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</si>
  <si>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</si>
  <si>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</si>
  <si>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</si>
  <si>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</si>
  <si>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</si>
  <si>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</si>
  <si>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</si>
  <si>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</si>
  <si>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</si>
  <si>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</si>
  <si>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</si>
  <si>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</si>
  <si>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</si>
  <si>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</si>
  <si>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</si>
  <si>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</si>
  <si>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</si>
  <si>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</si>
  <si>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</si>
  <si>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</si>
  <si>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</si>
  <si>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</si>
  <si>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</si>
  <si>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</si>
  <si>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</si>
  <si>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</si>
  <si>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</si>
  <si>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</si>
  <si>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</si>
  <si>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</si>
  <si>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</si>
  <si>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</si>
  <si>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</si>
  <si>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</si>
  <si>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</si>
  <si>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</si>
  <si>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</si>
  <si>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</si>
  <si>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</si>
  <si>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</si>
  <si>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</si>
  <si>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</si>
  <si>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</si>
  <si>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</si>
  <si>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</si>
  <si>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</si>
  <si>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</si>
  <si>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</si>
  <si>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</si>
  <si>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</si>
  <si>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</si>
  <si>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</si>
  <si>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</si>
  <si>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</si>
  <si>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</si>
  <si>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</si>
  <si>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</si>
  <si>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</si>
  <si>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</si>
  <si>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</si>
  <si>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</si>
  <si>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</si>
  <si>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</si>
  <si>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</si>
  <si>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</si>
  <si>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</si>
  <si>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</si>
  <si>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</si>
  <si>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</si>
  <si>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</si>
  <si>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</si>
  <si>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</si>
  <si>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</si>
  <si>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</si>
  <si>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</si>
  <si>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</si>
  <si>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</si>
  <si>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</si>
  <si>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</si>
  <si>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</si>
  <si>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</si>
  <si>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</si>
  <si>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</si>
  <si>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</si>
  <si>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</si>
  <si>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</si>
  <si>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</si>
  <si>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</si>
  <si>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</si>
  <si>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</si>
  <si>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</si>
  <si>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</si>
  <si>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</si>
  <si>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</si>
  <si>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</si>
  <si>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</si>
  <si>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</si>
  <si>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</si>
  <si>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</si>
  <si>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</si>
  <si>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</si>
  <si>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</si>
  <si>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</si>
  <si>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</si>
  <si>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</si>
  <si>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</si>
  <si>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</si>
  <si>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</si>
  <si>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</si>
  <si>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</si>
  <si>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</si>
  <si>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</si>
  <si>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</si>
  <si>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</si>
  <si>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</si>
  <si>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</si>
  <si>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</si>
  <si>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</si>
  <si>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</si>
  <si>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</si>
  <si>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</si>
  <si>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</si>
  <si>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</si>
  <si>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</si>
  <si>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</si>
  <si>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</si>
  <si>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</si>
  <si>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</si>
  <si>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</si>
  <si>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</si>
  <si>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</si>
  <si>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</si>
  <si>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</si>
  <si>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</si>
  <si>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</si>
  <si>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</si>
  <si>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</si>
  <si>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</si>
  <si>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</si>
  <si>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</si>
  <si>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</si>
  <si>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</si>
  <si>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</si>
  <si>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</si>
  <si>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</si>
  <si>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</si>
  <si>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</si>
  <si>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</si>
  <si>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</si>
  <si>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</si>
  <si>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</si>
  <si>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</si>
  <si>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</si>
  <si>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</si>
  <si>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</si>
  <si>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</si>
  <si>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</si>
  <si>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</si>
  <si>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</si>
  <si>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</si>
  <si>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</si>
  <si>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</si>
  <si>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</si>
  <si>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</si>
  <si>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</si>
  <si>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</si>
  <si>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</si>
  <si>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</si>
  <si>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</si>
  <si>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</si>
  <si>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</si>
  <si>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</si>
  <si>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</si>
  <si>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</si>
  <si>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</si>
  <si>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</si>
  <si>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</si>
  <si>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</si>
  <si>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</si>
  <si>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</si>
  <si>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</si>
  <si>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</si>
  <si>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</si>
  <si>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</si>
  <si>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</si>
  <si>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</si>
  <si>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</si>
  <si>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</si>
  <si>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</si>
  <si>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</si>
  <si>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</si>
  <si>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</si>
  <si>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</si>
  <si>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</si>
  <si>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</si>
  <si>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</si>
  <si>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</si>
  <si>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</si>
  <si>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</si>
  <si>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</si>
  <si>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</si>
  <si>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</si>
  <si>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</si>
  <si>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</si>
  <si>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</si>
  <si>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</si>
  <si>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</si>
  <si>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</si>
  <si>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</si>
  <si>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</si>
  <si>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</si>
  <si>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</si>
  <si>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</si>
  <si>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</si>
  <si>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</si>
  <si>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</si>
  <si>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</si>
  <si>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</si>
  <si>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</si>
  <si>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</si>
  <si>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</si>
  <si>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</si>
  <si>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</si>
  <si>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</si>
  <si>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</si>
  <si>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</si>
  <si>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</si>
  <si>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</si>
  <si>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</si>
  <si>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</si>
  <si>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</si>
  <si>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</si>
  <si>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</si>
  <si>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</si>
  <si>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</si>
  <si>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</si>
  <si>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</si>
  <si>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</si>
  <si>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</si>
  <si>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</si>
  <si>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</si>
  <si>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</si>
  <si>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</si>
  <si>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</si>
  <si>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</si>
  <si>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</si>
  <si>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</si>
  <si>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</si>
  <si>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</si>
  <si>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</si>
  <si>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</si>
  <si>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</si>
  <si>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</si>
  <si>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</si>
  <si>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</si>
  <si>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</si>
  <si>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</si>
  <si>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</si>
  <si>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</si>
  <si>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</si>
  <si>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</si>
  <si>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</si>
  <si>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</si>
  <si>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</si>
  <si>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</si>
  <si>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</si>
  <si>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</si>
  <si>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</si>
  <si>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</si>
  <si>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</si>
  <si>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</si>
  <si>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</si>
  <si>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</si>
  <si>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</si>
  <si>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</si>
  <si>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</si>
  <si>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</si>
  <si>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</si>
  <si>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</si>
  <si>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</si>
  <si>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</si>
  <si>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</si>
  <si>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</si>
  <si>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</si>
  <si>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</si>
  <si>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</si>
  <si>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</si>
  <si>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</si>
  <si>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</si>
  <si>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</si>
  <si>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</si>
  <si>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</si>
  <si>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</si>
  <si>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</si>
  <si>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</si>
  <si>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</si>
  <si>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</si>
  <si>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</si>
  <si>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</si>
  <si>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</si>
  <si>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</si>
  <si>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</si>
  <si>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</si>
  <si>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</si>
  <si>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</si>
  <si>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</si>
  <si>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</si>
  <si>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</si>
  <si>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</si>
  <si>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</si>
  <si>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</si>
  <si>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</si>
  <si>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</si>
  <si>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</si>
  <si>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</si>
  <si>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</si>
  <si>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</si>
  <si>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</si>
  <si>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</si>
  <si>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</si>
  <si>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</si>
  <si>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</si>
  <si>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</si>
  <si>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</si>
  <si>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</si>
  <si>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</si>
  <si>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</si>
  <si>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</si>
  <si>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</si>
  <si>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</si>
  <si>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</si>
  <si>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</si>
  <si>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</si>
  <si>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</si>
  <si>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</si>
  <si>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</si>
  <si>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</si>
  <si>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</si>
  <si>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</si>
  <si>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</si>
  <si>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</si>
  <si>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</si>
  <si>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</si>
  <si>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</si>
  <si>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</si>
  <si>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</si>
  <si>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</si>
  <si>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</si>
  <si>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</si>
  <si>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</si>
  <si>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</si>
  <si>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</si>
  <si>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</si>
  <si>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</si>
  <si>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</si>
  <si>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</si>
  <si>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</si>
  <si>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</si>
  <si>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</si>
  <si>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</si>
  <si>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</si>
  <si>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</si>
  <si>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</si>
  <si>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</si>
  <si>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</si>
  <si>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</si>
  <si>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</si>
  <si>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</si>
  <si>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</si>
  <si>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</si>
  <si>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</si>
  <si>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</si>
  <si>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</si>
  <si>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</si>
  <si>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</si>
  <si>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</si>
  <si>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</si>
  <si>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</si>
  <si>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</si>
  <si>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</si>
  <si>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</si>
  <si>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</si>
  <si>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</si>
  <si>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</si>
  <si>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</si>
  <si>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</si>
  <si>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</si>
  <si>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</si>
  <si>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</si>
  <si>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</si>
  <si>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</si>
  <si>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</si>
  <si>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</si>
  <si>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</si>
  <si>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</si>
  <si>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</si>
  <si>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</si>
  <si>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</si>
  <si>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</si>
  <si>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</si>
  <si>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</si>
  <si>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</si>
  <si>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</si>
  <si>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</si>
  <si>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</si>
  <si>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</si>
  <si>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</si>
  <si>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</si>
  <si>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</si>
  <si>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</si>
  <si>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</si>
  <si>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</si>
  <si>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</si>
  <si>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</si>
  <si>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</si>
  <si>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</si>
  <si>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</si>
  <si>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</si>
  <si>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</si>
  <si>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</si>
  <si>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</si>
  <si>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</si>
  <si>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</si>
  <si>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</si>
  <si>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</si>
  <si>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</si>
  <si>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</si>
  <si>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</si>
  <si>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</si>
  <si>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</si>
  <si>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</si>
  <si>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</si>
  <si>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</si>
  <si>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</si>
  <si>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</si>
  <si>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</si>
  <si>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</si>
  <si>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</si>
  <si>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</si>
  <si>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</si>
  <si>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</si>
  <si>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</si>
  <si>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</si>
  <si>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</si>
  <si>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</si>
  <si>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</si>
  <si>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</si>
  <si>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</si>
  <si>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</si>
  <si>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</si>
  <si>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</si>
  <si>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</si>
  <si>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</si>
  <si>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</si>
  <si>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</si>
  <si>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</si>
  <si>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</si>
  <si>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</si>
  <si>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</si>
  <si>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</si>
  <si>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</si>
  <si>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</si>
  <si>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</si>
  <si>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</si>
  <si>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</si>
  <si>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</si>
  <si>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</si>
  <si>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</si>
  <si>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</si>
  <si>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</si>
  <si>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</si>
  <si>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</si>
  <si>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</si>
  <si>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</si>
  <si>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</si>
  <si>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</si>
  <si>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</si>
  <si>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</si>
  <si>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</si>
  <si>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</si>
  <si>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</si>
  <si>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</si>
  <si>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</si>
  <si>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</si>
  <si>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</si>
  <si>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</si>
  <si>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</si>
  <si>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</si>
  <si>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</si>
  <si>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</si>
  <si>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</si>
  <si>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</si>
  <si>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</si>
  <si>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</si>
  <si>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</si>
  <si>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</si>
  <si>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</si>
  <si>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</si>
  <si>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</si>
  <si>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</si>
  <si>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</si>
  <si>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</si>
  <si>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</si>
  <si>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</si>
  <si>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</si>
  <si>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</si>
  <si>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</si>
  <si>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</si>
  <si>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</si>
  <si>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</si>
  <si>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</si>
  <si>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</si>
  <si>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</si>
  <si>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</si>
  <si>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</si>
  <si>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</si>
  <si>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</si>
  <si>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</si>
  <si>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</si>
  <si>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</si>
  <si>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</si>
  <si>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</si>
  <si>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</si>
  <si>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</si>
  <si>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</si>
  <si>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</si>
  <si>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</si>
  <si>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</si>
  <si>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</si>
  <si>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</si>
  <si>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</si>
  <si>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</si>
  <si>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</si>
  <si>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</si>
  <si>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</si>
  <si>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</si>
  <si>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</si>
  <si>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</si>
  <si>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</si>
  <si>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</si>
  <si>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</si>
  <si>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</si>
  <si>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</si>
  <si>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</si>
  <si>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</si>
  <si>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</si>
  <si>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</si>
  <si>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</si>
  <si>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</si>
  <si>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</si>
  <si>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</si>
  <si>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</si>
  <si>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</si>
  <si>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</si>
  <si>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</si>
  <si>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</si>
  <si>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</si>
  <si>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</si>
  <si>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</si>
  <si>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</si>
  <si>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</si>
  <si>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</si>
  <si>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</si>
  <si>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</si>
  <si>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</si>
  <si>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</si>
  <si>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</si>
  <si>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</si>
  <si>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</si>
  <si>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</si>
  <si>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</si>
  <si>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</si>
  <si>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</si>
  <si>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</si>
  <si>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</si>
  <si>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</si>
  <si>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</si>
  <si>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</si>
  <si>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</si>
  <si>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</si>
  <si>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</si>
  <si>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</si>
  <si>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</si>
  <si>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</si>
  <si>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</si>
  <si>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</si>
  <si>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</si>
  <si>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</si>
  <si>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</si>
  <si>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</si>
  <si>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</si>
  <si>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</si>
  <si>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</si>
  <si>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</si>
  <si>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</si>
  <si>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</si>
  <si>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</si>
  <si>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</si>
  <si>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</si>
  <si>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</si>
  <si>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</si>
  <si>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</si>
  <si>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</si>
  <si>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</si>
  <si>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</si>
  <si>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</si>
  <si>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</si>
  <si>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</si>
  <si>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</si>
  <si>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</si>
  <si>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</si>
  <si>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</si>
  <si>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</si>
  <si>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</si>
  <si>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</si>
  <si>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</si>
  <si>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</si>
  <si>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</si>
  <si>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</si>
  <si>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</si>
  <si>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</si>
  <si>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</si>
  <si>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</si>
  <si>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</si>
  <si>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</si>
  <si>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</si>
  <si>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</si>
  <si>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</si>
  <si>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</si>
  <si>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</si>
  <si>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</si>
  <si>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</si>
  <si>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</si>
  <si>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</si>
  <si>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</si>
  <si>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</si>
  <si>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</si>
  <si>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</si>
  <si>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</si>
  <si>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</si>
  <si>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</si>
  <si>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</si>
  <si>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</si>
  <si>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</si>
  <si>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</si>
  <si>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</si>
  <si>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</si>
  <si>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</si>
  <si>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</si>
  <si>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</si>
  <si>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</si>
  <si>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</si>
  <si>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</si>
  <si>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</si>
  <si>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</si>
  <si>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</si>
  <si>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</si>
  <si>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</si>
  <si>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</si>
  <si>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</si>
  <si>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</si>
  <si>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</si>
  <si>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</si>
  <si>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</si>
  <si>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</si>
  <si>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</si>
  <si>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</si>
  <si>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</si>
  <si>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</si>
  <si>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</si>
  <si>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</si>
  <si>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</si>
  <si>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</si>
  <si>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</si>
  <si>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</si>
  <si>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</si>
  <si>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</si>
  <si>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</si>
  <si>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</si>
  <si>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</si>
  <si>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</si>
  <si>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</si>
  <si>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</si>
  <si>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</si>
  <si>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</si>
  <si>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</si>
  <si>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</si>
  <si>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</si>
  <si>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</si>
  <si>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</si>
  <si>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</si>
  <si>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</si>
  <si>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</si>
  <si>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</si>
  <si>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</si>
  <si>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</si>
  <si>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</si>
  <si>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</si>
  <si>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</si>
  <si>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</si>
  <si>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</si>
  <si>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</si>
  <si>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</si>
  <si>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</si>
  <si>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</si>
  <si>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</si>
  <si>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</si>
  <si>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</si>
  <si>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</si>
  <si>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</si>
  <si>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</si>
  <si>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</si>
  <si>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</si>
  <si>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</si>
  <si>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</si>
  <si>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</si>
  <si>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</si>
  <si>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</si>
  <si>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</si>
  <si>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</si>
  <si>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</si>
  <si>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</si>
  <si>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</si>
  <si>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</si>
  <si>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</si>
  <si>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</si>
  <si>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</si>
  <si>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</si>
  <si>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</si>
  <si>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</si>
  <si>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</si>
  <si>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</si>
  <si>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</si>
  <si>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</si>
  <si>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</si>
  <si>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</si>
  <si>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</si>
  <si>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</si>
  <si>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</si>
  <si>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</si>
  <si>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</si>
  <si>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</si>
  <si>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</si>
  <si>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</si>
  <si>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</si>
  <si>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</si>
  <si>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</si>
  <si>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</si>
  <si>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</si>
  <si>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</si>
  <si>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</si>
  <si>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</si>
  <si>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</si>
  <si>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</si>
  <si>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</si>
  <si>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</si>
  <si>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</si>
  <si>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</si>
  <si>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</si>
  <si>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</si>
  <si>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</si>
  <si>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</si>
  <si>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</si>
  <si>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</si>
  <si>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</si>
  <si>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</si>
  <si>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</si>
  <si>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</si>
  <si>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</si>
  <si>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</si>
  <si>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</si>
  <si>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</si>
  <si>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</si>
  <si>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</si>
  <si>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</si>
  <si>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</si>
  <si>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</si>
  <si>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</si>
  <si>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</si>
  <si>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</si>
  <si>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</si>
  <si>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</si>
  <si>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</si>
  <si>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</si>
  <si>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</si>
  <si>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</si>
  <si>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</si>
  <si>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</si>
  <si>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</si>
  <si>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</si>
  <si>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</si>
  <si>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</si>
  <si>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</si>
  <si>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</si>
  <si>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</si>
  <si>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</si>
  <si>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</si>
  <si>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</si>
  <si>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</si>
  <si>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</si>
  <si>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</si>
  <si>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</si>
  <si>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</si>
  <si>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</si>
  <si>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</si>
  <si>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</si>
  <si>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</si>
  <si>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</si>
  <si>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</si>
  <si>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</si>
  <si>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</si>
  <si>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</si>
  <si>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</si>
  <si>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</si>
  <si>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</si>
  <si>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</si>
  <si>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</si>
  <si>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</si>
  <si>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</si>
  <si>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</si>
  <si>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</si>
  <si>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</si>
  <si>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</si>
  <si>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</si>
  <si>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</si>
  <si>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</si>
  <si>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</si>
  <si>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</si>
  <si>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</si>
  <si>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</si>
  <si>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</si>
  <si>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</si>
  <si>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</si>
  <si>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</si>
  <si>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</si>
  <si>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</si>
  <si>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</si>
  <si>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</si>
  <si>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</si>
  <si>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</si>
  <si>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</si>
  <si>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</si>
  <si>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</si>
  <si>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</si>
  <si>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</si>
  <si>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</si>
  <si>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</si>
  <si>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</si>
  <si>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</si>
  <si>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</si>
  <si>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</si>
  <si>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</si>
  <si>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</si>
  <si>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</si>
  <si>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</si>
  <si>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</si>
  <si>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</si>
  <si>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</si>
  <si>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</si>
  <si>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</si>
  <si>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</si>
  <si>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</si>
  <si>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</si>
  <si>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</si>
  <si>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</si>
  <si>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</si>
  <si>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</si>
  <si>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</si>
  <si>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</si>
  <si>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</si>
  <si>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</si>
  <si>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</si>
  <si>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</si>
  <si>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</si>
  <si>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</si>
  <si>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</si>
  <si>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</si>
  <si>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</si>
  <si>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</si>
  <si>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</si>
  <si>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</si>
  <si>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</si>
  <si>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</si>
  <si>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</si>
  <si>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</si>
  <si>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</si>
  <si>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</si>
  <si>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</si>
  <si>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</si>
  <si>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</si>
  <si>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</si>
  <si>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</si>
  <si>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</si>
  <si>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</si>
  <si>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</si>
  <si>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</si>
  <si>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</si>
  <si>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</si>
  <si>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</si>
  <si>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</si>
  <si>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</si>
  <si>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</si>
  <si>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</si>
  <si>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</si>
  <si>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</si>
  <si>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</si>
  <si>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</si>
  <si>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</si>
  <si>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</si>
  <si>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</si>
  <si>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</si>
  <si>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</si>
  <si>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</si>
  <si>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</si>
  <si>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</si>
  <si>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</si>
  <si>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</si>
  <si>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</si>
  <si>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</si>
  <si>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</si>
  <si>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</si>
  <si>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</si>
  <si>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</si>
  <si>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</si>
  <si>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</si>
  <si>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</si>
  <si>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</si>
  <si>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</si>
  <si>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</si>
  <si>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</si>
  <si>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</si>
  <si>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</si>
  <si>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</si>
  <si>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</si>
  <si>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</si>
  <si>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</si>
  <si>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</si>
  <si>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</si>
  <si>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</si>
  <si>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</si>
  <si>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</si>
  <si>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</si>
  <si>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</si>
  <si>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</si>
  <si>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</si>
  <si>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</si>
  <si>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</si>
  <si>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</si>
  <si>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</si>
  <si>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</si>
  <si>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</si>
  <si>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</si>
  <si>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</si>
  <si>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</si>
  <si>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</si>
  <si>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</si>
  <si>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</si>
  <si>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</si>
  <si>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</si>
  <si>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</si>
  <si>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</si>
  <si>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</si>
  <si>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</si>
  <si>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</si>
  <si>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</si>
  <si>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</si>
  <si>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</si>
  <si>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</si>
  <si>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</si>
  <si>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</si>
  <si>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</si>
  <si>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</si>
  <si>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</si>
  <si>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</si>
  <si>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</si>
  <si>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</si>
  <si>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</si>
  <si>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</si>
  <si>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</si>
  <si>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</si>
  <si>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</si>
  <si>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</si>
  <si>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</si>
  <si>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</si>
  <si>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</si>
  <si>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</si>
  <si>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</si>
  <si>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</si>
  <si>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</si>
  <si>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</si>
  <si>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</si>
  <si>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</si>
  <si>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</si>
  <si>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</si>
  <si>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</si>
  <si>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</si>
  <si>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</si>
  <si>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</si>
  <si>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</si>
  <si>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</si>
  <si>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</si>
  <si>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</si>
  <si>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</si>
  <si>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</si>
  <si>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</si>
  <si>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</si>
  <si>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</si>
  <si>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</si>
  <si>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</si>
  <si>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</si>
  <si>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</si>
  <si>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</si>
  <si>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</si>
  <si>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</si>
  <si>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</si>
  <si>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</si>
  <si>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</si>
  <si>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</si>
  <si>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</si>
  <si>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</si>
  <si>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</si>
  <si>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</si>
  <si>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</si>
  <si>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</si>
  <si>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</si>
  <si>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</si>
  <si>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</si>
  <si>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</si>
  <si>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</si>
  <si>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</si>
  <si>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</si>
  <si>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</si>
  <si>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</si>
  <si>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</si>
  <si>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</si>
  <si>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</si>
  <si>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</si>
  <si>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</si>
  <si>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</si>
  <si>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</si>
  <si>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</si>
  <si>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</si>
  <si>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</si>
  <si>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</si>
  <si>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</si>
  <si>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</si>
  <si>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</si>
  <si>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</si>
  <si>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</si>
  <si>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</si>
  <si>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</si>
  <si>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</si>
  <si>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</si>
  <si>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</si>
  <si>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</si>
  <si>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</si>
  <si>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</si>
  <si>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</si>
  <si>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</si>
  <si>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</si>
  <si>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</si>
  <si>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</si>
  <si>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</si>
  <si>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</si>
  <si>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</si>
  <si>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</si>
  <si>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</si>
  <si>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</si>
  <si>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</si>
  <si>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</si>
  <si>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</si>
  <si>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</si>
  <si>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</si>
  <si>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</si>
  <si>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</si>
  <si>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</si>
  <si>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</si>
  <si>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</si>
  <si>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</si>
  <si>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</si>
  <si>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</si>
  <si>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</si>
  <si>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</si>
  <si>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</si>
  <si>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</si>
  <si>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</si>
  <si>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</si>
  <si>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</si>
  <si>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</si>
  <si>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</si>
  <si>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</si>
  <si>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</si>
  <si>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</si>
  <si>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</si>
  <si>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</si>
  <si>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</si>
  <si>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</si>
  <si>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</si>
  <si>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</si>
  <si>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</si>
  <si>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</si>
  <si>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</si>
  <si>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</si>
  <si>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</si>
  <si>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</si>
  <si>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</si>
  <si>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</si>
  <si>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</si>
  <si>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</si>
  <si>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</si>
  <si>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</si>
  <si>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</si>
  <si>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</si>
  <si>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</si>
  <si>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</si>
  <si>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</si>
  <si>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</si>
  <si>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</si>
  <si>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</si>
  <si>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</si>
  <si>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</si>
  <si>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</si>
  <si>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</si>
  <si>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</si>
  <si>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</si>
  <si>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</si>
  <si>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</si>
  <si>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</si>
  <si>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</si>
  <si>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</si>
  <si>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</si>
  <si>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</si>
  <si>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</si>
  <si>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</si>
  <si>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</si>
  <si>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</si>
  <si>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</si>
  <si>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</si>
  <si>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</si>
  <si>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</si>
  <si>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</si>
  <si>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</si>
  <si>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</si>
  <si>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</si>
  <si>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</si>
  <si>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</si>
  <si>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</si>
  <si>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</si>
  <si>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</si>
  <si>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</si>
  <si>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</si>
  <si>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</si>
  <si>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</si>
  <si>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</si>
  <si>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</si>
  <si>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</si>
  <si>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</si>
  <si>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</si>
  <si>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</si>
  <si>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</si>
  <si>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</si>
  <si>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</si>
  <si>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</si>
  <si>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</si>
  <si>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</si>
  <si>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</si>
  <si>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</si>
  <si>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</si>
  <si>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</si>
  <si>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</si>
  <si>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</si>
  <si>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</si>
  <si>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</si>
  <si>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</si>
  <si>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</si>
  <si>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</si>
  <si>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</si>
  <si>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</si>
  <si>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</si>
  <si>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</si>
  <si>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</si>
  <si>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</si>
  <si>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</si>
  <si>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</si>
  <si>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</si>
  <si>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</si>
  <si>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</si>
  <si>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</si>
  <si>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</si>
  <si>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</si>
  <si>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</si>
  <si>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</si>
  <si>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</si>
  <si>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</si>
  <si>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</si>
  <si>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</si>
  <si>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</si>
  <si>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</si>
  <si>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</si>
  <si>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</si>
  <si>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</si>
  <si>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</si>
  <si>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</si>
  <si>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</si>
  <si>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</si>
  <si>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</si>
  <si>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</si>
  <si>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</si>
  <si>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</si>
  <si>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</si>
  <si>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</si>
  <si>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</si>
  <si>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</si>
  <si>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</si>
  <si>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</si>
  <si>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</si>
  <si>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</si>
  <si>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</si>
  <si>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</si>
  <si>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</si>
  <si>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</si>
  <si>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</si>
  <si>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</si>
  <si>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</si>
  <si>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</si>
  <si>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</si>
  <si>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</si>
  <si>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</si>
  <si>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</si>
  <si>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</si>
  <si>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</si>
  <si>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</si>
  <si>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</si>
  <si>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</si>
  <si>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</si>
  <si>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</si>
  <si>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</si>
  <si>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</si>
  <si>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</si>
  <si>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</si>
  <si>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</si>
  <si>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</si>
  <si>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</si>
  <si>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</si>
  <si>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</si>
  <si>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</si>
  <si>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</si>
  <si>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</si>
  <si>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</si>
  <si>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</si>
  <si>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</si>
  <si>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</si>
  <si>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</si>
  <si>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</si>
  <si>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</si>
  <si>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</si>
  <si>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</si>
  <si>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</si>
  <si>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</si>
  <si>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</si>
  <si>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</si>
  <si>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</si>
  <si>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</si>
  <si>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</si>
  <si>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</si>
  <si>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</si>
  <si>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</si>
  <si>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</si>
  <si>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</si>
  <si>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</si>
  <si>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</si>
  <si>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</si>
  <si>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</si>
  <si>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</si>
  <si>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</si>
  <si>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</si>
  <si>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</si>
  <si>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</si>
  <si>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</si>
  <si>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</si>
  <si>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</si>
  <si>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</si>
  <si>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</si>
  <si>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</si>
  <si>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</si>
  <si>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</si>
  <si>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</si>
  <si>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</si>
  <si>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</si>
  <si>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</si>
  <si>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</si>
  <si>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</si>
  <si>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</si>
  <si>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</si>
  <si>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</si>
  <si>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</si>
  <si>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</si>
  <si>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</si>
  <si>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</si>
  <si>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</si>
  <si>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</si>
  <si>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</si>
  <si>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</si>
  <si>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</si>
  <si>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</si>
  <si>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</si>
  <si>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</si>
  <si>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</si>
  <si>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</si>
  <si>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</si>
  <si>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</si>
  <si>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</si>
  <si>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</si>
  <si>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</si>
  <si>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</si>
  <si>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</si>
  <si>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</si>
  <si>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</si>
  <si>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</si>
  <si>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</si>
  <si>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</si>
  <si>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</si>
  <si>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</si>
  <si>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</si>
  <si>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</si>
  <si>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</si>
  <si>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</si>
  <si>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</si>
  <si>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</si>
  <si>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</si>
  <si>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</si>
  <si>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</si>
  <si>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</si>
  <si>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</si>
  <si>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</si>
  <si>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</si>
  <si>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</si>
  <si>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</si>
  <si>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</si>
  <si>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</si>
  <si>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</si>
  <si>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</si>
  <si>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</si>
  <si>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</si>
  <si>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</si>
  <si>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</si>
  <si>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</si>
  <si>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</si>
  <si>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</si>
  <si>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</si>
  <si>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</si>
  <si>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</si>
  <si>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</si>
  <si>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</si>
  <si>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</si>
  <si>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</si>
  <si>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</si>
  <si>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</si>
  <si>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</si>
  <si>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</si>
  <si>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</si>
  <si>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</si>
  <si>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</si>
  <si>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</si>
  <si>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</si>
  <si>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</si>
  <si>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</si>
  <si>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</si>
  <si>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</si>
  <si>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</si>
  <si>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</si>
  <si>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</si>
  <si>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</si>
  <si>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</si>
  <si>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</si>
  <si>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</si>
  <si>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</si>
  <si>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</si>
  <si>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</si>
  <si>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</si>
  <si>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</si>
  <si>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</si>
  <si>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</si>
  <si>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</si>
  <si>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</si>
  <si>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</si>
  <si>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</si>
  <si>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</si>
  <si>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</si>
  <si>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</si>
  <si>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</si>
  <si>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</si>
  <si>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</si>
  <si>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</si>
  <si>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</si>
  <si>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</si>
  <si>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</si>
  <si>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</si>
  <si>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</si>
  <si>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</si>
  <si>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</si>
  <si>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</si>
  <si>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</si>
  <si>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</si>
  <si>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</si>
  <si>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</si>
  <si>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</si>
  <si>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</si>
  <si>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</si>
  <si>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</si>
  <si>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</si>
  <si>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</si>
  <si>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</si>
  <si>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</si>
  <si>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</si>
  <si>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</si>
  <si>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</si>
  <si>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</si>
  <si>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</si>
  <si>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</si>
  <si>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</si>
  <si>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</si>
  <si>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</si>
  <si>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</si>
  <si>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</si>
  <si>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</si>
  <si>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</si>
  <si>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</si>
  <si>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</si>
  <si>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</si>
  <si>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</si>
  <si>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</si>
  <si>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</si>
  <si>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</si>
  <si>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</si>
  <si>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</si>
  <si>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</si>
  <si>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</si>
  <si>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</si>
  <si>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</si>
  <si>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</si>
  <si>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</si>
  <si>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</si>
  <si>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</si>
  <si>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</si>
  <si>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</si>
  <si>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</si>
  <si>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</si>
  <si>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</si>
  <si>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</si>
  <si>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</si>
  <si>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</si>
  <si>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</si>
  <si>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</si>
  <si>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</si>
  <si>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</si>
  <si>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</si>
  <si>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</si>
  <si>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</si>
  <si>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</si>
  <si>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</si>
  <si>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</si>
  <si>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</si>
  <si>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</si>
  <si>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</si>
  <si>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</si>
  <si>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</si>
  <si>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</si>
  <si>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</si>
  <si>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</si>
  <si>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</si>
  <si>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</si>
  <si>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</si>
  <si>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</si>
  <si>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</si>
  <si>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</si>
  <si>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</si>
  <si>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</si>
  <si>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</si>
  <si>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</si>
  <si>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</si>
  <si>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</si>
  <si>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</si>
  <si>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</si>
  <si>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</si>
  <si>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</si>
  <si>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</si>
  <si>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</si>
  <si>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</si>
  <si>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</si>
  <si>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</si>
  <si>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</si>
  <si>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</si>
  <si>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</si>
  <si>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</si>
  <si>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</si>
  <si>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</si>
  <si>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</si>
  <si>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</si>
  <si>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</si>
  <si>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</si>
  <si>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</si>
  <si>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</si>
  <si>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</si>
  <si>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</si>
  <si>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</si>
  <si>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</si>
  <si>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</si>
  <si>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</si>
  <si>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</si>
  <si>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</si>
  <si>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</si>
  <si>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</si>
  <si>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</si>
  <si>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</si>
  <si>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</si>
  <si>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</si>
  <si>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</si>
  <si>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</si>
  <si>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</si>
  <si>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</si>
  <si>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</si>
  <si>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</si>
  <si>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</si>
  <si>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</si>
  <si>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</si>
  <si>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</si>
  <si>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</si>
  <si>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</si>
  <si>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</si>
  <si>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</si>
  <si>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</si>
  <si>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</si>
  <si>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</si>
  <si>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</si>
  <si>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</si>
  <si>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</si>
  <si>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</si>
  <si>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</si>
  <si>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</si>
  <si>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</si>
  <si>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</si>
  <si>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</si>
  <si>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</si>
  <si>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</si>
  <si>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</si>
  <si>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</si>
  <si>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</si>
  <si>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</si>
  <si>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</si>
  <si>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</si>
  <si>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</si>
  <si>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</si>
  <si>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</si>
  <si>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</si>
  <si>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</si>
  <si>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</si>
  <si>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</si>
  <si>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</si>
  <si>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</si>
  <si>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</si>
  <si>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</si>
  <si>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</si>
  <si>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</si>
  <si>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</si>
  <si>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</si>
  <si>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</si>
  <si>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</si>
  <si>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</si>
  <si>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</si>
  <si>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</si>
  <si>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</si>
  <si>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</si>
  <si>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</si>
  <si>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</si>
  <si>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</si>
  <si>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</si>
  <si>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</si>
  <si>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</si>
  <si>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</si>
  <si>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</si>
  <si>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</si>
  <si>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</si>
  <si>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</si>
  <si>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</si>
  <si>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</si>
  <si>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</si>
  <si>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</si>
  <si>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</si>
  <si>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</si>
  <si>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</si>
  <si>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</si>
  <si>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</si>
  <si>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</si>
  <si>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</si>
  <si>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</si>
  <si>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</si>
  <si>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</si>
  <si>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</si>
  <si>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</si>
  <si>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</si>
  <si>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</si>
  <si>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</si>
  <si>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</si>
  <si>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</si>
  <si>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</si>
  <si>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</si>
  <si>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</si>
  <si>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</si>
  <si>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</si>
  <si>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</si>
  <si>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</si>
  <si>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</si>
  <si>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</si>
  <si>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</si>
  <si>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</si>
  <si>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</si>
  <si>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</si>
  <si>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</si>
  <si>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</si>
  <si>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</si>
  <si>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</si>
  <si>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</si>
  <si>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</si>
  <si>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</si>
  <si>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</si>
  <si>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</si>
  <si>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</si>
  <si>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</si>
  <si>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</si>
  <si>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</si>
  <si>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</si>
  <si>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</si>
  <si>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</si>
  <si>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</si>
  <si>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</si>
  <si>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</si>
  <si>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</si>
  <si>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</si>
  <si>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</si>
  <si>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</si>
  <si>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</si>
  <si>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</si>
  <si>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</si>
  <si>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</si>
  <si>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</si>
  <si>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</si>
  <si>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</si>
  <si>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</si>
  <si>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</si>
  <si>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</si>
  <si>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</si>
  <si>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</si>
  <si>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</si>
  <si>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</si>
  <si>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</si>
  <si>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</si>
  <si>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</si>
  <si>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</si>
  <si>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</si>
  <si>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</si>
  <si>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</si>
  <si>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</si>
  <si>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</si>
  <si>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</si>
  <si>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</si>
  <si>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</si>
  <si>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</si>
  <si>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</si>
  <si>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Кол-во смежных систем безопасности с которыми взаимодействует АВЗ</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</si>
  <si>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</si>
  <si>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</si>
  <si>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</si>
  <si>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</si>
  <si>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</si>
  <si>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</si>
  <si>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</si>
  <si>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</si>
  <si>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</si>
  <si>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</si>
  <si>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</si>
  <si>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</si>
  <si>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</si>
  <si>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</si>
  <si>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</si>
  <si>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</si>
  <si>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</si>
  <si>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</si>
  <si>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</si>
  <si>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</si>
  <si>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</si>
  <si>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</si>
  <si>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</si>
  <si>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</si>
  <si>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</si>
  <si>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</si>
  <si>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</si>
  <si>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</si>
  <si>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</si>
  <si>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</si>
  <si>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</si>
  <si>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</si>
  <si>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</si>
  <si>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</si>
  <si>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</si>
  <si>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</si>
  <si>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</si>
  <si>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</si>
  <si>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</si>
  <si>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</si>
  <si>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</si>
  <si>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</si>
  <si>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</si>
  <si>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</si>
  <si>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</si>
  <si>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</si>
  <si>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</si>
  <si>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</si>
  <si>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</si>
  <si>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</si>
  <si>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</si>
  <si>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</si>
  <si>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</si>
  <si>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</si>
  <si>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</si>
  <si>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</si>
  <si>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</si>
  <si>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</si>
  <si>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</si>
  <si>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</si>
  <si>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</si>
  <si>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</si>
  <si>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</si>
  <si>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</si>
  <si>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1 ч, иначе 0,5 ч * кол-во систем</t>
  </si>
  <si>
    <t>Базово 1,5 ч, иначе 0,75 ч * кол-во систем</t>
  </si>
  <si>
    <t>Базово 0,5 ч, иначе 0,25 ч * кол-во систем</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</si>
  <si>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</si>
  <si>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</si>
  <si>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</si>
  <si>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</si>
  <si>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</si>
  <si>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если параметр=1 то 0,5 ч + 4 ч</t>
  </si>
  <si>
    <t>если параметр=1 то 1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</si>
  <si>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</si>
  <si>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</si>
  <si>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</si>
  <si>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</si>
  <si>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</si>
  <si>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</si>
  <si>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</si>
  <si>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</si>
  <si>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</si>
  <si>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</si>
  <si>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</si>
  <si>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</si>
  <si>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</si>
  <si>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</si>
  <si>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</si>
  <si>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</si>
  <si>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</si>
  <si>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</si>
  <si>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</si>
  <si>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</si>
  <si>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+ 0,5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</si>
  <si>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</si>
  <si>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</si>
  <si>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</si>
  <si>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</si>
  <si>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</si>
  <si>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</si>
  <si>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</si>
  <si>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</si>
  <si>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</si>
  <si>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</si>
  <si>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</si>
  <si>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</si>
  <si>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</si>
  <si>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</si>
  <si>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</si>
  <si>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</si>
  <si>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</si>
  <si>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</si>
  <si>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</si>
  <si>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</si>
  <si>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</si>
  <si>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</si>
  <si>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+ 2,5 ч к расчету</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</si>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</sst>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4"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
      <sz val="11"/>
      <color theme="1" tint="0.34998626667073579"/>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42">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0" fillId="0" borderId="0" xfId="0"/>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63" fillId="74" borderId="58" xfId="0" applyFont="1" applyFill="1" applyBorder="1" applyAlignment="1">
      <alignment horizontal="center"/>
    </xf>
    <xf numFmtId="0" fontId="63" fillId="74" borderId="71" xfId="0" applyFont="1" applyFill="1" applyBorder="1" applyAlignment="1">
      <alignment horizontal="center" vertical="center"/>
    </xf>
    <xf numFmtId="0" fontId="63" fillId="74" borderId="42" xfId="0" applyFont="1" applyFill="1" applyBorder="1" applyAlignment="1">
      <alignment horizontal="center" vertical="center"/>
    </xf>
    <xf numFmtId="0" fontId="63" fillId="74" borderId="24" xfId="0" applyFont="1" applyFill="1" applyBorder="1" applyAlignment="1">
      <alignment horizontal="center"/>
    </xf>
    <xf numFmtId="0" fontId="63" fillId="74" borderId="18" xfId="0" applyFont="1" applyFill="1" applyBorder="1" applyAlignment="1">
      <alignment horizontal="center"/>
    </xf>
    <xf numFmtId="0" fontId="63" fillId="74" borderId="23" xfId="0" applyFont="1" applyFill="1" applyBorder="1" applyAlignment="1">
      <alignment horizontal="center"/>
    </xf>
    <xf numFmtId="0" fontId="63" fillId="74" borderId="52" xfId="0" applyFont="1" applyFill="1" applyBorder="1" applyAlignment="1">
      <alignment horizontal="center" vertical="center"/>
    </xf>
    <xf numFmtId="0" fontId="63" fillId="74" borderId="28" xfId="0" applyFont="1" applyFill="1" applyBorder="1" applyAlignment="1">
      <alignment horizontal="center" vertical="center"/>
    </xf>
    <xf numFmtId="0" fontId="63" fillId="74" borderId="40" xfId="0" applyFont="1" applyFill="1" applyBorder="1" applyAlignment="1">
      <alignment horizontal="center" vertical="center"/>
    </xf>
    <xf numFmtId="0" fontId="63" fillId="74" borderId="41" xfId="0" applyFont="1" applyFill="1" applyBorder="1" applyAlignment="1">
      <alignment horizontal="center" vertical="center"/>
    </xf>
    <xf numFmtId="0" fontId="63" fillId="74" borderId="24" xfId="0" applyFont="1" applyFill="1" applyBorder="1" applyAlignment="1">
      <alignment horizontal="center" vertical="center"/>
    </xf>
    <xf numFmtId="0" fontId="63" fillId="74" borderId="18" xfId="0" applyFont="1" applyFill="1" applyBorder="1" applyAlignment="1">
      <alignment horizontal="center" vertical="center"/>
    </xf>
    <xf numFmtId="0" fontId="63" fillId="74" borderId="23" xfId="0" applyFont="1" applyFill="1" applyBorder="1" applyAlignment="1">
      <alignment horizontal="center" vertical="center"/>
    </xf>
    <xf numFmtId="0" fontId="63" fillId="74" borderId="56" xfId="0" applyFont="1" applyFill="1" applyBorder="1" applyAlignment="1">
      <alignment horizontal="center"/>
    </xf>
    <xf numFmtId="0" fontId="63" fillId="74" borderId="62" xfId="0" applyFont="1" applyFill="1" applyBorder="1" applyAlignment="1">
      <alignment horizontal="center"/>
    </xf>
    <xf numFmtId="0" fontId="63" fillId="74" borderId="53" xfId="0" applyFont="1" applyFill="1" applyBorder="1" applyAlignment="1">
      <alignment horizontal="center" vertical="center"/>
    </xf>
    <xf numFmtId="0" fontId="63" fillId="74" borderId="46" xfId="0" applyFont="1" applyFill="1" applyBorder="1" applyAlignment="1">
      <alignment horizontal="center" vertical="center"/>
    </xf>
    <xf numFmtId="0" fontId="63" fillId="74" borderId="49" xfId="0" applyFont="1" applyFill="1" applyBorder="1" applyAlignment="1">
      <alignment horizontal="center" vertical="center"/>
    </xf>
    <xf numFmtId="0" fontId="63" fillId="74" borderId="63" xfId="0" applyFont="1" applyFill="1" applyBorder="1" applyAlignment="1">
      <alignment horizontal="center" vertical="center"/>
    </xf>
    <xf numFmtId="0" fontId="63" fillId="74" borderId="17" xfId="0" applyFont="1" applyFill="1" applyBorder="1" applyAlignment="1">
      <alignment horizontal="center" vertical="center"/>
    </xf>
    <xf numFmtId="0" fontId="63" fillId="74" borderId="15" xfId="0" applyFont="1" applyFill="1" applyBorder="1" applyAlignment="1">
      <alignment horizontal="center" vertical="center"/>
    </xf>
    <xf numFmtId="0" fontId="63" fillId="74" borderId="62" xfId="0" applyFont="1" applyFill="1" applyBorder="1"/>
    <xf numFmtId="0" fontId="63" fillId="74" borderId="66" xfId="0" applyFont="1" applyFill="1" applyBorder="1"/>
    <xf numFmtId="0" fontId="63" fillId="74" borderId="57" xfId="0" applyFont="1" applyFill="1" applyBorder="1"/>
    <xf numFmtId="0" fontId="63" fillId="74" borderId="23" xfId="0" applyFont="1" applyFill="1" applyBorder="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63" fillId="74" borderId="9" xfId="0" applyFont="1" applyFill="1" applyBorder="1" applyAlignment="1">
      <alignment horizontal="center"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3" fillId="6" borderId="0" xfId="0" applyFont="1" applyFill="1" applyAlignment="1">
      <alignment horizontal="center"/>
    </xf>
    <xf numFmtId="0" fontId="3" fillId="0" borderId="18" xfId="0" applyFont="1" applyFill="1" applyBorder="1" applyAlignment="1">
      <alignment horizontal="left" vertical="center"/>
    </xf>
    <xf numFmtId="0" fontId="3" fillId="0" borderId="48" xfId="0" applyFont="1" applyFill="1" applyBorder="1" applyAlignment="1">
      <alignment horizontal="left" vertical="center"/>
    </xf>
    <xf numFmtId="0" fontId="3" fillId="0" borderId="47" xfId="0" applyFont="1" applyFill="1" applyBorder="1" applyAlignment="1">
      <alignment horizontal="left" vertical="center"/>
    </xf>
    <xf numFmtId="0" fontId="3" fillId="0" borderId="38" xfId="0" applyFont="1" applyFill="1" applyBorder="1" applyAlignment="1">
      <alignment horizontal="left" vertical="center"/>
    </xf>
    <xf numFmtId="0" fontId="3" fillId="0" borderId="59"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0" xfId="0" applyFont="1" applyFill="1" applyAlignment="1">
      <alignment horizontal="left" vertical="center"/>
    </xf>
    <xf numFmtId="0" fontId="3" fillId="0" borderId="18" xfId="0" applyFont="1" applyFill="1" applyBorder="1" applyAlignment="1">
      <alignment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5" xfId="0" applyFont="1" applyFill="1" applyBorder="1" applyAlignment="1">
      <alignment horizontal="left" vertical="center"/>
    </xf>
    <xf numFmtId="0" fontId="3" fillId="0" borderId="30" xfId="0" applyFont="1" applyBorder="1" applyAlignment="1">
      <alignment horizontal="center"/>
    </xf>
    <xf numFmtId="0" fontId="3" fillId="0" borderId="39" xfId="0" applyFont="1" applyFill="1" applyBorder="1" applyAlignment="1">
      <alignment horizontal="left" vertic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54" xfId="0" applyFont="1" applyFill="1" applyBorder="1" applyAlignment="1">
      <alignment horizontal="left" vertic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0" fillId="16" borderId="18" xfId="0" applyFill="1" applyBorder="1" applyAlignment="1">
      <alignment horizontal="center"/>
    </xf>
    <xf numFmtId="0" fontId="17" fillId="16" borderId="24" xfId="0" applyFont="1" applyFill="1" applyBorder="1" applyAlignment="1">
      <alignment horizontal="center"/>
    </xf>
    <xf numFmtId="0" fontId="17" fillId="16" borderId="18" xfId="0" applyFont="1" applyFill="1" applyBorder="1" applyAlignment="1">
      <alignment horizontal="center"/>
    </xf>
    <xf numFmtId="0" fontId="17" fillId="16" borderId="24" xfId="0" applyFont="1" applyFill="1" applyBorder="1" applyAlignment="1">
      <alignment horizontal="center" vertical="center"/>
    </xf>
    <xf numFmtId="0" fontId="17" fillId="16" borderId="23" xfId="0" applyFont="1" applyFill="1" applyBorder="1" applyAlignment="1">
      <alignment horizontal="center" vertical="center"/>
    </xf>
    <xf numFmtId="0" fontId="17" fillId="16" borderId="18" xfId="0" applyFont="1" applyFill="1" applyBorder="1" applyAlignment="1">
      <alignment horizontal="center" vertical="center"/>
    </xf>
    <xf numFmtId="0" fontId="17" fillId="16" borderId="76" xfId="0" applyFont="1" applyFill="1" applyBorder="1" applyAlignment="1">
      <alignment horizontal="center" vertical="center"/>
    </xf>
    <xf numFmtId="0" fontId="17" fillId="16" borderId="20" xfId="0" applyFont="1" applyFill="1" applyBorder="1" applyAlignment="1">
      <alignment horizontal="center"/>
    </xf>
    <xf numFmtId="0" fontId="0" fillId="16" borderId="24" xfId="0" applyFill="1" applyBorder="1" applyAlignment="1">
      <alignment horizontal="center" vertical="center"/>
    </xf>
    <xf numFmtId="0" fontId="0" fillId="16" borderId="18" xfId="0" applyFill="1" applyBorder="1" applyAlignment="1">
      <alignment horizontal="center" vertical="center"/>
    </xf>
    <xf numFmtId="0" fontId="0" fillId="16" borderId="23" xfId="0" applyFill="1" applyBorder="1" applyAlignment="1">
      <alignment horizontal="center" vertical="center"/>
    </xf>
    <xf numFmtId="0" fontId="0" fillId="16" borderId="25" xfId="0" applyFill="1" applyBorder="1" applyAlignment="1">
      <alignment horizontal="center" vertical="center"/>
    </xf>
    <xf numFmtId="0" fontId="17" fillId="16" borderId="39" xfId="0" applyFont="1" applyFill="1" applyBorder="1" applyAlignment="1">
      <alignment horizontal="center" vertical="center"/>
    </xf>
    <xf numFmtId="0" fontId="0" fillId="16" borderId="73" xfId="0" applyFill="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7">
  <autoFilter ref="A1:A14" xr:uid="{00000000-0009-0000-0100-000004000000}"/>
  <tableColumns count="1">
    <tableColumn id="1" xr3:uid="{00000000-0010-0000-0000-000001000000}" name="Работы"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5" dataDxfId="4">
  <autoFilter ref="Q1:Q4" xr:uid="{00000000-0009-0000-0100-000006000000}"/>
  <tableColumns count="1">
    <tableColumn id="1" xr3:uid="{00000000-0010-0000-0300-000001000000}" name="Сложность"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2" dataDxfId="1">
  <autoFilter ref="R1:R3" xr:uid="{00000000-0009-0000-0100-000007000000}"/>
  <tableColumns count="1">
    <tableColumn id="1" xr3:uid="{00000000-0010-0000-0400-000001000000}" name="Варианты"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91" t="s">
        <v>218</v>
      </c>
      <c r="B1" s="1791"/>
      <c r="C1" s="1791"/>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32" t="s">
        <v>1705</v>
      </c>
      <c r="G1" s="1833"/>
      <c r="H1" s="1833"/>
      <c r="I1" s="1834"/>
      <c r="K1" s="130"/>
      <c r="L1" s="130"/>
      <c r="P1" s="130"/>
      <c r="Q1" s="130"/>
      <c r="R1" s="130"/>
      <c r="S1" s="130"/>
      <c r="T1" s="130"/>
      <c r="U1" s="130"/>
      <c r="V1" s="130"/>
      <c r="W1" s="130"/>
      <c r="X1" s="130"/>
      <c r="Y1" s="130"/>
      <c r="Z1" s="130"/>
    </row>
    <row r="2" spans="1:26" s="130" customFormat="1" ht="30.75" thickBot="1" x14ac:dyDescent="0.3">
      <c r="A2" s="131" t="s">
        <v>114</v>
      </c>
      <c r="B2" s="1792"/>
      <c r="C2" s="1793"/>
      <c r="D2" s="292" t="s">
        <v>115</v>
      </c>
      <c r="E2" s="1678" t="s">
        <v>116</v>
      </c>
      <c r="F2" s="1680" t="s">
        <v>508</v>
      </c>
      <c r="G2" s="292" t="s">
        <v>509</v>
      </c>
      <c r="H2" s="292" t="s">
        <v>510</v>
      </c>
      <c r="I2" s="292" t="s">
        <v>53</v>
      </c>
      <c r="J2" s="1676"/>
      <c r="L2" s="1806" t="s">
        <v>1595</v>
      </c>
      <c r="M2" s="1623"/>
      <c r="N2" s="1623"/>
      <c r="O2" s="1623"/>
    </row>
    <row r="3" spans="1:26" x14ac:dyDescent="0.25">
      <c r="A3" s="133" t="s">
        <v>117</v>
      </c>
      <c r="B3" s="1794"/>
      <c r="C3" s="1795"/>
      <c r="D3" s="1683">
        <f>SUM(D4:D8)</f>
        <v>103.10937500000001</v>
      </c>
      <c r="E3" s="1684" t="str">
        <f>IF(D3,IF(D4=MAX(D4:D8),B4,IF(D5=MAX(D4:D8),B5,IF(D6=MAX(D4:D8),B6,IF(D7=MAX(D4:D8),B7,IF(D8=MAX(D4:D8),B8))))),"")</f>
        <v>ОКиА</v>
      </c>
      <c r="F3" s="1835"/>
      <c r="G3" s="1835"/>
      <c r="H3" s="1835"/>
      <c r="I3" s="1836"/>
      <c r="J3" s="291"/>
      <c r="L3" s="1806"/>
    </row>
    <row r="4" spans="1:26" x14ac:dyDescent="0.25">
      <c r="A4" s="1798"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806"/>
    </row>
    <row r="5" spans="1:26" x14ac:dyDescent="0.25">
      <c r="A5" s="1799"/>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806"/>
    </row>
    <row r="6" spans="1:26" ht="15.75" thickBot="1" x14ac:dyDescent="0.3">
      <c r="A6" s="1799"/>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806"/>
    </row>
    <row r="7" spans="1:26" x14ac:dyDescent="0.25">
      <c r="A7" s="1799"/>
      <c r="B7" s="134" t="s">
        <v>60</v>
      </c>
      <c r="C7" s="1679"/>
      <c r="D7" s="1687">
        <f>SUMIF($D$14:$D$251,"=Нормоконтроль ОП",$E$14:$E$251)</f>
        <v>0</v>
      </c>
      <c r="E7" s="1686"/>
      <c r="F7" s="291"/>
      <c r="G7" s="291"/>
      <c r="H7" s="291"/>
      <c r="I7" s="291"/>
      <c r="J7" s="1675"/>
      <c r="L7" s="1806"/>
    </row>
    <row r="8" spans="1:26" ht="15.75" thickBot="1" x14ac:dyDescent="0.3">
      <c r="A8" s="1800"/>
      <c r="B8" s="134" t="s">
        <v>120</v>
      </c>
      <c r="C8" s="1679"/>
      <c r="D8" s="1688">
        <f>SUMIF($D$14:$D$251,"Администратор проектов",$E$14:$E$251)+SUMIF($D$14:$D$251,"Ведущий РП",$E$14:$E$251)+SUMIF($D$14:$D$251,"РП",$E$14:$E$251)</f>
        <v>13.581250000000002</v>
      </c>
      <c r="E8" s="1689"/>
      <c r="F8" s="291"/>
      <c r="G8" s="291"/>
      <c r="H8" s="291"/>
      <c r="I8" s="291"/>
      <c r="J8" s="1675"/>
      <c r="L8" s="1806"/>
    </row>
    <row r="9" spans="1:26" x14ac:dyDescent="0.25">
      <c r="A9" s="136"/>
      <c r="C9" s="137" t="s">
        <v>121</v>
      </c>
      <c r="F9" s="1674"/>
      <c r="G9" s="1674"/>
      <c r="H9" s="1674"/>
      <c r="L9" s="1806"/>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806"/>
    </row>
    <row r="11" spans="1:26" ht="27" thickBot="1" x14ac:dyDescent="0.45">
      <c r="A11" s="91"/>
      <c r="B11" s="139"/>
      <c r="C11" s="139"/>
      <c r="D11" s="140" t="str">
        <f>IF(A253&lt;&gt;"","У расчета есть ограничения","")</f>
        <v/>
      </c>
      <c r="E11" s="1532"/>
      <c r="F11" s="91"/>
      <c r="G11" s="91"/>
      <c r="H11" s="91"/>
      <c r="I11" s="91"/>
      <c r="J11" s="91"/>
      <c r="K11" s="91"/>
      <c r="L11" s="1806"/>
    </row>
    <row r="12" spans="1:26" ht="15.75" thickBot="1" x14ac:dyDescent="0.3">
      <c r="F12" s="1814" t="s">
        <v>122</v>
      </c>
      <c r="G12" s="1815"/>
      <c r="H12" s="1815"/>
      <c r="I12" s="1815"/>
      <c r="J12" s="1816"/>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805" t="s">
        <v>1596</v>
      </c>
      <c r="B14" s="1796" t="s">
        <v>1597</v>
      </c>
      <c r="C14" s="1796"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807" t="s">
        <v>1558</v>
      </c>
      <c r="L14" s="93"/>
      <c r="M14" s="1810" t="s">
        <v>345</v>
      </c>
      <c r="N14" s="1811"/>
      <c r="O14" s="1811"/>
      <c r="Q14" s="1272">
        <v>1</v>
      </c>
      <c r="R14" s="129">
        <v>0</v>
      </c>
      <c r="S14" s="129">
        <v>1.4500000476837158</v>
      </c>
      <c r="T14" s="129">
        <v>0</v>
      </c>
    </row>
    <row r="15" spans="1:26" ht="15.75" x14ac:dyDescent="0.25">
      <c r="A15" s="1797"/>
      <c r="B15" s="1797"/>
      <c r="C15" s="1797"/>
      <c r="D15" s="1543" t="s">
        <v>596</v>
      </c>
      <c r="E15" s="1634">
        <f>IF(D15="Инженер ОК",ТрЗ_ОКиА!$K$28,IF(D15="Старший инженер ОК",ТрЗ_ОКиА!$L$28,IF(D15="Ведущий инженер ОК",ТрЗ_ОКиА!$M$28,"")))</f>
        <v>0.3</v>
      </c>
      <c r="F15" s="143"/>
      <c r="G15" s="143"/>
      <c r="H15" s="143"/>
      <c r="I15" s="144"/>
      <c r="J15" s="1637"/>
      <c r="K15" s="1808"/>
      <c r="M15" s="7" t="s">
        <v>87</v>
      </c>
      <c r="N15" s="7">
        <v>0</v>
      </c>
      <c r="O15" s="1812">
        <v>15</v>
      </c>
      <c r="Q15" s="1272">
        <v>2</v>
      </c>
      <c r="R15" s="129">
        <v>0</v>
      </c>
      <c r="S15" s="129">
        <v>0.25</v>
      </c>
      <c r="T15" s="129">
        <v>0</v>
      </c>
    </row>
    <row r="16" spans="1:26" ht="15" customHeight="1" x14ac:dyDescent="0.25">
      <c r="A16" s="1797"/>
      <c r="B16" s="1797"/>
      <c r="C16" s="1797"/>
      <c r="D16" s="1543" t="s">
        <v>597</v>
      </c>
      <c r="E16" s="1634">
        <f>IF(D16="Инженер ОК",ТрЗ_ОКиА!$K$28,IF(D16="Старший инженер ОК",ТрЗ_ОКиА!$L$28,IF(D16="Ведущий инженер ОК",ТрЗ_ОКиА!$M$28,"")))</f>
        <v>0.1</v>
      </c>
      <c r="F16" s="144"/>
      <c r="G16" s="144"/>
      <c r="H16" s="144"/>
      <c r="I16" s="144"/>
      <c r="J16" s="1637"/>
      <c r="K16" s="1808"/>
      <c r="M16" s="7" t="s">
        <v>567</v>
      </c>
      <c r="N16" s="7">
        <v>22</v>
      </c>
      <c r="O16" s="1812"/>
      <c r="Q16" s="1272"/>
    </row>
    <row r="17" spans="1:17" ht="15" customHeight="1" x14ac:dyDescent="0.25">
      <c r="A17" s="1797"/>
      <c r="B17" s="1797"/>
      <c r="C17" s="1797"/>
      <c r="D17" s="1543" t="s">
        <v>592</v>
      </c>
      <c r="E17" s="1634"/>
      <c r="F17" s="144"/>
      <c r="G17" s="144"/>
      <c r="H17" s="144"/>
      <c r="I17" s="144"/>
      <c r="J17" s="144"/>
      <c r="K17" s="1808"/>
      <c r="M17" s="7" t="s">
        <v>119</v>
      </c>
      <c r="N17" s="7">
        <v>0</v>
      </c>
      <c r="O17" s="1812"/>
      <c r="Q17" s="1272"/>
    </row>
    <row r="18" spans="1:17" ht="15" customHeight="1" x14ac:dyDescent="0.25">
      <c r="A18" s="1797"/>
      <c r="B18" s="1797"/>
      <c r="C18" s="1797"/>
      <c r="D18" s="1543" t="s">
        <v>592</v>
      </c>
      <c r="E18" s="1634"/>
      <c r="F18" s="144"/>
      <c r="G18" s="144"/>
      <c r="H18" s="144"/>
      <c r="I18" s="144"/>
      <c r="J18" s="144"/>
      <c r="K18" s="1808"/>
      <c r="M18" s="7"/>
      <c r="N18" s="7"/>
      <c r="O18" s="1622"/>
      <c r="Q18" s="1272"/>
    </row>
    <row r="19" spans="1:17" ht="15.75" x14ac:dyDescent="0.25">
      <c r="A19" s="1797"/>
      <c r="B19" s="1797"/>
      <c r="C19" s="1797"/>
      <c r="D19" s="1543" t="s">
        <v>593</v>
      </c>
      <c r="E19" s="1634"/>
      <c r="F19" s="144"/>
      <c r="G19" s="144"/>
      <c r="H19" s="144"/>
      <c r="I19" s="144"/>
      <c r="J19" s="144"/>
      <c r="K19" s="1808"/>
      <c r="M19" s="1813" t="s">
        <v>346</v>
      </c>
      <c r="N19" s="1813"/>
      <c r="O19" s="1813"/>
      <c r="Q19" s="1272"/>
    </row>
    <row r="20" spans="1:17" ht="15.75" x14ac:dyDescent="0.25">
      <c r="A20" s="1797"/>
      <c r="B20" s="1797"/>
      <c r="C20" s="1797"/>
      <c r="D20" s="1543" t="s">
        <v>593</v>
      </c>
      <c r="E20" s="1634"/>
      <c r="F20" s="144"/>
      <c r="G20" s="144"/>
      <c r="H20" s="144"/>
      <c r="I20" s="144"/>
      <c r="J20" s="144"/>
      <c r="K20" s="1808"/>
      <c r="M20" s="7" t="s">
        <v>87</v>
      </c>
      <c r="N20" s="7">
        <v>0</v>
      </c>
      <c r="O20" s="1812">
        <v>11</v>
      </c>
      <c r="Q20" s="1272"/>
    </row>
    <row r="21" spans="1:17" ht="15.75" x14ac:dyDescent="0.25">
      <c r="A21" s="1797"/>
      <c r="B21" s="1797"/>
      <c r="C21" s="1797"/>
      <c r="D21" s="1543" t="s">
        <v>594</v>
      </c>
      <c r="E21" s="1634"/>
      <c r="F21" s="144"/>
      <c r="G21" s="144"/>
      <c r="H21" s="144"/>
      <c r="I21" s="144"/>
      <c r="J21" s="144"/>
      <c r="K21" s="1808"/>
      <c r="M21" s="7"/>
      <c r="N21" s="7"/>
      <c r="O21" s="1812"/>
      <c r="Q21" s="1272"/>
    </row>
    <row r="22" spans="1:17" ht="15.75" x14ac:dyDescent="0.25">
      <c r="A22" s="1797"/>
      <c r="B22" s="1797"/>
      <c r="C22" s="1797"/>
      <c r="D22" s="1543" t="s">
        <v>594</v>
      </c>
      <c r="E22" s="1634"/>
      <c r="F22" s="144"/>
      <c r="G22" s="144"/>
      <c r="H22" s="144"/>
      <c r="I22" s="144"/>
      <c r="J22" s="144"/>
      <c r="K22" s="1808"/>
      <c r="M22" s="7" t="s">
        <v>567</v>
      </c>
      <c r="N22" s="7" t="s">
        <v>1225</v>
      </c>
      <c r="O22" s="1812"/>
      <c r="Q22" s="1272"/>
    </row>
    <row r="23" spans="1:17" ht="16.5" thickBot="1" x14ac:dyDescent="0.3">
      <c r="A23" s="1797"/>
      <c r="B23" s="1801" t="s">
        <v>1598</v>
      </c>
      <c r="C23" s="1801"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808"/>
      <c r="M23" s="7" t="s">
        <v>119</v>
      </c>
      <c r="N23" s="7">
        <v>0</v>
      </c>
      <c r="O23" s="1812"/>
      <c r="Q23" s="1272"/>
    </row>
    <row r="24" spans="1:17" ht="16.5" thickBot="1" x14ac:dyDescent="0.3">
      <c r="A24" s="1797"/>
      <c r="B24" s="1802"/>
      <c r="C24" s="1802"/>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808"/>
      <c r="M24" s="7"/>
      <c r="N24" s="7"/>
      <c r="O24" s="1812"/>
      <c r="Q24" s="1272"/>
    </row>
    <row r="25" spans="1:17" ht="16.5" thickBot="1" x14ac:dyDescent="0.3">
      <c r="A25" s="1797"/>
      <c r="B25" s="1802"/>
      <c r="C25" s="1802"/>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808"/>
      <c r="M25" s="7" t="s">
        <v>87</v>
      </c>
      <c r="N25" s="7">
        <v>0</v>
      </c>
      <c r="O25" s="1812"/>
      <c r="Q25" s="1272"/>
    </row>
    <row r="26" spans="1:17" ht="16.5" thickBot="1" x14ac:dyDescent="0.3">
      <c r="A26" s="1797"/>
      <c r="B26" s="1802"/>
      <c r="C26" s="1802"/>
      <c r="D26" s="1543" t="s">
        <v>592</v>
      </c>
      <c r="E26" s="1634"/>
      <c r="F26" s="144"/>
      <c r="G26" s="144"/>
      <c r="H26" s="144"/>
      <c r="I26" s="144"/>
      <c r="J26" s="144"/>
      <c r="K26" s="1808"/>
      <c r="M26" s="7" t="s">
        <v>567</v>
      </c>
      <c r="N26" s="7">
        <v>0</v>
      </c>
      <c r="O26" s="1812"/>
      <c r="Q26" s="1272"/>
    </row>
    <row r="27" spans="1:17" ht="16.5" thickBot="1" x14ac:dyDescent="0.3">
      <c r="A27" s="1797"/>
      <c r="B27" s="1802"/>
      <c r="C27" s="1802"/>
      <c r="D27" s="1543" t="s">
        <v>593</v>
      </c>
      <c r="E27" s="1634"/>
      <c r="F27" s="144"/>
      <c r="G27" s="144"/>
      <c r="H27" s="144"/>
      <c r="I27" s="144"/>
      <c r="J27" s="144"/>
      <c r="K27" s="1808"/>
      <c r="M27" s="7"/>
      <c r="N27" s="7"/>
      <c r="O27" s="1812"/>
      <c r="Q27" s="1272"/>
    </row>
    <row r="28" spans="1:17" ht="16.5" thickBot="1" x14ac:dyDescent="0.3">
      <c r="A28" s="1797"/>
      <c r="B28" s="1802"/>
      <c r="C28" s="1802"/>
      <c r="D28" s="1543" t="s">
        <v>594</v>
      </c>
      <c r="E28" s="1634"/>
      <c r="F28" s="144"/>
      <c r="G28" s="144"/>
      <c r="H28" s="144"/>
      <c r="I28" s="144"/>
      <c r="J28" s="144"/>
      <c r="K28" s="1808"/>
      <c r="M28" s="7" t="s">
        <v>119</v>
      </c>
      <c r="N28" s="7">
        <v>0</v>
      </c>
      <c r="O28" s="1812"/>
      <c r="Q28" s="1272"/>
    </row>
    <row r="29" spans="1:17" ht="15.75" x14ac:dyDescent="0.25">
      <c r="A29" s="1797"/>
      <c r="B29" s="1803"/>
      <c r="C29" s="1803"/>
      <c r="D29" s="1544" t="s">
        <v>1224</v>
      </c>
      <c r="E29" s="1634"/>
      <c r="F29" s="144"/>
      <c r="G29" s="144"/>
      <c r="H29" s="144"/>
      <c r="I29" s="144"/>
      <c r="J29" s="144"/>
      <c r="K29" s="1808"/>
      <c r="L29" s="1542" t="s">
        <v>1525</v>
      </c>
      <c r="M29" s="7"/>
      <c r="N29" s="7"/>
      <c r="O29" s="1812"/>
      <c r="Q29" s="1272"/>
    </row>
    <row r="30" spans="1:17" ht="16.5" thickBot="1" x14ac:dyDescent="0.3">
      <c r="A30" s="1797"/>
      <c r="B30" s="1801" t="s">
        <v>1600</v>
      </c>
      <c r="C30" s="1801"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808"/>
      <c r="M30" s="7" t="s">
        <v>119</v>
      </c>
      <c r="N30" s="7">
        <v>0</v>
      </c>
      <c r="O30" s="1812"/>
      <c r="Q30" s="1272"/>
    </row>
    <row r="31" spans="1:17" ht="16.5" thickBot="1" x14ac:dyDescent="0.3">
      <c r="A31" s="1797"/>
      <c r="B31" s="1802"/>
      <c r="C31" s="1802"/>
      <c r="D31" s="1543" t="s">
        <v>596</v>
      </c>
      <c r="E31" s="1634">
        <f>IF(D31="Инженер ОК",ТрЗ_ОКиА!$K$35,IF(D31="Старший инженер ОК",ТрЗ_ОКиА!$L$35,IF(D31="Ведущий инженер ОК",ТрЗ_ОКиА!$M$35,"")))</f>
        <v>3.2</v>
      </c>
      <c r="F31" s="144"/>
      <c r="G31" s="144"/>
      <c r="H31" s="144"/>
      <c r="I31" s="144"/>
      <c r="J31" s="144"/>
      <c r="K31" s="1808"/>
      <c r="M31" s="1813" t="s">
        <v>344</v>
      </c>
      <c r="N31" s="1811"/>
      <c r="O31" s="1811"/>
      <c r="Q31" s="1272"/>
    </row>
    <row r="32" spans="1:17" ht="16.5" thickBot="1" x14ac:dyDescent="0.3">
      <c r="A32" s="1797"/>
      <c r="B32" s="1802"/>
      <c r="C32" s="1802"/>
      <c r="D32" s="1545" t="s">
        <v>597</v>
      </c>
      <c r="E32" s="1634">
        <f>IF(D32="Инженер ОК",ТрЗ_ОКиА!$K$35,IF(D32="Старший инженер ОК",ТрЗ_ОКиА!$L$35,IF(D32="Ведущий инженер ОК",ТрЗ_ОКиА!$M$35,"")))</f>
        <v>0.8</v>
      </c>
      <c r="F32" s="144"/>
      <c r="G32" s="144"/>
      <c r="H32" s="144"/>
      <c r="I32" s="144"/>
      <c r="J32" s="144"/>
      <c r="K32" s="1808"/>
      <c r="M32" s="7" t="s">
        <v>87</v>
      </c>
      <c r="N32" s="7">
        <v>0</v>
      </c>
      <c r="O32" s="1812"/>
      <c r="Q32" s="1272"/>
    </row>
    <row r="33" spans="1:21" ht="16.5" thickBot="1" x14ac:dyDescent="0.3">
      <c r="A33" s="1797"/>
      <c r="B33" s="1802"/>
      <c r="C33" s="1802"/>
      <c r="D33" s="1543" t="s">
        <v>592</v>
      </c>
      <c r="E33" s="1634"/>
      <c r="F33" s="144"/>
      <c r="G33" s="144"/>
      <c r="H33" s="144"/>
      <c r="I33" s="144"/>
      <c r="J33" s="144"/>
      <c r="K33" s="1808"/>
      <c r="M33" s="7" t="s">
        <v>567</v>
      </c>
      <c r="N33" s="7">
        <v>0</v>
      </c>
      <c r="O33" s="1812"/>
      <c r="Q33" s="1272"/>
    </row>
    <row r="34" spans="1:21" ht="16.5" thickBot="1" x14ac:dyDescent="0.3">
      <c r="A34" s="1797"/>
      <c r="B34" s="1802"/>
      <c r="C34" s="1802"/>
      <c r="D34" s="1543" t="s">
        <v>593</v>
      </c>
      <c r="E34" s="1634"/>
      <c r="F34" s="144"/>
      <c r="G34" s="144"/>
      <c r="H34" s="144"/>
      <c r="I34" s="144"/>
      <c r="J34" s="144"/>
      <c r="K34" s="1808"/>
      <c r="M34" s="7"/>
      <c r="N34" s="7"/>
      <c r="O34" s="1812"/>
      <c r="Q34" s="1272"/>
    </row>
    <row r="35" spans="1:21" ht="16.5" thickBot="1" x14ac:dyDescent="0.3">
      <c r="A35" s="1797"/>
      <c r="B35" s="1802"/>
      <c r="C35" s="1802"/>
      <c r="D35" s="1543" t="s">
        <v>594</v>
      </c>
      <c r="E35" s="1634"/>
      <c r="F35" s="144"/>
      <c r="G35" s="144"/>
      <c r="H35" s="144"/>
      <c r="I35" s="144"/>
      <c r="J35" s="144"/>
      <c r="K35" s="1808"/>
      <c r="M35" s="7" t="s">
        <v>119</v>
      </c>
      <c r="N35" s="7">
        <v>0</v>
      </c>
      <c r="O35" s="1812"/>
      <c r="Q35" s="1272"/>
      <c r="R35" s="1272"/>
      <c r="S35" s="1272"/>
      <c r="T35" s="1272"/>
      <c r="U35" s="1272"/>
    </row>
    <row r="36" spans="1:21" ht="15.75" x14ac:dyDescent="0.25">
      <c r="A36" s="1797"/>
      <c r="B36" s="1803"/>
      <c r="C36" s="1803"/>
      <c r="D36" s="1544" t="s">
        <v>1224</v>
      </c>
      <c r="E36" s="1634"/>
      <c r="F36" s="144"/>
      <c r="G36" s="144"/>
      <c r="H36" s="144"/>
      <c r="I36" s="144"/>
      <c r="J36" s="144"/>
      <c r="K36" s="1808"/>
      <c r="L36" s="1542" t="s">
        <v>1525</v>
      </c>
      <c r="M36" s="7"/>
      <c r="N36" s="7"/>
      <c r="O36" s="1622"/>
      <c r="Q36" s="1272"/>
      <c r="R36" s="1272"/>
      <c r="S36" s="1272"/>
      <c r="T36" s="1272"/>
      <c r="U36" s="1272"/>
    </row>
    <row r="37" spans="1:21" ht="15.75" x14ac:dyDescent="0.25">
      <c r="A37" s="1797"/>
      <c r="B37" s="1549" t="s">
        <v>1521</v>
      </c>
      <c r="C37" s="1549"/>
      <c r="D37" s="1547" t="s">
        <v>623</v>
      </c>
      <c r="E37" s="1635">
        <f>SUM(E14:E36)*0.1</f>
        <v>1.9000000000000001</v>
      </c>
      <c r="F37" s="144"/>
      <c r="G37" s="144"/>
      <c r="H37" s="144"/>
      <c r="I37" s="144"/>
      <c r="J37" s="144"/>
      <c r="K37" s="1808"/>
      <c r="M37" s="1813" t="s">
        <v>273</v>
      </c>
      <c r="N37" s="1811"/>
      <c r="O37" s="1811"/>
      <c r="Q37" s="1272"/>
      <c r="R37" s="1272"/>
      <c r="S37" s="1272"/>
      <c r="T37" s="1272"/>
      <c r="U37" s="1272"/>
    </row>
    <row r="38" spans="1:21" ht="16.5" thickBot="1" x14ac:dyDescent="0.3">
      <c r="A38" s="1804"/>
      <c r="B38" s="1550" t="s">
        <v>1522</v>
      </c>
      <c r="C38" s="1550"/>
      <c r="D38" s="1547" t="s">
        <v>156</v>
      </c>
      <c r="E38" s="1635">
        <f>SUM(E14:E36)*0.2</f>
        <v>3.8000000000000003</v>
      </c>
      <c r="F38" s="144"/>
      <c r="G38" s="144"/>
      <c r="H38" s="144"/>
      <c r="I38" s="144"/>
      <c r="J38" s="144"/>
      <c r="K38" s="1809"/>
      <c r="M38" s="7" t="s">
        <v>87</v>
      </c>
      <c r="N38" s="7">
        <v>0</v>
      </c>
      <c r="O38" s="1812"/>
      <c r="Q38" s="1272"/>
      <c r="R38" s="1272"/>
      <c r="S38" s="1272"/>
      <c r="T38" s="1272"/>
      <c r="U38" s="1272"/>
    </row>
    <row r="39" spans="1:21" ht="15.6" customHeight="1" x14ac:dyDescent="0.25">
      <c r="A39" s="1805" t="s">
        <v>1601</v>
      </c>
      <c r="B39" s="1796" t="s">
        <v>1597</v>
      </c>
      <c r="C39" s="1796"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807" t="s">
        <v>1558</v>
      </c>
      <c r="L39" s="93"/>
      <c r="M39" s="7"/>
      <c r="N39" s="7"/>
      <c r="O39" s="1812"/>
      <c r="Q39" s="1272"/>
      <c r="R39" s="1272"/>
      <c r="S39" s="1272"/>
      <c r="T39" s="1272"/>
      <c r="U39" s="1272"/>
    </row>
    <row r="40" spans="1:21" ht="15.75" x14ac:dyDescent="0.25">
      <c r="A40" s="1797"/>
      <c r="B40" s="1797"/>
      <c r="C40" s="1797"/>
      <c r="D40" s="1543" t="s">
        <v>596</v>
      </c>
      <c r="E40" s="1634">
        <f>IF(D40="Инженер ОК",ТрЗ_ОКиА!$K$92,IF(D40="Старший инженер ОК",ТрЗ_ОКиА!$L$92,IF(D40="Ведущий инженер ОК",ТрЗ_ОКиА!$M$92,"")))</f>
        <v>0.3</v>
      </c>
      <c r="F40" s="143"/>
      <c r="G40" s="143"/>
      <c r="H40" s="143"/>
      <c r="I40" s="144"/>
      <c r="J40" s="143"/>
      <c r="K40" s="1808"/>
      <c r="M40" s="7" t="s">
        <v>87</v>
      </c>
      <c r="N40" s="7">
        <v>0</v>
      </c>
      <c r="O40" s="1812"/>
      <c r="Q40" s="1272"/>
      <c r="R40" s="1272"/>
      <c r="S40" s="1272"/>
      <c r="T40" s="1272"/>
      <c r="U40" s="1272"/>
    </row>
    <row r="41" spans="1:21" ht="15" customHeight="1" x14ac:dyDescent="0.25">
      <c r="A41" s="1797"/>
      <c r="B41" s="1797"/>
      <c r="C41" s="1797"/>
      <c r="D41" s="1543" t="s">
        <v>597</v>
      </c>
      <c r="E41" s="1634">
        <f>IF(D41="Инженер ОК",ТрЗ_ОКиА!$K$92,IF(D41="Старший инженер ОК",ТрЗ_ОКиА!$L$92,IF(D41="Ведущий инженер ОК",ТрЗ_ОКиА!$M$92,"")))</f>
        <v>0.1</v>
      </c>
      <c r="F41" s="144"/>
      <c r="G41" s="144"/>
      <c r="H41" s="144"/>
      <c r="I41" s="144"/>
      <c r="J41" s="144"/>
      <c r="K41" s="1808"/>
      <c r="M41" s="7" t="s">
        <v>567</v>
      </c>
      <c r="N41" s="7">
        <v>22</v>
      </c>
      <c r="O41" s="1812"/>
      <c r="Q41" s="1272"/>
      <c r="R41" s="1272"/>
      <c r="S41" s="1272"/>
      <c r="T41" s="1272"/>
      <c r="U41" s="1272"/>
    </row>
    <row r="42" spans="1:21" ht="15" customHeight="1" x14ac:dyDescent="0.25">
      <c r="A42" s="1797"/>
      <c r="B42" s="1797"/>
      <c r="C42" s="1797"/>
      <c r="D42" s="1543" t="s">
        <v>592</v>
      </c>
      <c r="E42" s="1634"/>
      <c r="F42" s="144"/>
      <c r="G42" s="144"/>
      <c r="H42" s="144"/>
      <c r="I42" s="144"/>
      <c r="J42" s="144"/>
      <c r="K42" s="1808"/>
      <c r="M42" s="7" t="s">
        <v>119</v>
      </c>
      <c r="N42" s="7">
        <v>0</v>
      </c>
      <c r="O42" s="1812"/>
      <c r="Q42" s="1272"/>
      <c r="R42" s="1272"/>
      <c r="S42" s="1272"/>
      <c r="T42" s="1272"/>
      <c r="U42" s="1272"/>
    </row>
    <row r="43" spans="1:21" ht="15" customHeight="1" x14ac:dyDescent="0.25">
      <c r="A43" s="1797"/>
      <c r="B43" s="1797"/>
      <c r="C43" s="1797"/>
      <c r="D43" s="1543" t="s">
        <v>592</v>
      </c>
      <c r="E43" s="1634"/>
      <c r="F43" s="144"/>
      <c r="G43" s="144"/>
      <c r="H43" s="144"/>
      <c r="I43" s="144"/>
      <c r="J43" s="144"/>
      <c r="K43" s="1808"/>
      <c r="M43" s="7"/>
      <c r="N43" s="7"/>
      <c r="O43" s="1812"/>
      <c r="Q43" s="1272"/>
      <c r="R43" s="1272"/>
      <c r="S43" s="1272"/>
      <c r="T43" s="1272"/>
      <c r="U43" s="1272"/>
    </row>
    <row r="44" spans="1:21" ht="15.75" x14ac:dyDescent="0.25">
      <c r="A44" s="1797"/>
      <c r="B44" s="1797"/>
      <c r="C44" s="1797"/>
      <c r="D44" s="1543" t="s">
        <v>593</v>
      </c>
      <c r="E44" s="1634"/>
      <c r="F44" s="144"/>
      <c r="G44" s="144"/>
      <c r="H44" s="144"/>
      <c r="I44" s="144"/>
      <c r="J44" s="144"/>
      <c r="K44" s="1808"/>
      <c r="M44" s="7"/>
      <c r="N44" s="7"/>
      <c r="O44" s="1812"/>
      <c r="Q44" s="1272"/>
    </row>
    <row r="45" spans="1:21" ht="15.75" x14ac:dyDescent="0.25">
      <c r="A45" s="1797"/>
      <c r="B45" s="1797"/>
      <c r="C45" s="1797"/>
      <c r="D45" s="1543" t="s">
        <v>593</v>
      </c>
      <c r="E45" s="1634"/>
      <c r="F45" s="144"/>
      <c r="G45" s="144"/>
      <c r="H45" s="144"/>
      <c r="I45" s="144"/>
      <c r="J45" s="144"/>
      <c r="K45" s="1808"/>
      <c r="M45" s="7" t="s">
        <v>87</v>
      </c>
      <c r="N45" s="7">
        <v>0</v>
      </c>
      <c r="O45" s="1812"/>
      <c r="Q45" s="1272"/>
    </row>
    <row r="46" spans="1:21" ht="15.75" x14ac:dyDescent="0.25">
      <c r="A46" s="1797"/>
      <c r="B46" s="1797"/>
      <c r="C46" s="1797"/>
      <c r="D46" s="1543" t="s">
        <v>594</v>
      </c>
      <c r="E46" s="1634"/>
      <c r="F46" s="144"/>
      <c r="G46" s="144"/>
      <c r="H46" s="144"/>
      <c r="I46" s="144"/>
      <c r="J46" s="144"/>
      <c r="K46" s="1808"/>
      <c r="M46" s="7"/>
      <c r="N46" s="7"/>
      <c r="O46" s="1812"/>
      <c r="Q46" s="1272"/>
    </row>
    <row r="47" spans="1:21" ht="15.75" x14ac:dyDescent="0.25">
      <c r="A47" s="1797"/>
      <c r="B47" s="1797"/>
      <c r="C47" s="1797"/>
      <c r="D47" s="1543" t="s">
        <v>594</v>
      </c>
      <c r="E47" s="1634"/>
      <c r="F47" s="144"/>
      <c r="G47" s="144"/>
      <c r="H47" s="144"/>
      <c r="I47" s="144"/>
      <c r="J47" s="144"/>
      <c r="K47" s="1808"/>
      <c r="M47" s="7" t="s">
        <v>567</v>
      </c>
      <c r="N47" s="7" t="s">
        <v>1225</v>
      </c>
      <c r="O47" s="1812"/>
      <c r="Q47" s="1272"/>
    </row>
    <row r="48" spans="1:21" ht="16.5" customHeight="1" thickBot="1" x14ac:dyDescent="0.3">
      <c r="A48" s="1797"/>
      <c r="B48" s="1801" t="s">
        <v>1598</v>
      </c>
      <c r="C48" s="1801"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808"/>
      <c r="M48" s="7" t="s">
        <v>119</v>
      </c>
      <c r="N48" s="7">
        <v>0</v>
      </c>
      <c r="O48" s="1812"/>
      <c r="Q48" s="1272"/>
    </row>
    <row r="49" spans="1:21" ht="16.5" thickBot="1" x14ac:dyDescent="0.3">
      <c r="A49" s="1797"/>
      <c r="B49" s="1802"/>
      <c r="C49" s="1802"/>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808"/>
      <c r="M49" s="7"/>
      <c r="N49" s="7"/>
      <c r="O49" s="1812"/>
      <c r="Q49" s="1272"/>
    </row>
    <row r="50" spans="1:21" ht="16.5" thickBot="1" x14ac:dyDescent="0.3">
      <c r="A50" s="1797"/>
      <c r="B50" s="1802"/>
      <c r="C50" s="1802"/>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808"/>
      <c r="M50" s="7" t="s">
        <v>87</v>
      </c>
      <c r="N50" s="7">
        <v>0</v>
      </c>
      <c r="O50" s="1812"/>
      <c r="Q50" s="1272"/>
    </row>
    <row r="51" spans="1:21" ht="16.5" thickBot="1" x14ac:dyDescent="0.3">
      <c r="A51" s="1797"/>
      <c r="B51" s="1802"/>
      <c r="C51" s="1802"/>
      <c r="D51" s="1543" t="s">
        <v>592</v>
      </c>
      <c r="E51" s="1634"/>
      <c r="F51" s="144"/>
      <c r="G51" s="144"/>
      <c r="H51" s="144"/>
      <c r="I51" s="144"/>
      <c r="J51" s="144"/>
      <c r="K51" s="1808"/>
      <c r="M51" s="7" t="s">
        <v>567</v>
      </c>
      <c r="N51" s="7">
        <v>0</v>
      </c>
      <c r="O51" s="1812"/>
      <c r="Q51" s="1272"/>
    </row>
    <row r="52" spans="1:21" ht="16.5" thickBot="1" x14ac:dyDescent="0.3">
      <c r="A52" s="1797"/>
      <c r="B52" s="1802"/>
      <c r="C52" s="1802"/>
      <c r="D52" s="1543" t="s">
        <v>593</v>
      </c>
      <c r="E52" s="1634"/>
      <c r="F52" s="144"/>
      <c r="G52" s="144"/>
      <c r="H52" s="144"/>
      <c r="I52" s="144"/>
      <c r="J52" s="144"/>
      <c r="K52" s="1808"/>
      <c r="M52" s="7"/>
      <c r="N52" s="7"/>
      <c r="O52" s="1812"/>
      <c r="Q52" s="1272"/>
    </row>
    <row r="53" spans="1:21" ht="16.5" thickBot="1" x14ac:dyDescent="0.3">
      <c r="A53" s="1797"/>
      <c r="B53" s="1802"/>
      <c r="C53" s="1802"/>
      <c r="D53" s="1543" t="s">
        <v>594</v>
      </c>
      <c r="E53" s="1634"/>
      <c r="F53" s="144"/>
      <c r="G53" s="144"/>
      <c r="H53" s="144"/>
      <c r="I53" s="144"/>
      <c r="J53" s="144"/>
      <c r="K53" s="1808"/>
      <c r="M53" s="7" t="s">
        <v>119</v>
      </c>
      <c r="N53" s="7">
        <v>0</v>
      </c>
      <c r="O53" s="1812"/>
      <c r="Q53" s="1272"/>
    </row>
    <row r="54" spans="1:21" ht="15.75" x14ac:dyDescent="0.25">
      <c r="A54" s="1797"/>
      <c r="B54" s="1803"/>
      <c r="C54" s="1803"/>
      <c r="D54" s="1544" t="s">
        <v>1224</v>
      </c>
      <c r="E54" s="1634"/>
      <c r="F54" s="144"/>
      <c r="G54" s="144"/>
      <c r="H54" s="144"/>
      <c r="I54" s="144"/>
      <c r="J54" s="144"/>
      <c r="K54" s="1808"/>
      <c r="L54" s="1542" t="s">
        <v>1525</v>
      </c>
      <c r="M54" s="7"/>
      <c r="N54" s="7"/>
      <c r="O54" s="1812"/>
      <c r="Q54" s="1272"/>
    </row>
    <row r="55" spans="1:21" ht="16.5" customHeight="1" thickBot="1" x14ac:dyDescent="0.3">
      <c r="A55" s="1797"/>
      <c r="B55" s="1801" t="s">
        <v>1600</v>
      </c>
      <c r="C55" s="1801"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808"/>
      <c r="M55" s="7" t="s">
        <v>119</v>
      </c>
      <c r="N55" s="7">
        <v>0</v>
      </c>
      <c r="O55" s="1812"/>
      <c r="Q55" s="1272"/>
    </row>
    <row r="56" spans="1:21" ht="16.5" thickBot="1" x14ac:dyDescent="0.3">
      <c r="A56" s="1797"/>
      <c r="B56" s="1802"/>
      <c r="C56" s="1802"/>
      <c r="D56" s="1543" t="s">
        <v>596</v>
      </c>
      <c r="E56" s="1634">
        <f>IF(D56="Инженер ОК",ТрЗ_ОКиА!$K$101,IF(D56="Старший инженер ОК",ТрЗ_ОКиА!$L$101,IF(D56="Ведущий инженер ОК",ТрЗ_ОКиА!$M$101,"")))</f>
        <v>2.52</v>
      </c>
      <c r="F56" s="144"/>
      <c r="G56" s="144"/>
      <c r="H56" s="144"/>
      <c r="I56" s="144"/>
      <c r="J56" s="144"/>
      <c r="K56" s="1808"/>
      <c r="M56" s="7"/>
      <c r="N56" s="7"/>
      <c r="O56" s="1812"/>
      <c r="Q56" s="1272"/>
    </row>
    <row r="57" spans="1:21" ht="16.5" thickBot="1" x14ac:dyDescent="0.3">
      <c r="A57" s="1797"/>
      <c r="B57" s="1802"/>
      <c r="C57" s="1802"/>
      <c r="D57" s="1545" t="s">
        <v>597</v>
      </c>
      <c r="E57" s="1634">
        <f>IF(D57="Инженер ОК",ТрЗ_ОКиА!$K$101,IF(D57="Старший инженер ОК",ТрЗ_ОКиА!$L$101,IF(D57="Ведущий инженер ОК",ТрЗ_ОКиА!$M$101,"")))</f>
        <v>0.63</v>
      </c>
      <c r="F57" s="144"/>
      <c r="G57" s="144"/>
      <c r="H57" s="144"/>
      <c r="I57" s="144"/>
      <c r="J57" s="144"/>
      <c r="K57" s="1808"/>
      <c r="M57" s="7" t="s">
        <v>87</v>
      </c>
      <c r="N57" s="7">
        <v>0</v>
      </c>
      <c r="O57" s="1812"/>
      <c r="Q57" s="1272"/>
    </row>
    <row r="58" spans="1:21" ht="16.5" thickBot="1" x14ac:dyDescent="0.3">
      <c r="A58" s="1797"/>
      <c r="B58" s="1802"/>
      <c r="C58" s="1802"/>
      <c r="D58" s="1543" t="s">
        <v>592</v>
      </c>
      <c r="E58" s="1634"/>
      <c r="F58" s="144"/>
      <c r="G58" s="144"/>
      <c r="H58" s="144"/>
      <c r="I58" s="144"/>
      <c r="J58" s="144"/>
      <c r="K58" s="1808"/>
      <c r="M58" s="7" t="s">
        <v>567</v>
      </c>
      <c r="N58" s="7">
        <v>0</v>
      </c>
      <c r="O58" s="1812"/>
      <c r="Q58" s="1272"/>
    </row>
    <row r="59" spans="1:21" ht="16.5" thickBot="1" x14ac:dyDescent="0.3">
      <c r="A59" s="1797"/>
      <c r="B59" s="1802"/>
      <c r="C59" s="1802"/>
      <c r="D59" s="1543" t="s">
        <v>593</v>
      </c>
      <c r="E59" s="1634"/>
      <c r="F59" s="144"/>
      <c r="G59" s="144"/>
      <c r="H59" s="144"/>
      <c r="I59" s="144"/>
      <c r="J59" s="144"/>
      <c r="K59" s="1808"/>
      <c r="M59" s="7"/>
      <c r="N59" s="7"/>
      <c r="O59" s="1812"/>
      <c r="Q59" s="1272"/>
    </row>
    <row r="60" spans="1:21" ht="16.5" thickBot="1" x14ac:dyDescent="0.3">
      <c r="A60" s="1797"/>
      <c r="B60" s="1802"/>
      <c r="C60" s="1802"/>
      <c r="D60" s="1543" t="s">
        <v>594</v>
      </c>
      <c r="E60" s="1634"/>
      <c r="F60" s="144"/>
      <c r="G60" s="144"/>
      <c r="H60" s="144"/>
      <c r="I60" s="144"/>
      <c r="J60" s="144"/>
      <c r="K60" s="1808"/>
      <c r="M60" s="7" t="s">
        <v>119</v>
      </c>
      <c r="N60" s="7">
        <v>0</v>
      </c>
      <c r="O60" s="1812"/>
      <c r="Q60" s="1272"/>
    </row>
    <row r="61" spans="1:21" ht="15.75" x14ac:dyDescent="0.25">
      <c r="A61" s="1797"/>
      <c r="B61" s="1803"/>
      <c r="C61" s="1803"/>
      <c r="D61" s="1544" t="s">
        <v>1224</v>
      </c>
      <c r="E61" s="1634"/>
      <c r="F61" s="144"/>
      <c r="G61" s="144"/>
      <c r="H61" s="144"/>
      <c r="I61" s="144"/>
      <c r="J61" s="144"/>
      <c r="K61" s="1808"/>
      <c r="L61" s="1542" t="s">
        <v>1525</v>
      </c>
      <c r="M61" s="7"/>
      <c r="N61" s="7"/>
      <c r="O61" s="1812"/>
      <c r="Q61" s="1272"/>
    </row>
    <row r="62" spans="1:21" ht="15.75" x14ac:dyDescent="0.25">
      <c r="A62" s="1797"/>
      <c r="B62" s="1549" t="s">
        <v>1521</v>
      </c>
      <c r="C62" s="1549"/>
      <c r="D62" s="1547" t="s">
        <v>623</v>
      </c>
      <c r="E62" s="1635">
        <f>SUM(E39:E61)*0.1</f>
        <v>1.5300000000000002</v>
      </c>
      <c r="F62" s="144"/>
      <c r="G62" s="144"/>
      <c r="H62" s="144"/>
      <c r="I62" s="144"/>
      <c r="J62" s="144"/>
      <c r="K62" s="1808"/>
      <c r="M62" s="7"/>
      <c r="N62" s="7"/>
      <c r="O62" s="1812"/>
      <c r="Q62" s="1272"/>
    </row>
    <row r="63" spans="1:21" ht="16.5" thickBot="1" x14ac:dyDescent="0.3">
      <c r="A63" s="1804"/>
      <c r="B63" s="1550" t="s">
        <v>1522</v>
      </c>
      <c r="C63" s="1550"/>
      <c r="D63" s="1547" t="s">
        <v>156</v>
      </c>
      <c r="E63" s="1635">
        <f>SUM(E39:E61)*0.2</f>
        <v>3.0600000000000005</v>
      </c>
      <c r="F63" s="144"/>
      <c r="G63" s="144"/>
      <c r="H63" s="144"/>
      <c r="I63" s="144"/>
      <c r="J63" s="144"/>
      <c r="K63" s="1809"/>
      <c r="M63" s="7" t="s">
        <v>87</v>
      </c>
      <c r="N63" s="7">
        <v>0</v>
      </c>
      <c r="O63" s="1812"/>
      <c r="Q63" s="1272"/>
    </row>
    <row r="64" spans="1:21" ht="15.6" customHeight="1" x14ac:dyDescent="0.25">
      <c r="A64" s="1805" t="s">
        <v>1602</v>
      </c>
      <c r="B64" s="1796" t="s">
        <v>1597</v>
      </c>
      <c r="C64" s="1796"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807" t="s">
        <v>1558</v>
      </c>
      <c r="L64" s="93"/>
      <c r="M64" s="7"/>
      <c r="N64" s="7"/>
      <c r="O64" s="1812"/>
      <c r="Q64" s="1272"/>
      <c r="R64" s="1272"/>
      <c r="S64" s="1272"/>
      <c r="T64" s="1272"/>
      <c r="U64" s="1272"/>
    </row>
    <row r="65" spans="1:21" ht="15.75" x14ac:dyDescent="0.25">
      <c r="A65" s="1797"/>
      <c r="B65" s="1797"/>
      <c r="C65" s="1797"/>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808"/>
      <c r="M65" s="7" t="s">
        <v>87</v>
      </c>
      <c r="N65" s="7">
        <v>0</v>
      </c>
      <c r="O65" s="1812"/>
      <c r="Q65" s="1272"/>
      <c r="R65" s="1272"/>
      <c r="S65" s="1272"/>
      <c r="T65" s="1272"/>
      <c r="U65" s="1272"/>
    </row>
    <row r="66" spans="1:21" ht="15" customHeight="1" x14ac:dyDescent="0.25">
      <c r="A66" s="1797"/>
      <c r="B66" s="1797"/>
      <c r="C66" s="1797"/>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808"/>
      <c r="M66" s="7" t="s">
        <v>567</v>
      </c>
      <c r="N66" s="7">
        <v>22</v>
      </c>
      <c r="O66" s="1812"/>
      <c r="Q66" s="1272"/>
      <c r="R66" s="1272"/>
      <c r="S66" s="1272"/>
      <c r="T66" s="1272"/>
      <c r="U66" s="1272"/>
    </row>
    <row r="67" spans="1:21" ht="15" customHeight="1" x14ac:dyDescent="0.25">
      <c r="A67" s="1797"/>
      <c r="B67" s="1797"/>
      <c r="C67" s="1797"/>
      <c r="D67" s="1543" t="s">
        <v>592</v>
      </c>
      <c r="E67" s="1634"/>
      <c r="F67" s="144"/>
      <c r="G67" s="144"/>
      <c r="H67" s="144"/>
      <c r="I67" s="144"/>
      <c r="J67" s="144"/>
      <c r="K67" s="1808"/>
      <c r="M67" s="7" t="s">
        <v>119</v>
      </c>
      <c r="N67" s="7">
        <v>0</v>
      </c>
      <c r="O67" s="1812"/>
      <c r="Q67" s="1272"/>
      <c r="R67" s="1272"/>
      <c r="S67" s="1272"/>
      <c r="T67" s="1272"/>
      <c r="U67" s="1272"/>
    </row>
    <row r="68" spans="1:21" ht="15" customHeight="1" x14ac:dyDescent="0.25">
      <c r="A68" s="1797"/>
      <c r="B68" s="1797"/>
      <c r="C68" s="1797"/>
      <c r="D68" s="1543" t="s">
        <v>592</v>
      </c>
      <c r="E68" s="1634"/>
      <c r="F68" s="144"/>
      <c r="G68" s="144"/>
      <c r="H68" s="144"/>
      <c r="I68" s="144"/>
      <c r="J68" s="144"/>
      <c r="K68" s="1808"/>
      <c r="M68" s="7"/>
      <c r="N68" s="7"/>
      <c r="O68" s="1812"/>
      <c r="Q68" s="1272"/>
      <c r="R68" s="1272"/>
      <c r="S68" s="1272"/>
      <c r="T68" s="1272"/>
      <c r="U68" s="1272"/>
    </row>
    <row r="69" spans="1:21" ht="15.75" x14ac:dyDescent="0.25">
      <c r="A69" s="1797"/>
      <c r="B69" s="1797"/>
      <c r="C69" s="1797"/>
      <c r="D69" s="1543" t="s">
        <v>593</v>
      </c>
      <c r="E69" s="1634"/>
      <c r="F69" s="144"/>
      <c r="G69" s="144"/>
      <c r="H69" s="144"/>
      <c r="I69" s="144"/>
      <c r="J69" s="144"/>
      <c r="K69" s="1808"/>
      <c r="M69" s="7"/>
      <c r="N69" s="7"/>
      <c r="O69" s="1812"/>
      <c r="Q69" s="1272"/>
    </row>
    <row r="70" spans="1:21" ht="15.75" x14ac:dyDescent="0.25">
      <c r="A70" s="1797"/>
      <c r="B70" s="1797"/>
      <c r="C70" s="1797"/>
      <c r="D70" s="1543" t="s">
        <v>593</v>
      </c>
      <c r="E70" s="1634"/>
      <c r="F70" s="144"/>
      <c r="G70" s="144"/>
      <c r="H70" s="144"/>
      <c r="I70" s="144"/>
      <c r="J70" s="144"/>
      <c r="K70" s="1808"/>
      <c r="M70" s="7" t="s">
        <v>87</v>
      </c>
      <c r="N70" s="7">
        <v>0</v>
      </c>
      <c r="O70" s="1812"/>
      <c r="Q70" s="1272"/>
    </row>
    <row r="71" spans="1:21" ht="15.75" x14ac:dyDescent="0.25">
      <c r="A71" s="1797"/>
      <c r="B71" s="1797"/>
      <c r="C71" s="1797"/>
      <c r="D71" s="1543" t="s">
        <v>594</v>
      </c>
      <c r="E71" s="1634"/>
      <c r="F71" s="144"/>
      <c r="G71" s="144"/>
      <c r="H71" s="144"/>
      <c r="I71" s="144"/>
      <c r="J71" s="144"/>
      <c r="K71" s="1808"/>
      <c r="M71" s="7"/>
      <c r="N71" s="7"/>
      <c r="O71" s="1812"/>
      <c r="Q71" s="1272"/>
    </row>
    <row r="72" spans="1:21" ht="15.75" x14ac:dyDescent="0.25">
      <c r="A72" s="1797"/>
      <c r="B72" s="1797"/>
      <c r="C72" s="1797"/>
      <c r="D72" s="1543" t="s">
        <v>594</v>
      </c>
      <c r="E72" s="1634"/>
      <c r="F72" s="144"/>
      <c r="G72" s="144"/>
      <c r="H72" s="144"/>
      <c r="I72" s="144"/>
      <c r="J72" s="144"/>
      <c r="K72" s="1808"/>
      <c r="M72" s="7" t="s">
        <v>567</v>
      </c>
      <c r="N72" s="7" t="s">
        <v>1225</v>
      </c>
      <c r="O72" s="1812"/>
      <c r="Q72" s="1272"/>
    </row>
    <row r="73" spans="1:21" ht="16.5" customHeight="1" thickBot="1" x14ac:dyDescent="0.3">
      <c r="A73" s="1797"/>
      <c r="B73" s="1801" t="s">
        <v>1598</v>
      </c>
      <c r="C73" s="1801"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808"/>
      <c r="M73" s="7" t="s">
        <v>119</v>
      </c>
      <c r="N73" s="7">
        <v>0</v>
      </c>
      <c r="O73" s="1812"/>
      <c r="Q73" s="1272"/>
    </row>
    <row r="74" spans="1:21" ht="16.5" thickBot="1" x14ac:dyDescent="0.3">
      <c r="A74" s="1797"/>
      <c r="B74" s="1802"/>
      <c r="C74" s="1802"/>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808"/>
      <c r="M74" s="7"/>
      <c r="N74" s="7"/>
      <c r="O74" s="1812"/>
      <c r="Q74" s="1272"/>
    </row>
    <row r="75" spans="1:21" ht="16.5" thickBot="1" x14ac:dyDescent="0.3">
      <c r="A75" s="1797"/>
      <c r="B75" s="1802"/>
      <c r="C75" s="1802"/>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808"/>
      <c r="M75" s="7" t="s">
        <v>87</v>
      </c>
      <c r="N75" s="7">
        <v>0</v>
      </c>
      <c r="O75" s="1812"/>
      <c r="Q75" s="1272"/>
    </row>
    <row r="76" spans="1:21" ht="16.5" thickBot="1" x14ac:dyDescent="0.3">
      <c r="A76" s="1797"/>
      <c r="B76" s="1802"/>
      <c r="C76" s="1802"/>
      <c r="D76" s="1543" t="s">
        <v>592</v>
      </c>
      <c r="E76" s="1636"/>
      <c r="F76" s="144"/>
      <c r="G76" s="144"/>
      <c r="H76" s="144"/>
      <c r="I76" s="144"/>
      <c r="J76" s="144"/>
      <c r="K76" s="1808"/>
      <c r="M76" s="7" t="s">
        <v>567</v>
      </c>
      <c r="N76" s="7">
        <v>0</v>
      </c>
      <c r="O76" s="1812"/>
      <c r="Q76" s="1272"/>
    </row>
    <row r="77" spans="1:21" ht="16.5" thickBot="1" x14ac:dyDescent="0.3">
      <c r="A77" s="1797"/>
      <c r="B77" s="1802"/>
      <c r="C77" s="1802"/>
      <c r="D77" s="1543" t="s">
        <v>593</v>
      </c>
      <c r="E77" s="1636"/>
      <c r="F77" s="144"/>
      <c r="G77" s="144"/>
      <c r="H77" s="144"/>
      <c r="I77" s="144"/>
      <c r="J77" s="144"/>
      <c r="K77" s="1808"/>
      <c r="M77" s="7"/>
      <c r="N77" s="7"/>
      <c r="O77" s="1812"/>
      <c r="Q77" s="1272"/>
    </row>
    <row r="78" spans="1:21" ht="16.5" thickBot="1" x14ac:dyDescent="0.3">
      <c r="A78" s="1797"/>
      <c r="B78" s="1802"/>
      <c r="C78" s="1802"/>
      <c r="D78" s="1543" t="s">
        <v>594</v>
      </c>
      <c r="E78" s="1636"/>
      <c r="F78" s="144"/>
      <c r="G78" s="144"/>
      <c r="H78" s="144"/>
      <c r="I78" s="144"/>
      <c r="J78" s="144"/>
      <c r="K78" s="1808"/>
      <c r="M78" s="7" t="s">
        <v>119</v>
      </c>
      <c r="N78" s="7">
        <v>0</v>
      </c>
      <c r="O78" s="1812"/>
      <c r="Q78" s="1272"/>
    </row>
    <row r="79" spans="1:21" ht="15.75" x14ac:dyDescent="0.25">
      <c r="A79" s="1797"/>
      <c r="B79" s="1803"/>
      <c r="C79" s="1803"/>
      <c r="D79" s="1544" t="s">
        <v>1224</v>
      </c>
      <c r="E79" s="1634"/>
      <c r="F79" s="144"/>
      <c r="G79" s="144"/>
      <c r="H79" s="144"/>
      <c r="I79" s="144"/>
      <c r="J79" s="144"/>
      <c r="K79" s="1808"/>
      <c r="L79" s="1542" t="s">
        <v>1525</v>
      </c>
      <c r="M79" s="7"/>
      <c r="N79" s="7"/>
      <c r="O79" s="1812"/>
      <c r="Q79" s="1272"/>
    </row>
    <row r="80" spans="1:21" ht="16.5" customHeight="1" thickBot="1" x14ac:dyDescent="0.3">
      <c r="A80" s="1797"/>
      <c r="B80" s="1801" t="s">
        <v>1600</v>
      </c>
      <c r="C80" s="1801"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808"/>
      <c r="M80" s="7" t="s">
        <v>119</v>
      </c>
      <c r="N80" s="7">
        <v>0</v>
      </c>
      <c r="O80" s="1812"/>
      <c r="Q80" s="1272"/>
    </row>
    <row r="81" spans="1:21" ht="16.5" thickBot="1" x14ac:dyDescent="0.3">
      <c r="A81" s="1797"/>
      <c r="B81" s="1802"/>
      <c r="C81" s="1802"/>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808"/>
      <c r="M81" s="7"/>
      <c r="N81" s="7"/>
      <c r="O81" s="1812"/>
      <c r="Q81" s="1272"/>
    </row>
    <row r="82" spans="1:21" ht="16.5" thickBot="1" x14ac:dyDescent="0.3">
      <c r="A82" s="1797"/>
      <c r="B82" s="1802"/>
      <c r="C82" s="1802"/>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808"/>
      <c r="M82" s="7" t="s">
        <v>87</v>
      </c>
      <c r="N82" s="7">
        <v>0</v>
      </c>
      <c r="O82" s="1812"/>
      <c r="Q82" s="1272"/>
    </row>
    <row r="83" spans="1:21" ht="16.5" thickBot="1" x14ac:dyDescent="0.3">
      <c r="A83" s="1797"/>
      <c r="B83" s="1802"/>
      <c r="C83" s="1802"/>
      <c r="D83" s="1543" t="s">
        <v>592</v>
      </c>
      <c r="E83" s="1634"/>
      <c r="F83" s="144"/>
      <c r="G83" s="144"/>
      <c r="H83" s="144"/>
      <c r="I83" s="144"/>
      <c r="J83" s="144"/>
      <c r="K83" s="1808"/>
      <c r="M83" s="7" t="s">
        <v>567</v>
      </c>
      <c r="N83" s="7">
        <v>0</v>
      </c>
      <c r="O83" s="1812"/>
      <c r="Q83" s="1272"/>
    </row>
    <row r="84" spans="1:21" ht="16.5" thickBot="1" x14ac:dyDescent="0.3">
      <c r="A84" s="1797"/>
      <c r="B84" s="1802"/>
      <c r="C84" s="1802"/>
      <c r="D84" s="1543" t="s">
        <v>593</v>
      </c>
      <c r="E84" s="1634"/>
      <c r="F84" s="144"/>
      <c r="G84" s="144"/>
      <c r="H84" s="144"/>
      <c r="I84" s="144"/>
      <c r="J84" s="144"/>
      <c r="K84" s="1808"/>
      <c r="M84" s="7"/>
      <c r="N84" s="7"/>
      <c r="O84" s="1812"/>
      <c r="Q84" s="1272"/>
    </row>
    <row r="85" spans="1:21" ht="16.5" thickBot="1" x14ac:dyDescent="0.3">
      <c r="A85" s="1797"/>
      <c r="B85" s="1802"/>
      <c r="C85" s="1802"/>
      <c r="D85" s="1543" t="s">
        <v>594</v>
      </c>
      <c r="E85" s="1634"/>
      <c r="F85" s="144"/>
      <c r="G85" s="144"/>
      <c r="H85" s="144"/>
      <c r="I85" s="144"/>
      <c r="J85" s="144"/>
      <c r="K85" s="1808"/>
      <c r="M85" s="7" t="s">
        <v>119</v>
      </c>
      <c r="N85" s="7">
        <v>0</v>
      </c>
      <c r="O85" s="1812"/>
      <c r="Q85" s="1272"/>
    </row>
    <row r="86" spans="1:21" ht="15.75" x14ac:dyDescent="0.25">
      <c r="A86" s="1797"/>
      <c r="B86" s="1803"/>
      <c r="C86" s="1803"/>
      <c r="D86" s="1544" t="s">
        <v>1224</v>
      </c>
      <c r="E86" s="1634"/>
      <c r="F86" s="144"/>
      <c r="G86" s="144"/>
      <c r="H86" s="144"/>
      <c r="I86" s="144"/>
      <c r="J86" s="144"/>
      <c r="K86" s="1808"/>
      <c r="L86" s="1542" t="s">
        <v>1525</v>
      </c>
      <c r="M86" s="7"/>
      <c r="N86" s="7"/>
      <c r="O86" s="1812"/>
      <c r="Q86" s="1272"/>
    </row>
    <row r="87" spans="1:21" ht="15.75" x14ac:dyDescent="0.25">
      <c r="A87" s="1797"/>
      <c r="B87" s="1549" t="s">
        <v>1521</v>
      </c>
      <c r="C87" s="1549"/>
      <c r="D87" s="1547" t="s">
        <v>623</v>
      </c>
      <c r="E87" s="1635">
        <f>SUM(E64:E86)*0.1</f>
        <v>1.7637500000000004</v>
      </c>
      <c r="F87" s="144"/>
      <c r="G87" s="144"/>
      <c r="H87" s="144"/>
      <c r="I87" s="144"/>
      <c r="J87" s="144"/>
      <c r="K87" s="1808"/>
      <c r="M87" s="7"/>
      <c r="N87" s="7"/>
      <c r="O87" s="1812"/>
      <c r="Q87" s="1272"/>
    </row>
    <row r="88" spans="1:21" ht="16.5" thickBot="1" x14ac:dyDescent="0.3">
      <c r="A88" s="1804"/>
      <c r="B88" s="1550" t="s">
        <v>1522</v>
      </c>
      <c r="C88" s="1550"/>
      <c r="D88" s="1547" t="s">
        <v>156</v>
      </c>
      <c r="E88" s="1635">
        <f>SUM(E64:E86)*0.2</f>
        <v>3.5275000000000007</v>
      </c>
      <c r="F88" s="144"/>
      <c r="G88" s="144"/>
      <c r="H88" s="144"/>
      <c r="I88" s="144"/>
      <c r="J88" s="144"/>
      <c r="K88" s="1809"/>
      <c r="M88" s="7" t="s">
        <v>87</v>
      </c>
      <c r="N88" s="7">
        <v>0</v>
      </c>
      <c r="O88" s="1812"/>
      <c r="Q88" s="1272"/>
    </row>
    <row r="89" spans="1:21" ht="15.6" customHeight="1" x14ac:dyDescent="0.25">
      <c r="A89" s="1805" t="s">
        <v>1603</v>
      </c>
      <c r="B89" s="1796" t="s">
        <v>1597</v>
      </c>
      <c r="C89" s="1796"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807" t="s">
        <v>1558</v>
      </c>
      <c r="L89" s="93"/>
      <c r="M89" s="7"/>
      <c r="N89" s="7"/>
      <c r="O89" s="1812"/>
      <c r="Q89" s="1272"/>
      <c r="R89" s="1272"/>
      <c r="S89" s="1272"/>
      <c r="T89" s="1272"/>
      <c r="U89" s="1272"/>
    </row>
    <row r="90" spans="1:21" ht="15.75" x14ac:dyDescent="0.25">
      <c r="A90" s="1797"/>
      <c r="B90" s="1797"/>
      <c r="C90" s="1797"/>
      <c r="D90" s="1543" t="s">
        <v>596</v>
      </c>
      <c r="E90" s="1634">
        <f>IF(D90="Инженер ОК",ТрЗ_ОКиА!$K$241,IF(D90="Старший инженер ОК",ТрЗ_ОКиА!$L$241,IF(D90="Ведущий инженер ОК",ТрЗ_ОКиА!$M$241,"")))</f>
        <v>0.3</v>
      </c>
      <c r="F90" s="143"/>
      <c r="G90" s="143"/>
      <c r="H90" s="143"/>
      <c r="I90" s="144"/>
      <c r="J90" s="143"/>
      <c r="K90" s="1808"/>
      <c r="M90" s="7" t="s">
        <v>87</v>
      </c>
      <c r="N90" s="7">
        <v>0</v>
      </c>
      <c r="O90" s="1812"/>
      <c r="Q90" s="1272"/>
      <c r="R90" s="1272"/>
      <c r="S90" s="1272"/>
      <c r="T90" s="1272"/>
      <c r="U90" s="1272"/>
    </row>
    <row r="91" spans="1:21" ht="15" customHeight="1" x14ac:dyDescent="0.25">
      <c r="A91" s="1797"/>
      <c r="B91" s="1797"/>
      <c r="C91" s="1797"/>
      <c r="D91" s="1543" t="s">
        <v>597</v>
      </c>
      <c r="E91" s="1634">
        <f>IF(D91="Инженер ОК",ТрЗ_ОКиА!$K$241,IF(D91="Старший инженер ОК",ТрЗ_ОКиА!$L$241,IF(D91="Ведущий инженер ОК",ТрЗ_ОКиА!$M$241,"")))</f>
        <v>0.1</v>
      </c>
      <c r="F91" s="144"/>
      <c r="G91" s="144"/>
      <c r="H91" s="144"/>
      <c r="I91" s="144"/>
      <c r="J91" s="144"/>
      <c r="K91" s="1808"/>
      <c r="M91" s="7" t="s">
        <v>567</v>
      </c>
      <c r="N91" s="7">
        <v>22</v>
      </c>
      <c r="O91" s="1812"/>
      <c r="Q91" s="1272"/>
      <c r="R91" s="1272"/>
      <c r="S91" s="1272"/>
      <c r="T91" s="1272"/>
      <c r="U91" s="1272"/>
    </row>
    <row r="92" spans="1:21" ht="15" customHeight="1" x14ac:dyDescent="0.25">
      <c r="A92" s="1797"/>
      <c r="B92" s="1797"/>
      <c r="C92" s="1797"/>
      <c r="D92" s="1543" t="s">
        <v>592</v>
      </c>
      <c r="E92" s="1634"/>
      <c r="F92" s="144"/>
      <c r="G92" s="144"/>
      <c r="H92" s="144"/>
      <c r="I92" s="144"/>
      <c r="J92" s="144"/>
      <c r="K92" s="1808"/>
      <c r="M92" s="7" t="s">
        <v>119</v>
      </c>
      <c r="N92" s="7">
        <v>0</v>
      </c>
      <c r="O92" s="1812"/>
      <c r="Q92" s="1272"/>
      <c r="R92" s="1272"/>
      <c r="S92" s="1272"/>
      <c r="T92" s="1272"/>
      <c r="U92" s="1272"/>
    </row>
    <row r="93" spans="1:21" ht="15" customHeight="1" x14ac:dyDescent="0.25">
      <c r="A93" s="1797"/>
      <c r="B93" s="1797"/>
      <c r="C93" s="1797"/>
      <c r="D93" s="1543" t="s">
        <v>592</v>
      </c>
      <c r="E93" s="1634"/>
      <c r="F93" s="144"/>
      <c r="G93" s="144"/>
      <c r="H93" s="144"/>
      <c r="I93" s="144"/>
      <c r="J93" s="144"/>
      <c r="K93" s="1808"/>
      <c r="M93" s="7"/>
      <c r="N93" s="7"/>
      <c r="O93" s="1812"/>
      <c r="Q93" s="1272"/>
      <c r="R93" s="1272"/>
      <c r="S93" s="1272"/>
      <c r="T93" s="1272"/>
      <c r="U93" s="1272"/>
    </row>
    <row r="94" spans="1:21" ht="16.5" customHeight="1" thickBot="1" x14ac:dyDescent="0.3">
      <c r="A94" s="1797"/>
      <c r="B94" s="1801" t="s">
        <v>1598</v>
      </c>
      <c r="C94" s="1801"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808"/>
      <c r="M94" s="7" t="s">
        <v>119</v>
      </c>
      <c r="N94" s="7">
        <v>0</v>
      </c>
      <c r="O94" s="1812"/>
      <c r="Q94" s="1272"/>
    </row>
    <row r="95" spans="1:21" ht="16.5" thickBot="1" x14ac:dyDescent="0.3">
      <c r="A95" s="1797"/>
      <c r="B95" s="1802"/>
      <c r="C95" s="1802"/>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808"/>
      <c r="M95" s="7"/>
      <c r="N95" s="7"/>
      <c r="O95" s="1812"/>
      <c r="Q95" s="1272"/>
    </row>
    <row r="96" spans="1:21" ht="16.5" thickBot="1" x14ac:dyDescent="0.3">
      <c r="A96" s="1797"/>
      <c r="B96" s="1802"/>
      <c r="C96" s="1802"/>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808"/>
      <c r="M96" s="7" t="s">
        <v>87</v>
      </c>
      <c r="N96" s="7">
        <v>0</v>
      </c>
      <c r="O96" s="1812"/>
      <c r="Q96" s="1272"/>
    </row>
    <row r="97" spans="1:17" ht="16.5" thickBot="1" x14ac:dyDescent="0.3">
      <c r="A97" s="1797"/>
      <c r="B97" s="1802"/>
      <c r="C97" s="1802"/>
      <c r="D97" s="1543" t="s">
        <v>592</v>
      </c>
      <c r="E97" s="1634"/>
      <c r="F97" s="144"/>
      <c r="G97" s="144"/>
      <c r="H97" s="144"/>
      <c r="I97" s="144"/>
      <c r="J97" s="144"/>
      <c r="K97" s="1808"/>
      <c r="M97" s="7" t="s">
        <v>567</v>
      </c>
      <c r="N97" s="7">
        <v>0</v>
      </c>
      <c r="O97" s="1812"/>
      <c r="Q97" s="1272"/>
    </row>
    <row r="98" spans="1:17" ht="16.5" thickBot="1" x14ac:dyDescent="0.3">
      <c r="A98" s="1797"/>
      <c r="B98" s="1802"/>
      <c r="C98" s="1802"/>
      <c r="D98" s="1543" t="s">
        <v>593</v>
      </c>
      <c r="E98" s="1634"/>
      <c r="F98" s="144"/>
      <c r="G98" s="144"/>
      <c r="H98" s="144"/>
      <c r="I98" s="144"/>
      <c r="J98" s="144"/>
      <c r="K98" s="1808"/>
      <c r="M98" s="7"/>
      <c r="N98" s="7"/>
      <c r="O98" s="1812"/>
      <c r="Q98" s="1272"/>
    </row>
    <row r="99" spans="1:17" ht="16.5" thickBot="1" x14ac:dyDescent="0.3">
      <c r="A99" s="1797"/>
      <c r="B99" s="1802"/>
      <c r="C99" s="1802"/>
      <c r="D99" s="1543" t="s">
        <v>594</v>
      </c>
      <c r="E99" s="1634"/>
      <c r="F99" s="144"/>
      <c r="G99" s="144"/>
      <c r="H99" s="144"/>
      <c r="I99" s="144"/>
      <c r="J99" s="144"/>
      <c r="K99" s="1808"/>
      <c r="M99" s="7" t="s">
        <v>119</v>
      </c>
      <c r="N99" s="7">
        <v>0</v>
      </c>
      <c r="O99" s="1812"/>
      <c r="Q99" s="1272"/>
    </row>
    <row r="100" spans="1:17" ht="15.75" x14ac:dyDescent="0.25">
      <c r="A100" s="1797"/>
      <c r="B100" s="1803"/>
      <c r="C100" s="1803"/>
      <c r="D100" s="1544" t="s">
        <v>1224</v>
      </c>
      <c r="E100" s="1634"/>
      <c r="F100" s="144"/>
      <c r="G100" s="144"/>
      <c r="H100" s="144"/>
      <c r="I100" s="144"/>
      <c r="J100" s="144"/>
      <c r="K100" s="1808"/>
      <c r="L100" s="1542" t="s">
        <v>1525</v>
      </c>
      <c r="M100" s="7"/>
      <c r="N100" s="7"/>
      <c r="O100" s="1812"/>
      <c r="Q100" s="1272"/>
    </row>
    <row r="101" spans="1:17" ht="16.5" customHeight="1" thickBot="1" x14ac:dyDescent="0.3">
      <c r="A101" s="1797"/>
      <c r="B101" s="1801" t="s">
        <v>1600</v>
      </c>
      <c r="C101" s="1801"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808"/>
      <c r="M101" s="7" t="s">
        <v>119</v>
      </c>
      <c r="N101" s="7">
        <v>0</v>
      </c>
      <c r="O101" s="1812"/>
      <c r="Q101" s="1272"/>
    </row>
    <row r="102" spans="1:17" ht="16.5" thickBot="1" x14ac:dyDescent="0.3">
      <c r="A102" s="1797"/>
      <c r="B102" s="1802"/>
      <c r="C102" s="1802"/>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808"/>
      <c r="M102" s="7"/>
      <c r="N102" s="7"/>
      <c r="O102" s="1812"/>
      <c r="Q102" s="1272"/>
    </row>
    <row r="103" spans="1:17" ht="16.5" thickBot="1" x14ac:dyDescent="0.3">
      <c r="A103" s="1797"/>
      <c r="B103" s="1802"/>
      <c r="C103" s="1802"/>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808"/>
      <c r="M103" s="7" t="s">
        <v>87</v>
      </c>
      <c r="N103" s="7">
        <v>0</v>
      </c>
      <c r="O103" s="1812"/>
      <c r="Q103" s="1272"/>
    </row>
    <row r="104" spans="1:17" ht="15.75" x14ac:dyDescent="0.25">
      <c r="A104" s="1797"/>
      <c r="B104" s="1803"/>
      <c r="C104" s="1803"/>
      <c r="D104" s="1544" t="s">
        <v>1224</v>
      </c>
      <c r="E104" s="1634"/>
      <c r="F104" s="144"/>
      <c r="G104" s="144"/>
      <c r="H104" s="144"/>
      <c r="I104" s="144"/>
      <c r="J104" s="144"/>
      <c r="K104" s="1808"/>
      <c r="L104" s="1542" t="s">
        <v>1525</v>
      </c>
      <c r="M104" s="7"/>
      <c r="N104" s="7"/>
      <c r="O104" s="1812"/>
      <c r="Q104" s="1272"/>
    </row>
    <row r="105" spans="1:17" ht="15.75" x14ac:dyDescent="0.25">
      <c r="A105" s="1797"/>
      <c r="B105" s="1549" t="s">
        <v>1521</v>
      </c>
      <c r="C105" s="1549"/>
      <c r="D105" s="1547" t="s">
        <v>623</v>
      </c>
      <c r="E105" s="1635">
        <f>SUM(E89:E104)*0.1</f>
        <v>0.76250000000000007</v>
      </c>
      <c r="F105" s="144"/>
      <c r="G105" s="144"/>
      <c r="H105" s="144"/>
      <c r="I105" s="144"/>
      <c r="J105" s="144"/>
      <c r="K105" s="1808"/>
      <c r="M105" s="7"/>
      <c r="N105" s="7"/>
      <c r="O105" s="1812"/>
      <c r="Q105" s="1272"/>
    </row>
    <row r="106" spans="1:17" ht="15.75" x14ac:dyDescent="0.25">
      <c r="A106" s="1804"/>
      <c r="B106" s="1550" t="s">
        <v>1522</v>
      </c>
      <c r="C106" s="1550"/>
      <c r="D106" s="1547" t="s">
        <v>156</v>
      </c>
      <c r="E106" s="1635">
        <f>SUM(E89:E104)*0.2</f>
        <v>1.5250000000000001</v>
      </c>
      <c r="F106" s="144"/>
      <c r="G106" s="144"/>
      <c r="H106" s="144"/>
      <c r="I106" s="144"/>
      <c r="J106" s="144"/>
      <c r="K106" s="1809"/>
      <c r="M106" s="7" t="s">
        <v>87</v>
      </c>
      <c r="N106" s="7">
        <v>0</v>
      </c>
      <c r="O106" s="1812"/>
      <c r="Q106" s="1272"/>
    </row>
    <row r="107" spans="1:17" ht="30" customHeight="1" x14ac:dyDescent="0.25">
      <c r="A107" s="1796" t="s">
        <v>1604</v>
      </c>
      <c r="B107" s="1796" t="s">
        <v>1605</v>
      </c>
      <c r="C107" s="1797"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817" t="s">
        <v>1558</v>
      </c>
      <c r="M107" s="7" t="s">
        <v>567</v>
      </c>
      <c r="N107" s="7">
        <v>0</v>
      </c>
      <c r="O107" s="1812"/>
      <c r="Q107" s="1272"/>
    </row>
    <row r="108" spans="1:17" ht="30" customHeight="1" x14ac:dyDescent="0.25">
      <c r="A108" s="1797"/>
      <c r="B108" s="1797"/>
      <c r="C108" s="1797"/>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808"/>
      <c r="M108" s="7" t="s">
        <v>119</v>
      </c>
      <c r="N108" s="7">
        <v>0</v>
      </c>
      <c r="O108" s="1812"/>
      <c r="Q108" s="1272"/>
    </row>
    <row r="109" spans="1:17" ht="30" customHeight="1" x14ac:dyDescent="0.25">
      <c r="A109" s="1797"/>
      <c r="B109" s="1797"/>
      <c r="C109" s="1797"/>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808"/>
      <c r="M109" s="7"/>
      <c r="N109" s="7"/>
      <c r="O109" s="1812"/>
      <c r="Q109" s="1272"/>
    </row>
    <row r="110" spans="1:17" ht="30" customHeight="1" x14ac:dyDescent="0.25">
      <c r="A110" s="1797"/>
      <c r="B110" s="1549" t="s">
        <v>1607</v>
      </c>
      <c r="C110" s="1549"/>
      <c r="D110" s="1548" t="s">
        <v>623</v>
      </c>
      <c r="E110" s="1635">
        <f>SUM(E107:E109)*0.1</f>
        <v>0</v>
      </c>
      <c r="F110" s="144"/>
      <c r="G110" s="144"/>
      <c r="H110" s="144"/>
      <c r="I110" s="144"/>
      <c r="J110" s="144"/>
      <c r="K110" s="1808"/>
      <c r="M110" s="7"/>
      <c r="N110" s="7"/>
      <c r="O110" s="1812"/>
    </row>
    <row r="111" spans="1:17" ht="30" customHeight="1" x14ac:dyDescent="0.25">
      <c r="A111" s="1804"/>
      <c r="B111" s="1550" t="s">
        <v>1608</v>
      </c>
      <c r="C111" s="1550"/>
      <c r="D111" s="1548" t="s">
        <v>156</v>
      </c>
      <c r="E111" s="1635">
        <f>SUM(E107:E109)*0.2</f>
        <v>0</v>
      </c>
      <c r="F111" s="144"/>
      <c r="G111" s="144"/>
      <c r="H111" s="144"/>
      <c r="I111" s="144"/>
      <c r="J111" s="144"/>
      <c r="K111" s="1809"/>
      <c r="M111" s="7" t="s">
        <v>87</v>
      </c>
      <c r="N111" s="7">
        <v>0</v>
      </c>
      <c r="O111" s="1812"/>
    </row>
    <row r="112" spans="1:17" ht="15.75" x14ac:dyDescent="0.25">
      <c r="A112" s="1796" t="s">
        <v>1609</v>
      </c>
      <c r="B112" s="1796" t="s">
        <v>1664</v>
      </c>
      <c r="C112" s="1797"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817" t="s">
        <v>1558</v>
      </c>
      <c r="M112" s="7" t="s">
        <v>567</v>
      </c>
      <c r="N112" s="7">
        <v>0</v>
      </c>
      <c r="O112" s="1812"/>
      <c r="Q112" s="1272"/>
    </row>
    <row r="113" spans="1:17" ht="15.75" x14ac:dyDescent="0.25">
      <c r="A113" s="1797"/>
      <c r="B113" s="1797"/>
      <c r="C113" s="1797"/>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808"/>
      <c r="M113" s="7" t="s">
        <v>119</v>
      </c>
      <c r="N113" s="7">
        <v>0</v>
      </c>
      <c r="O113" s="1812"/>
      <c r="Q113" s="1272"/>
    </row>
    <row r="114" spans="1:17" ht="15.75" x14ac:dyDescent="0.25">
      <c r="A114" s="1797"/>
      <c r="B114" s="1797"/>
      <c r="C114" s="1797"/>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808"/>
      <c r="M114" s="7"/>
      <c r="N114" s="7"/>
      <c r="O114" s="1812"/>
      <c r="Q114" s="1272"/>
    </row>
    <row r="115" spans="1:17" ht="15.75" x14ac:dyDescent="0.25">
      <c r="A115" s="1797"/>
      <c r="B115" s="1797"/>
      <c r="C115" s="1797"/>
      <c r="D115" s="145" t="s">
        <v>595</v>
      </c>
      <c r="E115" s="1634"/>
      <c r="F115" s="144"/>
      <c r="G115" s="144"/>
      <c r="H115" s="144"/>
      <c r="I115" s="144"/>
      <c r="J115" s="144"/>
      <c r="K115" s="1808"/>
      <c r="M115" s="7" t="s">
        <v>87</v>
      </c>
      <c r="N115" s="7">
        <v>0</v>
      </c>
      <c r="O115" s="1812"/>
      <c r="Q115" s="1272"/>
    </row>
    <row r="116" spans="1:17" ht="15.75" x14ac:dyDescent="0.25">
      <c r="A116" s="1797"/>
      <c r="B116" s="1797"/>
      <c r="C116" s="1804"/>
      <c r="D116" s="145" t="s">
        <v>596</v>
      </c>
      <c r="E116" s="1634"/>
      <c r="F116" s="144"/>
      <c r="G116" s="144"/>
      <c r="H116" s="144"/>
      <c r="I116" s="144"/>
      <c r="J116" s="144"/>
      <c r="K116" s="1808"/>
      <c r="M116" s="7" t="s">
        <v>567</v>
      </c>
      <c r="N116" s="7">
        <v>0</v>
      </c>
      <c r="O116" s="1812"/>
      <c r="Q116" s="1272"/>
    </row>
    <row r="117" spans="1:17" x14ac:dyDescent="0.25">
      <c r="A117" s="1797"/>
      <c r="B117" s="1549" t="s">
        <v>1523</v>
      </c>
      <c r="C117" s="1549"/>
      <c r="D117" s="1548" t="s">
        <v>623</v>
      </c>
      <c r="E117" s="1635">
        <f>SUM(E112:E116)*0.1</f>
        <v>0</v>
      </c>
      <c r="F117" s="144"/>
      <c r="G117" s="144"/>
      <c r="H117" s="144"/>
      <c r="I117" s="144"/>
      <c r="J117" s="144"/>
      <c r="K117" s="1808"/>
      <c r="M117" s="7"/>
      <c r="N117" s="7"/>
      <c r="O117" s="1812"/>
    </row>
    <row r="118" spans="1:17" x14ac:dyDescent="0.25">
      <c r="A118" s="1804"/>
      <c r="B118" s="1550" t="s">
        <v>1524</v>
      </c>
      <c r="C118" s="1550"/>
      <c r="D118" s="1548" t="s">
        <v>156</v>
      </c>
      <c r="E118" s="1635">
        <f>SUM(E112:E116)*0.2</f>
        <v>0</v>
      </c>
      <c r="F118" s="144"/>
      <c r="G118" s="144"/>
      <c r="H118" s="144"/>
      <c r="I118" s="144"/>
      <c r="J118" s="144"/>
      <c r="K118" s="1809"/>
      <c r="M118" s="7" t="s">
        <v>87</v>
      </c>
      <c r="N118" s="7">
        <v>0</v>
      </c>
      <c r="O118" s="1812"/>
    </row>
    <row r="119" spans="1:17" ht="15.75" x14ac:dyDescent="0.25">
      <c r="A119" s="1796" t="s">
        <v>1610</v>
      </c>
      <c r="B119" s="1796" t="s">
        <v>1611</v>
      </c>
      <c r="C119" s="1797"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817" t="s">
        <v>1558</v>
      </c>
      <c r="M119" s="7" t="s">
        <v>567</v>
      </c>
      <c r="N119" s="7">
        <v>0</v>
      </c>
      <c r="O119" s="1812"/>
      <c r="Q119" s="1272"/>
    </row>
    <row r="120" spans="1:17" ht="15.75" x14ac:dyDescent="0.25">
      <c r="A120" s="1797"/>
      <c r="B120" s="1797"/>
      <c r="C120" s="1797"/>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808"/>
      <c r="M120" s="7" t="s">
        <v>119</v>
      </c>
      <c r="N120" s="7">
        <v>0</v>
      </c>
      <c r="O120" s="1812"/>
      <c r="Q120" s="1272"/>
    </row>
    <row r="121" spans="1:17" ht="15.75" x14ac:dyDescent="0.25">
      <c r="A121" s="1797"/>
      <c r="B121" s="1797"/>
      <c r="C121" s="1797"/>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808"/>
      <c r="M121" s="7"/>
      <c r="N121" s="7"/>
      <c r="O121" s="1812"/>
      <c r="Q121" s="1272"/>
    </row>
    <row r="122" spans="1:17" ht="15.75" x14ac:dyDescent="0.25">
      <c r="A122" s="1797"/>
      <c r="B122" s="1797"/>
      <c r="C122" s="1797"/>
      <c r="D122" s="145" t="s">
        <v>595</v>
      </c>
      <c r="E122" s="1634"/>
      <c r="F122" s="144"/>
      <c r="G122" s="144"/>
      <c r="H122" s="144"/>
      <c r="I122" s="144"/>
      <c r="J122" s="144"/>
      <c r="K122" s="1808"/>
      <c r="M122" s="7" t="s">
        <v>87</v>
      </c>
      <c r="N122" s="7">
        <v>0</v>
      </c>
      <c r="O122" s="1812"/>
      <c r="Q122" s="1272"/>
    </row>
    <row r="123" spans="1:17" ht="15.75" x14ac:dyDescent="0.25">
      <c r="A123" s="1797"/>
      <c r="B123" s="1797"/>
      <c r="C123" s="1804"/>
      <c r="D123" s="145" t="s">
        <v>596</v>
      </c>
      <c r="E123" s="1634"/>
      <c r="F123" s="144"/>
      <c r="G123" s="144"/>
      <c r="H123" s="144"/>
      <c r="I123" s="144"/>
      <c r="J123" s="144"/>
      <c r="K123" s="1808"/>
      <c r="M123" s="7" t="s">
        <v>567</v>
      </c>
      <c r="N123" s="7">
        <v>0</v>
      </c>
      <c r="O123" s="1812"/>
      <c r="Q123" s="1272"/>
    </row>
    <row r="124" spans="1:17" x14ac:dyDescent="0.25">
      <c r="A124" s="1797"/>
      <c r="B124" s="1549" t="s">
        <v>1523</v>
      </c>
      <c r="C124" s="1549"/>
      <c r="D124" s="1548" t="s">
        <v>623</v>
      </c>
      <c r="E124" s="1635">
        <f>SUM(E119:E123)*0.1</f>
        <v>0</v>
      </c>
      <c r="F124" s="144"/>
      <c r="G124" s="144"/>
      <c r="H124" s="144"/>
      <c r="I124" s="144"/>
      <c r="J124" s="144"/>
      <c r="K124" s="1808"/>
      <c r="M124" s="7"/>
      <c r="N124" s="7"/>
      <c r="O124" s="1812"/>
    </row>
    <row r="125" spans="1:17" x14ac:dyDescent="0.25">
      <c r="A125" s="1804"/>
      <c r="B125" s="1550" t="s">
        <v>1524</v>
      </c>
      <c r="C125" s="1550"/>
      <c r="D125" s="1548" t="s">
        <v>156</v>
      </c>
      <c r="E125" s="1635">
        <f>SUM(E119:E123)*0.2</f>
        <v>0</v>
      </c>
      <c r="F125" s="144"/>
      <c r="G125" s="144"/>
      <c r="H125" s="144"/>
      <c r="I125" s="144"/>
      <c r="J125" s="144"/>
      <c r="K125" s="1809"/>
      <c r="M125" s="7" t="s">
        <v>87</v>
      </c>
      <c r="N125" s="7">
        <v>0</v>
      </c>
      <c r="O125" s="1812"/>
    </row>
    <row r="126" spans="1:17" ht="15.75" x14ac:dyDescent="0.25">
      <c r="A126" s="1796" t="s">
        <v>1613</v>
      </c>
      <c r="B126" s="1796" t="s">
        <v>1614</v>
      </c>
      <c r="C126" s="1797"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817" t="s">
        <v>1558</v>
      </c>
      <c r="M126" s="7" t="s">
        <v>567</v>
      </c>
      <c r="N126" s="7">
        <v>0</v>
      </c>
      <c r="O126" s="1812"/>
      <c r="Q126" s="1272"/>
    </row>
    <row r="127" spans="1:17" ht="15.75" x14ac:dyDescent="0.25">
      <c r="A127" s="1797"/>
      <c r="B127" s="1797"/>
      <c r="C127" s="1797"/>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808"/>
      <c r="M127" s="7" t="s">
        <v>119</v>
      </c>
      <c r="N127" s="7">
        <v>0</v>
      </c>
      <c r="O127" s="1812"/>
      <c r="Q127" s="1272"/>
    </row>
    <row r="128" spans="1:17" ht="15.75" x14ac:dyDescent="0.25">
      <c r="A128" s="1797"/>
      <c r="B128" s="1797"/>
      <c r="C128" s="1797"/>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808"/>
      <c r="M128" s="7"/>
      <c r="N128" s="7"/>
      <c r="O128" s="1812"/>
      <c r="Q128" s="1272"/>
    </row>
    <row r="129" spans="1:17" ht="15.75" x14ac:dyDescent="0.25">
      <c r="A129" s="1797"/>
      <c r="B129" s="1797"/>
      <c r="C129" s="1797"/>
      <c r="D129" s="145" t="s">
        <v>595</v>
      </c>
      <c r="E129" s="1634"/>
      <c r="F129" s="144"/>
      <c r="G129" s="144"/>
      <c r="H129" s="144"/>
      <c r="I129" s="144"/>
      <c r="J129" s="144"/>
      <c r="K129" s="1808"/>
      <c r="M129" s="7" t="s">
        <v>87</v>
      </c>
      <c r="N129" s="7">
        <v>0</v>
      </c>
      <c r="O129" s="1812"/>
      <c r="Q129" s="1272"/>
    </row>
    <row r="130" spans="1:17" ht="15.75" x14ac:dyDescent="0.25">
      <c r="A130" s="1797"/>
      <c r="B130" s="1797"/>
      <c r="C130" s="1804"/>
      <c r="D130" s="145" t="s">
        <v>596</v>
      </c>
      <c r="E130" s="1634"/>
      <c r="F130" s="144"/>
      <c r="G130" s="144"/>
      <c r="H130" s="144"/>
      <c r="I130" s="144"/>
      <c r="J130" s="144"/>
      <c r="K130" s="1808"/>
      <c r="M130" s="7" t="s">
        <v>567</v>
      </c>
      <c r="N130" s="7">
        <v>0</v>
      </c>
      <c r="O130" s="1812"/>
      <c r="Q130" s="1272"/>
    </row>
    <row r="131" spans="1:17" x14ac:dyDescent="0.25">
      <c r="A131" s="1797"/>
      <c r="B131" s="1549" t="s">
        <v>1523</v>
      </c>
      <c r="C131" s="1549"/>
      <c r="D131" s="1548" t="s">
        <v>623</v>
      </c>
      <c r="E131" s="1635">
        <f>SUM(E126:E130)*0.1</f>
        <v>3.4374999999999996E-2</v>
      </c>
      <c r="F131" s="144"/>
      <c r="G131" s="144"/>
      <c r="H131" s="144"/>
      <c r="I131" s="144"/>
      <c r="J131" s="144"/>
      <c r="K131" s="1808"/>
      <c r="M131" s="7"/>
      <c r="N131" s="7"/>
      <c r="O131" s="1812"/>
    </row>
    <row r="132" spans="1:17" x14ac:dyDescent="0.25">
      <c r="A132" s="1804"/>
      <c r="B132" s="1550" t="s">
        <v>1524</v>
      </c>
      <c r="C132" s="1550"/>
      <c r="D132" s="1548" t="s">
        <v>156</v>
      </c>
      <c r="E132" s="1635">
        <f>SUM(E126:E130)*0.2</f>
        <v>6.8749999999999992E-2</v>
      </c>
      <c r="F132" s="144"/>
      <c r="G132" s="144"/>
      <c r="H132" s="144"/>
      <c r="I132" s="144"/>
      <c r="J132" s="144"/>
      <c r="K132" s="1809"/>
      <c r="M132" s="7" t="s">
        <v>87</v>
      </c>
      <c r="N132" s="7">
        <v>0</v>
      </c>
      <c r="O132" s="1812"/>
    </row>
    <row r="133" spans="1:17" ht="15.75" x14ac:dyDescent="0.25">
      <c r="A133" s="1796" t="s">
        <v>1616</v>
      </c>
      <c r="B133" s="1796" t="s">
        <v>1617</v>
      </c>
      <c r="C133" s="1820"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817" t="s">
        <v>1558</v>
      </c>
      <c r="M133" s="7" t="s">
        <v>567</v>
      </c>
      <c r="N133" s="7">
        <v>0</v>
      </c>
      <c r="O133" s="1812"/>
      <c r="Q133" s="1272"/>
    </row>
    <row r="134" spans="1:17" ht="15.75" x14ac:dyDescent="0.25">
      <c r="A134" s="1797"/>
      <c r="B134" s="1797"/>
      <c r="C134" s="1821"/>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808"/>
      <c r="M134" s="7" t="s">
        <v>119</v>
      </c>
      <c r="N134" s="7">
        <v>0</v>
      </c>
      <c r="O134" s="1812"/>
      <c r="Q134" s="1272"/>
    </row>
    <row r="135" spans="1:17" ht="15.75" x14ac:dyDescent="0.25">
      <c r="A135" s="1797"/>
      <c r="B135" s="1797"/>
      <c r="C135" s="1821"/>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808"/>
      <c r="M135" s="7"/>
      <c r="N135" s="7"/>
      <c r="O135" s="1622"/>
      <c r="Q135" s="1272"/>
    </row>
    <row r="136" spans="1:17" ht="15" customHeight="1" x14ac:dyDescent="0.25">
      <c r="A136" s="1797"/>
      <c r="B136" s="1797"/>
      <c r="C136" s="1821"/>
      <c r="D136" s="1546" t="s">
        <v>1224</v>
      </c>
      <c r="E136" s="1634"/>
      <c r="F136" s="144"/>
      <c r="G136" s="144"/>
      <c r="H136" s="144"/>
      <c r="I136" s="144"/>
      <c r="J136" s="144"/>
      <c r="K136" s="1808"/>
      <c r="L136" s="1542" t="s">
        <v>1525</v>
      </c>
      <c r="M136" s="7"/>
      <c r="N136" s="7"/>
      <c r="O136" s="1622"/>
      <c r="Q136" s="1272"/>
    </row>
    <row r="137" spans="1:17" ht="15.75" x14ac:dyDescent="0.25">
      <c r="A137" s="1797"/>
      <c r="B137" s="1796" t="s">
        <v>1619</v>
      </c>
      <c r="C137" s="1820"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808"/>
      <c r="M137" s="7" t="s">
        <v>567</v>
      </c>
      <c r="N137" s="7">
        <v>0</v>
      </c>
      <c r="O137" s="1622"/>
      <c r="Q137" s="1272"/>
    </row>
    <row r="138" spans="1:17" ht="15.75" x14ac:dyDescent="0.25">
      <c r="A138" s="1797"/>
      <c r="B138" s="1797"/>
      <c r="C138" s="1821"/>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808"/>
      <c r="M138" s="7" t="s">
        <v>119</v>
      </c>
      <c r="N138" s="7">
        <v>0</v>
      </c>
      <c r="O138" s="1622"/>
      <c r="Q138" s="1272"/>
    </row>
    <row r="139" spans="1:17" ht="15.75" x14ac:dyDescent="0.25">
      <c r="A139" s="1797"/>
      <c r="B139" s="1797"/>
      <c r="C139" s="1821"/>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808"/>
      <c r="M139" s="7"/>
      <c r="N139" s="7"/>
      <c r="O139" s="1622"/>
      <c r="Q139" s="1272"/>
    </row>
    <row r="140" spans="1:17" ht="15" customHeight="1" x14ac:dyDescent="0.25">
      <c r="A140" s="1797"/>
      <c r="B140" s="1797"/>
      <c r="C140" s="1821"/>
      <c r="D140" s="1546" t="s">
        <v>1224</v>
      </c>
      <c r="E140" s="1634"/>
      <c r="F140" s="144"/>
      <c r="G140" s="144"/>
      <c r="H140" s="144"/>
      <c r="I140" s="144"/>
      <c r="J140" s="144"/>
      <c r="K140" s="1808"/>
      <c r="L140" s="1542" t="s">
        <v>1525</v>
      </c>
      <c r="M140" s="7"/>
      <c r="N140" s="7"/>
      <c r="O140" s="1622"/>
      <c r="Q140" s="1272"/>
    </row>
    <row r="141" spans="1:17" ht="15.75" x14ac:dyDescent="0.25">
      <c r="A141" s="1797"/>
      <c r="B141" s="1796" t="s">
        <v>1621</v>
      </c>
      <c r="C141" s="1820"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808"/>
      <c r="M141" s="7" t="s">
        <v>567</v>
      </c>
      <c r="N141" s="7">
        <v>0</v>
      </c>
      <c r="O141" s="1622"/>
      <c r="Q141" s="1272"/>
    </row>
    <row r="142" spans="1:17" ht="15.75" x14ac:dyDescent="0.25">
      <c r="A142" s="1797"/>
      <c r="B142" s="1797"/>
      <c r="C142" s="1821"/>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808"/>
      <c r="M142" s="7" t="s">
        <v>119</v>
      </c>
      <c r="N142" s="7">
        <v>0</v>
      </c>
      <c r="O142" s="1622"/>
      <c r="Q142" s="1272"/>
    </row>
    <row r="143" spans="1:17" ht="15.75" x14ac:dyDescent="0.25">
      <c r="A143" s="1797"/>
      <c r="B143" s="1797"/>
      <c r="C143" s="1821"/>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808"/>
      <c r="M143" s="7"/>
      <c r="N143" s="7"/>
      <c r="O143" s="1622"/>
      <c r="Q143" s="1272"/>
    </row>
    <row r="144" spans="1:17" ht="15" customHeight="1" x14ac:dyDescent="0.25">
      <c r="A144" s="1797"/>
      <c r="B144" s="1797"/>
      <c r="C144" s="1821"/>
      <c r="D144" s="1546" t="s">
        <v>1224</v>
      </c>
      <c r="E144" s="1634"/>
      <c r="F144" s="144"/>
      <c r="G144" s="144"/>
      <c r="H144" s="144"/>
      <c r="I144" s="144"/>
      <c r="J144" s="144"/>
      <c r="K144" s="1808"/>
      <c r="L144" s="1542" t="s">
        <v>1525</v>
      </c>
      <c r="M144" s="7"/>
      <c r="N144" s="7"/>
      <c r="O144" s="1622"/>
      <c r="Q144" s="1272"/>
    </row>
    <row r="145" spans="1:17" ht="15.75" x14ac:dyDescent="0.25">
      <c r="A145" s="1797"/>
      <c r="B145" s="1796" t="s">
        <v>1623</v>
      </c>
      <c r="C145" s="1820"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808"/>
      <c r="M145" s="7" t="s">
        <v>567</v>
      </c>
      <c r="N145" s="7">
        <v>0</v>
      </c>
      <c r="O145" s="1622"/>
      <c r="Q145" s="1272"/>
    </row>
    <row r="146" spans="1:17" ht="15.75" x14ac:dyDescent="0.25">
      <c r="A146" s="1797"/>
      <c r="B146" s="1797"/>
      <c r="C146" s="1821"/>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808"/>
      <c r="M146" s="7" t="s">
        <v>119</v>
      </c>
      <c r="N146" s="7">
        <v>0</v>
      </c>
      <c r="O146" s="1622"/>
      <c r="Q146" s="1272"/>
    </row>
    <row r="147" spans="1:17" ht="15.75" x14ac:dyDescent="0.25">
      <c r="A147" s="1797"/>
      <c r="B147" s="1797"/>
      <c r="C147" s="1821"/>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808"/>
      <c r="M147" s="7"/>
      <c r="N147" s="7"/>
      <c r="O147" s="1622"/>
      <c r="Q147" s="1272"/>
    </row>
    <row r="148" spans="1:17" ht="15" customHeight="1" x14ac:dyDescent="0.25">
      <c r="A148" s="1797"/>
      <c r="B148" s="1797"/>
      <c r="C148" s="1821"/>
      <c r="D148" s="1546" t="s">
        <v>1224</v>
      </c>
      <c r="E148" s="1634"/>
      <c r="F148" s="144"/>
      <c r="G148" s="144"/>
      <c r="H148" s="144"/>
      <c r="I148" s="144"/>
      <c r="J148" s="144"/>
      <c r="K148" s="1808"/>
      <c r="L148" s="1542" t="s">
        <v>1525</v>
      </c>
      <c r="M148" s="7"/>
      <c r="N148" s="7"/>
      <c r="O148" s="1622"/>
      <c r="Q148" s="1272"/>
    </row>
    <row r="149" spans="1:17" x14ac:dyDescent="0.25">
      <c r="A149" s="1797"/>
      <c r="B149" s="1840" t="s">
        <v>1660</v>
      </c>
      <c r="C149" s="1818" t="s">
        <v>1625</v>
      </c>
      <c r="D149" s="145" t="s">
        <v>595</v>
      </c>
      <c r="E149" s="1634"/>
      <c r="F149" s="144"/>
      <c r="G149" s="144"/>
      <c r="H149" s="144"/>
      <c r="I149" s="144"/>
      <c r="J149" s="144"/>
      <c r="K149" s="1808"/>
      <c r="M149" s="7" t="s">
        <v>87</v>
      </c>
      <c r="N149" s="7">
        <v>0</v>
      </c>
      <c r="O149" s="1812"/>
    </row>
    <row r="150" spans="1:17" x14ac:dyDescent="0.25">
      <c r="A150" s="1797"/>
      <c r="B150" s="1841"/>
      <c r="C150" s="1819"/>
      <c r="D150" s="145" t="s">
        <v>596</v>
      </c>
      <c r="E150" s="1634"/>
      <c r="F150" s="144"/>
      <c r="G150" s="144"/>
      <c r="H150" s="144"/>
      <c r="I150" s="144"/>
      <c r="J150" s="144"/>
      <c r="K150" s="1808"/>
      <c r="M150" s="7" t="s">
        <v>567</v>
      </c>
      <c r="N150" s="7">
        <v>0</v>
      </c>
      <c r="O150" s="1812"/>
    </row>
    <row r="151" spans="1:17" x14ac:dyDescent="0.25">
      <c r="A151" s="1797"/>
      <c r="B151" s="1841"/>
      <c r="C151" s="1819"/>
      <c r="D151" s="145" t="s">
        <v>597</v>
      </c>
      <c r="E151" s="1634"/>
      <c r="F151" s="144"/>
      <c r="G151" s="144"/>
      <c r="H151" s="144"/>
      <c r="I151" s="144"/>
      <c r="J151" s="144"/>
      <c r="K151" s="1808"/>
      <c r="M151" s="7" t="s">
        <v>119</v>
      </c>
      <c r="N151" s="7">
        <v>0</v>
      </c>
      <c r="O151" s="1812"/>
    </row>
    <row r="152" spans="1:17" x14ac:dyDescent="0.25">
      <c r="A152" s="1797"/>
      <c r="B152" s="1841"/>
      <c r="C152" s="1822"/>
      <c r="D152" s="1546" t="s">
        <v>1224</v>
      </c>
      <c r="E152" s="1634"/>
      <c r="F152" s="144"/>
      <c r="G152" s="144"/>
      <c r="H152" s="144"/>
      <c r="I152" s="144"/>
      <c r="J152" s="144"/>
      <c r="K152" s="1808"/>
      <c r="M152" s="7"/>
      <c r="N152" s="7"/>
      <c r="O152" s="1622"/>
    </row>
    <row r="153" spans="1:17" x14ac:dyDescent="0.25">
      <c r="A153" s="1797"/>
      <c r="B153" s="1841"/>
      <c r="C153" s="1818" t="s">
        <v>1532</v>
      </c>
      <c r="D153" s="145" t="s">
        <v>592</v>
      </c>
      <c r="E153" s="1634"/>
      <c r="F153" s="144"/>
      <c r="G153" s="144"/>
      <c r="H153" s="144"/>
      <c r="I153" s="144"/>
      <c r="J153" s="144"/>
      <c r="K153" s="1808"/>
      <c r="M153" s="7" t="s">
        <v>87</v>
      </c>
      <c r="N153" s="7">
        <v>0</v>
      </c>
      <c r="O153" s="1812"/>
    </row>
    <row r="154" spans="1:17" x14ac:dyDescent="0.25">
      <c r="A154" s="1797"/>
      <c r="B154" s="1841"/>
      <c r="C154" s="1819"/>
      <c r="D154" s="145" t="s">
        <v>593</v>
      </c>
      <c r="E154" s="1634"/>
      <c r="F154" s="144"/>
      <c r="G154" s="144"/>
      <c r="H154" s="144"/>
      <c r="I154" s="144"/>
      <c r="J154" s="144"/>
      <c r="K154" s="1808"/>
      <c r="M154" s="7" t="s">
        <v>567</v>
      </c>
      <c r="N154" s="7">
        <v>0</v>
      </c>
      <c r="O154" s="1812"/>
    </row>
    <row r="155" spans="1:17" x14ac:dyDescent="0.25">
      <c r="A155" s="1797"/>
      <c r="B155" s="1842"/>
      <c r="C155" s="1819"/>
      <c r="D155" s="145" t="s">
        <v>594</v>
      </c>
      <c r="E155" s="1634"/>
      <c r="F155" s="144"/>
      <c r="G155" s="144"/>
      <c r="H155" s="144"/>
      <c r="I155" s="144"/>
      <c r="J155" s="144"/>
      <c r="K155" s="1808"/>
      <c r="M155" s="7" t="s">
        <v>119</v>
      </c>
      <c r="N155" s="7">
        <v>0</v>
      </c>
      <c r="O155" s="1812"/>
    </row>
    <row r="156" spans="1:17" x14ac:dyDescent="0.25">
      <c r="A156" s="1797"/>
      <c r="B156" s="1549" t="s">
        <v>1626</v>
      </c>
      <c r="C156" s="1549"/>
      <c r="D156" s="1548" t="s">
        <v>623</v>
      </c>
      <c r="E156" s="1635">
        <f>SUM(E133:E155)*0.1</f>
        <v>0.8</v>
      </c>
      <c r="F156" s="144"/>
      <c r="G156" s="144"/>
      <c r="H156" s="144"/>
      <c r="I156" s="144"/>
      <c r="J156" s="144"/>
      <c r="K156" s="1808"/>
      <c r="M156" s="1813" t="s">
        <v>447</v>
      </c>
      <c r="N156" s="1811"/>
      <c r="O156" s="1811"/>
    </row>
    <row r="157" spans="1:17" x14ac:dyDescent="0.25">
      <c r="A157" s="1804"/>
      <c r="B157" s="1550" t="s">
        <v>1627</v>
      </c>
      <c r="C157" s="1550"/>
      <c r="D157" s="1548" t="s">
        <v>156</v>
      </c>
      <c r="E157" s="1635">
        <f>SUM(E133:E155)*0.2</f>
        <v>1.6</v>
      </c>
      <c r="F157" s="144"/>
      <c r="G157" s="144"/>
      <c r="H157" s="144"/>
      <c r="I157" s="144"/>
      <c r="J157" s="144"/>
      <c r="K157" s="1809"/>
      <c r="M157" s="7" t="s">
        <v>87</v>
      </c>
      <c r="N157" s="7">
        <v>0</v>
      </c>
      <c r="O157" s="1812"/>
    </row>
    <row r="158" spans="1:17" ht="14.45" customHeight="1" x14ac:dyDescent="0.25">
      <c r="A158" s="1823" t="s">
        <v>1628</v>
      </c>
      <c r="B158" s="1796" t="s">
        <v>1629</v>
      </c>
      <c r="C158" s="1796" t="s">
        <v>1533</v>
      </c>
      <c r="D158" s="145" t="s">
        <v>137</v>
      </c>
      <c r="E158" s="1634"/>
      <c r="F158" s="144"/>
      <c r="G158" s="144"/>
      <c r="H158" s="144"/>
      <c r="I158" s="144"/>
      <c r="J158" s="144"/>
      <c r="K158" s="1817" t="s">
        <v>1558</v>
      </c>
      <c r="M158" s="7" t="s">
        <v>567</v>
      </c>
      <c r="N158" s="7">
        <v>0</v>
      </c>
      <c r="O158" s="1812"/>
    </row>
    <row r="159" spans="1:17" x14ac:dyDescent="0.25">
      <c r="A159" s="1824"/>
      <c r="B159" s="1797"/>
      <c r="C159" s="1797"/>
      <c r="D159" s="145" t="s">
        <v>598</v>
      </c>
      <c r="E159" s="1634"/>
      <c r="F159" s="144"/>
      <c r="G159" s="144"/>
      <c r="H159" s="144"/>
      <c r="I159" s="144"/>
      <c r="J159" s="144"/>
      <c r="K159" s="1808"/>
      <c r="M159" s="7" t="s">
        <v>119</v>
      </c>
      <c r="N159" s="7">
        <v>0</v>
      </c>
      <c r="O159" s="1812"/>
    </row>
    <row r="160" spans="1:17" ht="15" customHeight="1" x14ac:dyDescent="0.25">
      <c r="A160" s="1824"/>
      <c r="B160" s="1797"/>
      <c r="C160" s="1797"/>
      <c r="D160" s="145" t="s">
        <v>136</v>
      </c>
      <c r="E160" s="1634"/>
      <c r="F160" s="144"/>
      <c r="G160" s="144"/>
      <c r="H160" s="144"/>
      <c r="I160" s="144"/>
      <c r="J160" s="144"/>
      <c r="K160" s="1808"/>
      <c r="M160" s="1813" t="s">
        <v>1</v>
      </c>
      <c r="N160" s="1811"/>
      <c r="O160" s="1811"/>
    </row>
    <row r="161" spans="1:15" x14ac:dyDescent="0.25">
      <c r="A161" s="1824"/>
      <c r="B161" s="1797"/>
      <c r="C161" s="1797"/>
      <c r="D161" s="145" t="s">
        <v>592</v>
      </c>
      <c r="E161" s="1634"/>
      <c r="F161" s="144"/>
      <c r="G161" s="144"/>
      <c r="H161" s="144"/>
      <c r="I161" s="144"/>
      <c r="J161" s="144"/>
      <c r="K161" s="1808"/>
      <c r="M161" s="7" t="s">
        <v>87</v>
      </c>
      <c r="N161" s="7">
        <v>0</v>
      </c>
      <c r="O161" s="1812"/>
    </row>
    <row r="162" spans="1:15" x14ac:dyDescent="0.25">
      <c r="A162" s="1824"/>
      <c r="B162" s="1797"/>
      <c r="C162" s="1797"/>
      <c r="D162" s="145" t="s">
        <v>593</v>
      </c>
      <c r="E162" s="1634"/>
      <c r="F162" s="144"/>
      <c r="G162" s="144"/>
      <c r="H162" s="144"/>
      <c r="I162" s="144"/>
      <c r="J162" s="144"/>
      <c r="K162" s="1808"/>
      <c r="M162" s="7" t="s">
        <v>567</v>
      </c>
      <c r="N162" s="7">
        <v>0</v>
      </c>
      <c r="O162" s="1812"/>
    </row>
    <row r="163" spans="1:15" x14ac:dyDescent="0.25">
      <c r="A163" s="1824"/>
      <c r="B163" s="1797"/>
      <c r="C163" s="1797"/>
      <c r="D163" s="145" t="s">
        <v>594</v>
      </c>
      <c r="E163" s="1634"/>
      <c r="F163" s="144"/>
      <c r="G163" s="144"/>
      <c r="H163" s="144"/>
      <c r="I163" s="144"/>
      <c r="J163" s="144"/>
      <c r="K163" s="1808"/>
      <c r="M163" s="7"/>
      <c r="N163" s="7"/>
      <c r="O163" s="1812"/>
    </row>
    <row r="164" spans="1:15" x14ac:dyDescent="0.25">
      <c r="A164" s="1824"/>
      <c r="B164" s="1797"/>
      <c r="C164" s="1797"/>
      <c r="D164" s="145" t="s">
        <v>137</v>
      </c>
      <c r="E164" s="1634"/>
      <c r="F164" s="144"/>
      <c r="G164" s="144"/>
      <c r="H164" s="144"/>
      <c r="I164" s="144"/>
      <c r="J164" s="144"/>
      <c r="K164" s="1808"/>
      <c r="M164" s="7" t="s">
        <v>119</v>
      </c>
      <c r="N164" s="7">
        <v>0</v>
      </c>
      <c r="O164" s="1812"/>
    </row>
    <row r="165" spans="1:15" x14ac:dyDescent="0.25">
      <c r="A165" s="1824"/>
      <c r="B165" s="1804"/>
      <c r="C165" s="1804"/>
      <c r="D165" s="145" t="s">
        <v>598</v>
      </c>
      <c r="E165" s="1634"/>
      <c r="F165" s="144"/>
      <c r="G165" s="144"/>
      <c r="H165" s="144"/>
      <c r="I165" s="144"/>
      <c r="J165" s="144"/>
      <c r="K165" s="1808"/>
      <c r="M165" s="1813" t="s">
        <v>11</v>
      </c>
      <c r="N165" s="1811"/>
      <c r="O165" s="1811"/>
    </row>
    <row r="166" spans="1:15" x14ac:dyDescent="0.25">
      <c r="A166" s="1824"/>
      <c r="B166" s="1796" t="s">
        <v>1630</v>
      </c>
      <c r="C166" s="1796" t="s">
        <v>1534</v>
      </c>
      <c r="D166" s="145" t="s">
        <v>592</v>
      </c>
      <c r="E166" s="1634"/>
      <c r="F166" s="144"/>
      <c r="G166" s="144"/>
      <c r="H166" s="144"/>
      <c r="I166" s="144"/>
      <c r="J166" s="144"/>
      <c r="K166" s="1808"/>
      <c r="M166" s="7" t="s">
        <v>87</v>
      </c>
      <c r="N166" s="7">
        <v>0</v>
      </c>
      <c r="O166" s="1812"/>
    </row>
    <row r="167" spans="1:15" x14ac:dyDescent="0.25">
      <c r="A167" s="1824"/>
      <c r="B167" s="1797"/>
      <c r="C167" s="1797"/>
      <c r="D167" s="145" t="s">
        <v>593</v>
      </c>
      <c r="E167" s="1634"/>
      <c r="F167" s="144"/>
      <c r="G167" s="144"/>
      <c r="H167" s="144"/>
      <c r="I167" s="144"/>
      <c r="J167" s="144"/>
      <c r="K167" s="1808"/>
      <c r="M167" s="7" t="s">
        <v>567</v>
      </c>
      <c r="N167" s="7">
        <v>0</v>
      </c>
      <c r="O167" s="1812"/>
    </row>
    <row r="168" spans="1:15" x14ac:dyDescent="0.25">
      <c r="A168" s="1824"/>
      <c r="B168" s="1797"/>
      <c r="C168" s="1797"/>
      <c r="D168" s="145" t="s">
        <v>594</v>
      </c>
      <c r="E168" s="1634"/>
      <c r="F168" s="144"/>
      <c r="G168" s="144"/>
      <c r="H168" s="144"/>
      <c r="I168" s="144"/>
      <c r="J168" s="144"/>
      <c r="K168" s="1808"/>
      <c r="M168" s="7" t="s">
        <v>119</v>
      </c>
      <c r="N168" s="7">
        <v>0</v>
      </c>
      <c r="O168" s="1812"/>
    </row>
    <row r="169" spans="1:15" x14ac:dyDescent="0.25">
      <c r="A169" s="1824"/>
      <c r="B169" s="1797"/>
      <c r="C169" s="1797"/>
      <c r="D169" s="1546" t="s">
        <v>1224</v>
      </c>
      <c r="E169" s="1634"/>
      <c r="F169" s="144"/>
      <c r="G169" s="144"/>
      <c r="H169" s="144"/>
      <c r="I169" s="144"/>
      <c r="J169" s="144"/>
      <c r="K169" s="1808"/>
      <c r="L169" s="1542" t="s">
        <v>1525</v>
      </c>
      <c r="M169" s="7"/>
      <c r="N169" s="7"/>
      <c r="O169" s="1622"/>
    </row>
    <row r="170" spans="1:15" x14ac:dyDescent="0.25">
      <c r="A170" s="1824"/>
      <c r="B170" s="1549" t="s">
        <v>1631</v>
      </c>
      <c r="C170" s="1549"/>
      <c r="D170" s="1548" t="s">
        <v>623</v>
      </c>
      <c r="E170" s="1635">
        <f>SUM(E166:E169)*0.1</f>
        <v>0</v>
      </c>
      <c r="F170" s="144"/>
      <c r="G170" s="144"/>
      <c r="H170" s="144"/>
      <c r="I170" s="144"/>
      <c r="J170" s="144"/>
      <c r="K170" s="1808"/>
      <c r="M170" s="1813" t="s">
        <v>343</v>
      </c>
      <c r="N170" s="1811"/>
      <c r="O170" s="1811"/>
    </row>
    <row r="171" spans="1:15" x14ac:dyDescent="0.25">
      <c r="A171" s="1825"/>
      <c r="B171" s="1550" t="s">
        <v>1632</v>
      </c>
      <c r="C171" s="1550"/>
      <c r="D171" s="1548" t="s">
        <v>156</v>
      </c>
      <c r="E171" s="1635">
        <f>SUM(E166:E169)*0.2</f>
        <v>0</v>
      </c>
      <c r="F171" s="144"/>
      <c r="G171" s="144"/>
      <c r="H171" s="144"/>
      <c r="I171" s="144"/>
      <c r="J171" s="144"/>
      <c r="K171" s="1809"/>
      <c r="M171" s="7" t="s">
        <v>87</v>
      </c>
      <c r="N171" s="7">
        <v>0</v>
      </c>
      <c r="O171" s="1812"/>
    </row>
    <row r="172" spans="1:15" x14ac:dyDescent="0.25">
      <c r="A172" s="1823" t="s">
        <v>1633</v>
      </c>
      <c r="B172" s="1796" t="s">
        <v>1634</v>
      </c>
      <c r="C172" s="1796" t="s">
        <v>1536</v>
      </c>
      <c r="D172" s="145" t="s">
        <v>592</v>
      </c>
      <c r="E172" s="1634">
        <f>IFERROR(ROUNDUP(ТрЗ_ОП!H107+IF(ТрЗ_ОП!F2="Пресейл",ТрЗ_ОП!H127,0),1),"-")</f>
        <v>0</v>
      </c>
      <c r="F172" s="144"/>
      <c r="G172" s="144"/>
      <c r="H172" s="144"/>
      <c r="I172" s="144"/>
      <c r="J172" s="144"/>
      <c r="K172" s="1817" t="s">
        <v>1558</v>
      </c>
      <c r="M172" s="7" t="s">
        <v>567</v>
      </c>
      <c r="N172" s="7">
        <v>0</v>
      </c>
      <c r="O172" s="1812"/>
    </row>
    <row r="173" spans="1:15" x14ac:dyDescent="0.25">
      <c r="A173" s="1824"/>
      <c r="B173" s="1797"/>
      <c r="C173" s="1797"/>
      <c r="D173" s="145" t="s">
        <v>593</v>
      </c>
      <c r="E173" s="1634">
        <f>IFERROR(ROUNDUP(ТрЗ_ОП!H108+IF(ТрЗ_ОП!F2="Пресейл",ТрЗ_ОП!H128,0),1),"-")</f>
        <v>0</v>
      </c>
      <c r="F173" s="144"/>
      <c r="G173" s="144"/>
      <c r="H173" s="144"/>
      <c r="I173" s="144"/>
      <c r="J173" s="144"/>
      <c r="K173" s="1808"/>
      <c r="M173" s="7" t="s">
        <v>119</v>
      </c>
      <c r="N173" s="7">
        <v>0</v>
      </c>
      <c r="O173" s="1812"/>
    </row>
    <row r="174" spans="1:15" x14ac:dyDescent="0.25">
      <c r="A174" s="1824"/>
      <c r="B174" s="1797"/>
      <c r="C174" s="1797"/>
      <c r="D174" s="145" t="s">
        <v>594</v>
      </c>
      <c r="E174" s="1634">
        <f>IFERROR(ROUNDUP(ТрЗ_ОП!H109+IF(ТрЗ_ОП!F2="Пресейл",ТрЗ_ОП!H129,0),1),"-")</f>
        <v>0</v>
      </c>
      <c r="F174" s="144"/>
      <c r="G174" s="144"/>
      <c r="H174" s="144"/>
      <c r="I174" s="144"/>
      <c r="J174" s="144"/>
      <c r="K174" s="1808"/>
      <c r="M174" s="1813" t="s">
        <v>243</v>
      </c>
      <c r="N174" s="1811"/>
      <c r="O174" s="1811"/>
    </row>
    <row r="175" spans="1:15" x14ac:dyDescent="0.25">
      <c r="A175" s="1824"/>
      <c r="B175" s="1797"/>
      <c r="C175" s="1797"/>
      <c r="D175" s="1546" t="s">
        <v>1224</v>
      </c>
      <c r="E175" s="1634">
        <f>IFERROR(ROUNDUP(ТрЗ_ОП!H110+IF(ТрЗ_ОП!F2="Пресейл",ТрЗ_ОП!H130,0),1),"-")</f>
        <v>0</v>
      </c>
      <c r="F175" s="144"/>
      <c r="G175" s="144"/>
      <c r="H175" s="144"/>
      <c r="I175" s="144"/>
      <c r="J175" s="144"/>
      <c r="K175" s="1808"/>
      <c r="M175" s="1624"/>
    </row>
    <row r="176" spans="1:15" x14ac:dyDescent="0.25">
      <c r="A176" s="1824"/>
      <c r="B176" s="1797"/>
      <c r="C176" s="1797"/>
      <c r="D176" s="145" t="s">
        <v>157</v>
      </c>
      <c r="E176" s="1634">
        <f>IFERROR(SUM(E172:E174)*0.01,"-")</f>
        <v>0</v>
      </c>
      <c r="F176" s="144"/>
      <c r="G176" s="144"/>
      <c r="H176" s="144"/>
      <c r="I176" s="144"/>
      <c r="J176" s="144"/>
      <c r="K176" s="1808"/>
      <c r="M176" s="7" t="s">
        <v>87</v>
      </c>
      <c r="N176" s="7">
        <v>0</v>
      </c>
      <c r="O176" s="1812"/>
    </row>
    <row r="177" spans="1:15" x14ac:dyDescent="0.25">
      <c r="A177" s="1824"/>
      <c r="B177" s="1804"/>
      <c r="C177" s="1804"/>
      <c r="D177" s="145" t="s">
        <v>592</v>
      </c>
      <c r="E177" s="1634"/>
      <c r="F177" s="144"/>
      <c r="G177" s="144"/>
      <c r="H177" s="144"/>
      <c r="I177" s="144"/>
      <c r="J177" s="144"/>
      <c r="K177" s="1808"/>
      <c r="M177" s="7" t="s">
        <v>567</v>
      </c>
      <c r="N177" s="7">
        <v>0</v>
      </c>
      <c r="O177" s="1812"/>
    </row>
    <row r="178" spans="1:15" x14ac:dyDescent="0.25">
      <c r="A178" s="1824"/>
      <c r="B178" s="1796" t="s">
        <v>1635</v>
      </c>
      <c r="C178" s="1796" t="s">
        <v>1535</v>
      </c>
      <c r="D178" s="145" t="s">
        <v>592</v>
      </c>
      <c r="E178" s="1634">
        <f>IFERROR(ROUNDUP(ТрЗ_ОП!H111+IF(ТрЗ_ОП!F2="ЭП",ТрЗ_ОП!H127,0),1),"-")</f>
        <v>0</v>
      </c>
      <c r="F178" s="144"/>
      <c r="G178" s="144"/>
      <c r="H178" s="144"/>
      <c r="I178" s="144"/>
      <c r="J178" s="144"/>
      <c r="K178" s="1808"/>
      <c r="M178" s="7" t="s">
        <v>119</v>
      </c>
      <c r="N178" s="7">
        <v>0</v>
      </c>
      <c r="O178" s="1812"/>
    </row>
    <row r="179" spans="1:15" x14ac:dyDescent="0.25">
      <c r="A179" s="1824"/>
      <c r="B179" s="1797"/>
      <c r="C179" s="1797"/>
      <c r="D179" s="145" t="s">
        <v>593</v>
      </c>
      <c r="E179" s="1634">
        <f>IFERROR(ROUNDUP(ТрЗ_ОП!H112+IF(ТрЗ_ОП!F2="ЭП",ТрЗ_ОП!H128,0),1),"-")</f>
        <v>0</v>
      </c>
      <c r="F179" s="144"/>
      <c r="G179" s="144"/>
      <c r="H179" s="144"/>
      <c r="I179" s="144"/>
      <c r="J179" s="144"/>
      <c r="K179" s="1808"/>
      <c r="M179" s="1813" t="s">
        <v>244</v>
      </c>
      <c r="N179" s="1811"/>
      <c r="O179" s="1811"/>
    </row>
    <row r="180" spans="1:15" x14ac:dyDescent="0.25">
      <c r="A180" s="1824"/>
      <c r="B180" s="1797"/>
      <c r="C180" s="1797"/>
      <c r="D180" s="145" t="s">
        <v>594</v>
      </c>
      <c r="E180" s="1634">
        <f>IFERROR(ROUNDUP(ТрЗ_ОП!H113+IF(ТрЗ_ОП!F2="ЭП",ТрЗ_ОП!H129,0),1),"-")</f>
        <v>0</v>
      </c>
      <c r="F180" s="144"/>
      <c r="G180" s="144"/>
      <c r="H180" s="144"/>
      <c r="I180" s="144"/>
      <c r="J180" s="144"/>
      <c r="K180" s="1808"/>
      <c r="M180" s="7" t="s">
        <v>87</v>
      </c>
      <c r="N180" s="7">
        <v>0</v>
      </c>
      <c r="O180" s="1812"/>
    </row>
    <row r="181" spans="1:15" x14ac:dyDescent="0.25">
      <c r="A181" s="1824"/>
      <c r="B181" s="1797"/>
      <c r="C181" s="1797"/>
      <c r="D181" s="1546" t="s">
        <v>1224</v>
      </c>
      <c r="E181" s="1634">
        <f>IFERROR(ROUNDUP(ТрЗ_ОП!H114+IF(ТрЗ_ОП!F2="ЭП",ТрЗ_ОП!H130,0),1),"-")</f>
        <v>0</v>
      </c>
      <c r="F181" s="144"/>
      <c r="G181" s="144"/>
      <c r="H181" s="144"/>
      <c r="I181" s="144"/>
      <c r="J181" s="144"/>
      <c r="K181" s="1808"/>
      <c r="L181" s="1542" t="s">
        <v>1525</v>
      </c>
      <c r="M181" s="7"/>
      <c r="N181" s="7"/>
      <c r="O181" s="1812"/>
    </row>
    <row r="182" spans="1:15" x14ac:dyDescent="0.25">
      <c r="A182" s="1824"/>
      <c r="B182" s="1797"/>
      <c r="C182" s="1797"/>
      <c r="D182" s="145" t="s">
        <v>157</v>
      </c>
      <c r="E182" s="1634">
        <f>IFERROR(SUM(E178:E180)*0.01,"-")</f>
        <v>0</v>
      </c>
      <c r="F182" s="144"/>
      <c r="G182" s="144"/>
      <c r="H182" s="144"/>
      <c r="I182" s="144"/>
      <c r="J182" s="144"/>
      <c r="K182" s="1808"/>
      <c r="M182" s="7" t="s">
        <v>567</v>
      </c>
      <c r="N182" s="7">
        <v>0</v>
      </c>
      <c r="O182" s="1812"/>
    </row>
    <row r="183" spans="1:15" x14ac:dyDescent="0.25">
      <c r="A183" s="1824"/>
      <c r="B183" s="1804"/>
      <c r="C183" s="1804"/>
      <c r="D183" s="145" t="s">
        <v>592</v>
      </c>
      <c r="E183" s="1634"/>
      <c r="F183" s="144"/>
      <c r="G183" s="144"/>
      <c r="H183" s="144"/>
      <c r="I183" s="144"/>
      <c r="J183" s="144"/>
      <c r="K183" s="1808"/>
      <c r="M183" s="7" t="s">
        <v>119</v>
      </c>
      <c r="N183" s="7">
        <v>0</v>
      </c>
      <c r="O183" s="1812"/>
    </row>
    <row r="184" spans="1:15" ht="14.45" customHeight="1" x14ac:dyDescent="0.25">
      <c r="A184" s="1824"/>
      <c r="B184" s="1796" t="s">
        <v>1636</v>
      </c>
      <c r="C184" s="1796"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808"/>
      <c r="M184" s="1813" t="s">
        <v>245</v>
      </c>
      <c r="N184" s="1811"/>
      <c r="O184" s="1811"/>
    </row>
    <row r="185" spans="1:15" x14ac:dyDescent="0.25">
      <c r="A185" s="1824"/>
      <c r="B185" s="1797"/>
      <c r="C185" s="1797"/>
      <c r="D185" s="145" t="s">
        <v>593</v>
      </c>
      <c r="E185" s="1634" t="str">
        <f>IFERROR(ROUNDUP(IF(ТрЗ_ОП!$F$2="ТП",ТрЗ_ОП!H116+ТрЗ_ОП!H120+ТрЗ_ОП!H128,ТрЗ_ОП!H116+IF(ТрЗ_ОП!$F$2="ТРП",ТрЗ_ОП!H128*ТрЗ_ОП!$I$127,0)),1),"-")</f>
        <v>-</v>
      </c>
      <c r="F185" s="144"/>
      <c r="G185" s="144"/>
      <c r="H185" s="144"/>
      <c r="I185" s="144"/>
      <c r="J185" s="144"/>
      <c r="K185" s="1808"/>
      <c r="M185" s="7" t="s">
        <v>87</v>
      </c>
      <c r="N185" s="7">
        <v>0</v>
      </c>
      <c r="O185" s="1812"/>
    </row>
    <row r="186" spans="1:15" x14ac:dyDescent="0.25">
      <c r="A186" s="1824"/>
      <c r="B186" s="1797"/>
      <c r="C186" s="1797"/>
      <c r="D186" s="145" t="s">
        <v>594</v>
      </c>
      <c r="E186" s="1634" t="str">
        <f>IFERROR(ROUNDUP(IF(ТрЗ_ОП!$F$2="ТП",ТрЗ_ОП!H117+ТрЗ_ОП!H121+ТрЗ_ОП!H129,ТрЗ_ОП!H117+IF(ТрЗ_ОП!$F$2="ТРП",ТрЗ_ОП!H129*ТрЗ_ОП!$I$127,0)),1),"-")</f>
        <v>-</v>
      </c>
      <c r="F186" s="144"/>
      <c r="G186" s="144"/>
      <c r="H186" s="144"/>
      <c r="I186" s="144"/>
      <c r="J186" s="144"/>
      <c r="K186" s="1808"/>
      <c r="M186" s="7" t="s">
        <v>567</v>
      </c>
      <c r="N186" s="7">
        <v>0</v>
      </c>
      <c r="O186" s="1812"/>
    </row>
    <row r="187" spans="1:15" x14ac:dyDescent="0.25">
      <c r="A187" s="1824"/>
      <c r="B187" s="1797"/>
      <c r="C187" s="1797"/>
      <c r="D187" s="1546" t="s">
        <v>1224</v>
      </c>
      <c r="E187" s="1634" t="str">
        <f>IFERROR(ROUNDUP(IF(ТрЗ_ОП!$F$2="ТП",ТрЗ_ОП!H118+ТрЗ_ОП!H122+ТрЗ_ОП!H130,ТрЗ_ОП!H118+IF(ТрЗ_ОП!$F$2="ТРП",ТрЗ_ОП!H130*ТрЗ_ОП!$I$127,0)),1),"-")</f>
        <v>-</v>
      </c>
      <c r="F187" s="144"/>
      <c r="G187" s="144"/>
      <c r="H187" s="144"/>
      <c r="I187" s="144"/>
      <c r="J187" s="144"/>
      <c r="K187" s="1808"/>
      <c r="L187" s="1542" t="s">
        <v>1525</v>
      </c>
      <c r="M187" s="7"/>
      <c r="N187" s="7"/>
      <c r="O187" s="1812"/>
    </row>
    <row r="188" spans="1:15" x14ac:dyDescent="0.25">
      <c r="A188" s="1824"/>
      <c r="B188" s="1797"/>
      <c r="C188" s="1797"/>
      <c r="D188" s="145" t="s">
        <v>157</v>
      </c>
      <c r="E188" s="1634">
        <f>IFERROR(SUM(E184:E186)*0.02,"-")</f>
        <v>0</v>
      </c>
      <c r="F188" s="144"/>
      <c r="G188" s="144"/>
      <c r="H188" s="144"/>
      <c r="I188" s="144"/>
      <c r="J188" s="144"/>
      <c r="K188" s="1808"/>
      <c r="M188" s="7"/>
      <c r="N188" s="7"/>
      <c r="O188" s="1812"/>
    </row>
    <row r="189" spans="1:15" x14ac:dyDescent="0.25">
      <c r="A189" s="1824"/>
      <c r="B189" s="1797"/>
      <c r="C189" s="1797"/>
      <c r="D189" s="145" t="s">
        <v>592</v>
      </c>
      <c r="E189" s="1634"/>
      <c r="F189" s="144"/>
      <c r="G189" s="144"/>
      <c r="H189" s="144"/>
      <c r="I189" s="144"/>
      <c r="J189" s="144"/>
      <c r="K189" s="1808"/>
      <c r="M189" s="7" t="s">
        <v>119</v>
      </c>
      <c r="N189" s="7">
        <v>0</v>
      </c>
      <c r="O189" s="1812"/>
    </row>
    <row r="190" spans="1:15" x14ac:dyDescent="0.25">
      <c r="A190" s="1824"/>
      <c r="B190" s="1804"/>
      <c r="C190" s="1804"/>
      <c r="D190" s="145" t="s">
        <v>592</v>
      </c>
      <c r="E190" s="1634"/>
      <c r="F190" s="144"/>
      <c r="G190" s="144"/>
      <c r="H190" s="144"/>
      <c r="I190" s="144"/>
      <c r="J190" s="144"/>
      <c r="K190" s="1808"/>
      <c r="M190" s="1810" t="s">
        <v>342</v>
      </c>
      <c r="N190" s="1811"/>
      <c r="O190" s="1811"/>
    </row>
    <row r="191" spans="1:15" x14ac:dyDescent="0.25">
      <c r="A191" s="1824"/>
      <c r="B191" s="1796" t="s">
        <v>1637</v>
      </c>
      <c r="C191" s="1796" t="s">
        <v>1542</v>
      </c>
      <c r="D191" s="145" t="s">
        <v>592</v>
      </c>
      <c r="E191" s="1634" t="str">
        <f>IFERROR(ROUNDUP(IF(ТрЗ_ОП!$F$2="ТП",0,ТрЗ_ОП!H119+IF(ТрЗ_ОП!$F$2="ТРП",ТрЗ_ОП!H127*ТрЗ_ОП!$J$127,0)),1),"-")</f>
        <v>-</v>
      </c>
      <c r="F191" s="144"/>
      <c r="G191" s="144"/>
      <c r="H191" s="144"/>
      <c r="I191" s="144"/>
      <c r="J191" s="144"/>
      <c r="K191" s="1808"/>
      <c r="M191" s="1813" t="s">
        <v>245</v>
      </c>
      <c r="N191" s="1811"/>
      <c r="O191" s="1811"/>
    </row>
    <row r="192" spans="1:15" x14ac:dyDescent="0.25">
      <c r="A192" s="1824"/>
      <c r="B192" s="1797"/>
      <c r="C192" s="1797"/>
      <c r="D192" s="145" t="s">
        <v>593</v>
      </c>
      <c r="E192" s="1634" t="str">
        <f>IFERROR(ROUNDUP(IF(ТрЗ_ОП!$F$2="ТП",0,ТрЗ_ОП!H120+IF(ТрЗ_ОП!$F$2="ТРП",ТрЗ_ОП!H128*ТрЗ_ОП!$J$127,0)),1),"-")</f>
        <v>-</v>
      </c>
      <c r="F192" s="144"/>
      <c r="G192" s="144"/>
      <c r="H192" s="144"/>
      <c r="I192" s="144"/>
      <c r="J192" s="144"/>
      <c r="K192" s="1808"/>
      <c r="M192" s="7" t="s">
        <v>87</v>
      </c>
      <c r="N192" s="7">
        <v>0</v>
      </c>
      <c r="O192" s="1812"/>
    </row>
    <row r="193" spans="1:15" x14ac:dyDescent="0.25">
      <c r="A193" s="1824"/>
      <c r="B193" s="1797"/>
      <c r="C193" s="1797"/>
      <c r="D193" s="145" t="s">
        <v>594</v>
      </c>
      <c r="E193" s="1634" t="str">
        <f>IFERROR(ROUNDUP(IF(ТрЗ_ОП!$F$2="ТП",0,ТрЗ_ОП!H121+IF(ТрЗ_ОП!$F$2="ТРП",ТрЗ_ОП!H129*ТрЗ_ОП!$J$127,0)),1),"-")</f>
        <v>-</v>
      </c>
      <c r="F193" s="144"/>
      <c r="G193" s="144"/>
      <c r="H193" s="144"/>
      <c r="I193" s="144"/>
      <c r="J193" s="144"/>
      <c r="K193" s="1808"/>
      <c r="M193" s="7" t="s">
        <v>567</v>
      </c>
      <c r="N193" s="7">
        <v>0</v>
      </c>
      <c r="O193" s="1812"/>
    </row>
    <row r="194" spans="1:15" x14ac:dyDescent="0.25">
      <c r="A194" s="1824"/>
      <c r="B194" s="1797"/>
      <c r="C194" s="1797"/>
      <c r="D194" s="1546" t="s">
        <v>1224</v>
      </c>
      <c r="E194" s="1634" t="str">
        <f>IFERROR(ROUNDUP(IF(ТрЗ_ОП!$F$2="ТП",0,ТрЗ_ОП!H122+IF(ТрЗ_ОП!$F$2="ТРП",ТрЗ_ОП!H130*ТрЗ_ОП!$J$127,0)),1),"-")</f>
        <v>-</v>
      </c>
      <c r="F194" s="144"/>
      <c r="G194" s="144"/>
      <c r="H194" s="144"/>
      <c r="I194" s="144"/>
      <c r="J194" s="144"/>
      <c r="K194" s="1808"/>
      <c r="L194" s="1542" t="s">
        <v>1525</v>
      </c>
      <c r="M194" s="7"/>
      <c r="N194" s="7"/>
      <c r="O194" s="1812"/>
    </row>
    <row r="195" spans="1:15" x14ac:dyDescent="0.25">
      <c r="A195" s="1824"/>
      <c r="B195" s="1797"/>
      <c r="C195" s="1797"/>
      <c r="D195" s="145" t="s">
        <v>157</v>
      </c>
      <c r="E195" s="1634">
        <f>IFERROR(SUM(E191:E193)*0.02,"-")</f>
        <v>0</v>
      </c>
      <c r="F195" s="144"/>
      <c r="G195" s="144"/>
      <c r="H195" s="144"/>
      <c r="I195" s="144"/>
      <c r="J195" s="144"/>
      <c r="K195" s="1808"/>
      <c r="M195" s="7"/>
      <c r="N195" s="7"/>
      <c r="O195" s="1812"/>
    </row>
    <row r="196" spans="1:15" x14ac:dyDescent="0.25">
      <c r="A196" s="1824"/>
      <c r="B196" s="1797"/>
      <c r="C196" s="1797"/>
      <c r="D196" s="145" t="s">
        <v>592</v>
      </c>
      <c r="E196" s="1634"/>
      <c r="F196" s="144"/>
      <c r="G196" s="144"/>
      <c r="H196" s="144"/>
      <c r="I196" s="144"/>
      <c r="J196" s="144"/>
      <c r="K196" s="1808"/>
      <c r="M196" s="7" t="s">
        <v>119</v>
      </c>
      <c r="N196" s="7">
        <v>0</v>
      </c>
      <c r="O196" s="1812"/>
    </row>
    <row r="197" spans="1:15" x14ac:dyDescent="0.25">
      <c r="A197" s="1824"/>
      <c r="B197" s="1804"/>
      <c r="C197" s="1804"/>
      <c r="D197" s="145" t="s">
        <v>592</v>
      </c>
      <c r="E197" s="1634"/>
      <c r="F197" s="144"/>
      <c r="G197" s="144"/>
      <c r="H197" s="144"/>
      <c r="I197" s="144"/>
      <c r="J197" s="144"/>
      <c r="K197" s="1808"/>
      <c r="M197" s="1810" t="s">
        <v>342</v>
      </c>
      <c r="N197" s="1811"/>
      <c r="O197" s="1811"/>
    </row>
    <row r="198" spans="1:15" x14ac:dyDescent="0.25">
      <c r="A198" s="1824"/>
      <c r="B198" s="1796" t="s">
        <v>1638</v>
      </c>
      <c r="C198" s="1796" t="s">
        <v>1543</v>
      </c>
      <c r="D198" s="145" t="s">
        <v>592</v>
      </c>
      <c r="E198" s="1634" t="str">
        <f>IFERROR(ROUNDUP(ТрЗ_ОП!H123+IF(ТрЗ_ОП!F2="ТРП",ТрЗ_ОП!H127*ТрЗ_ОП!$K$127,0),1),"-")</f>
        <v>-</v>
      </c>
      <c r="F198" s="144"/>
      <c r="G198" s="144"/>
      <c r="H198" s="144"/>
      <c r="I198" s="144"/>
      <c r="J198" s="144"/>
      <c r="K198" s="1808"/>
      <c r="M198" s="1813" t="s">
        <v>245</v>
      </c>
      <c r="N198" s="1811"/>
      <c r="O198" s="1811"/>
    </row>
    <row r="199" spans="1:15" x14ac:dyDescent="0.25">
      <c r="A199" s="1824"/>
      <c r="B199" s="1797"/>
      <c r="C199" s="1797"/>
      <c r="D199" s="145" t="s">
        <v>593</v>
      </c>
      <c r="E199" s="1634" t="str">
        <f>IFERROR(ROUNDUP(ТрЗ_ОП!H124+IF(ТрЗ_ОП!F2="ТРП",ТрЗ_ОП!H128*ТрЗ_ОП!$K$127,0),1),"-")</f>
        <v>-</v>
      </c>
      <c r="F199" s="144"/>
      <c r="G199" s="144"/>
      <c r="H199" s="144"/>
      <c r="I199" s="144"/>
      <c r="J199" s="144"/>
      <c r="K199" s="1808"/>
      <c r="M199" s="7" t="s">
        <v>87</v>
      </c>
      <c r="N199" s="7">
        <v>0</v>
      </c>
      <c r="O199" s="1812"/>
    </row>
    <row r="200" spans="1:15" x14ac:dyDescent="0.25">
      <c r="A200" s="1824"/>
      <c r="B200" s="1797"/>
      <c r="C200" s="1797"/>
      <c r="D200" s="145" t="s">
        <v>594</v>
      </c>
      <c r="E200" s="1634" t="str">
        <f>IFERROR(ROUNDUP(ТрЗ_ОП!H125+IF(ТрЗ_ОП!F2="ТРП",ТрЗ_ОП!H129*ТрЗ_ОП!$K$127,0),1),"-")</f>
        <v>-</v>
      </c>
      <c r="F200" s="144"/>
      <c r="G200" s="144"/>
      <c r="H200" s="144"/>
      <c r="I200" s="144"/>
      <c r="J200" s="144"/>
      <c r="K200" s="1808"/>
      <c r="M200" s="7" t="s">
        <v>567</v>
      </c>
      <c r="N200" s="7">
        <v>0</v>
      </c>
      <c r="O200" s="1812"/>
    </row>
    <row r="201" spans="1:15" x14ac:dyDescent="0.25">
      <c r="A201" s="1824"/>
      <c r="B201" s="1797"/>
      <c r="C201" s="1797"/>
      <c r="D201" s="1546" t="s">
        <v>1224</v>
      </c>
      <c r="E201" s="1634">
        <f>IFERROR(ROUNDUP(IF(ТрЗ_ОП!F2="ТРП",ТрЗ_ОП!H130*ТрЗ_ОП!$K$127,0),1),"-")</f>
        <v>0</v>
      </c>
      <c r="F201" s="144"/>
      <c r="G201" s="144"/>
      <c r="H201" s="144"/>
      <c r="I201" s="144"/>
      <c r="J201" s="144"/>
      <c r="K201" s="1808"/>
      <c r="L201" s="1542" t="s">
        <v>1525</v>
      </c>
      <c r="M201" s="7"/>
      <c r="N201" s="7"/>
      <c r="O201" s="1812"/>
    </row>
    <row r="202" spans="1:15" x14ac:dyDescent="0.25">
      <c r="A202" s="1824"/>
      <c r="B202" s="1797"/>
      <c r="C202" s="1797"/>
      <c r="D202" s="145" t="s">
        <v>157</v>
      </c>
      <c r="E202" s="1634">
        <f>IFERROR(SUM(E198:E200)*0.02,"-")</f>
        <v>0</v>
      </c>
      <c r="F202" s="144"/>
      <c r="G202" s="144"/>
      <c r="H202" s="144"/>
      <c r="I202" s="144"/>
      <c r="J202" s="144"/>
      <c r="K202" s="1808"/>
      <c r="M202" s="7"/>
      <c r="N202" s="7"/>
      <c r="O202" s="1812"/>
    </row>
    <row r="203" spans="1:15" x14ac:dyDescent="0.25">
      <c r="A203" s="1824"/>
      <c r="B203" s="1797"/>
      <c r="C203" s="1797"/>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808"/>
      <c r="M203" s="7" t="s">
        <v>119</v>
      </c>
      <c r="N203" s="7">
        <v>0</v>
      </c>
      <c r="O203" s="1812"/>
    </row>
    <row r="204" spans="1:15" x14ac:dyDescent="0.25">
      <c r="A204" s="1824"/>
      <c r="B204" s="1804"/>
      <c r="C204" s="1804"/>
      <c r="D204" s="145" t="s">
        <v>592</v>
      </c>
      <c r="E204" s="1634"/>
      <c r="F204" s="144"/>
      <c r="G204" s="144"/>
      <c r="H204" s="144"/>
      <c r="I204" s="144"/>
      <c r="J204" s="144"/>
      <c r="K204" s="1808"/>
      <c r="M204" s="1810" t="s">
        <v>342</v>
      </c>
      <c r="N204" s="1811"/>
      <c r="O204" s="1811"/>
    </row>
    <row r="205" spans="1:15" ht="14.45" customHeight="1" x14ac:dyDescent="0.25">
      <c r="A205" s="1824"/>
      <c r="B205" s="1796" t="s">
        <v>1639</v>
      </c>
      <c r="C205" s="1796"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808"/>
      <c r="M205" s="7" t="s">
        <v>87</v>
      </c>
      <c r="N205" s="7">
        <v>0</v>
      </c>
      <c r="O205" s="1812"/>
    </row>
    <row r="206" spans="1:15" x14ac:dyDescent="0.25">
      <c r="A206" s="1824"/>
      <c r="B206" s="1797"/>
      <c r="C206" s="1797"/>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808"/>
      <c r="M206" s="7" t="s">
        <v>567</v>
      </c>
      <c r="N206" s="7">
        <v>0</v>
      </c>
      <c r="O206" s="1812"/>
    </row>
    <row r="207" spans="1:15" x14ac:dyDescent="0.25">
      <c r="A207" s="1824"/>
      <c r="B207" s="1797"/>
      <c r="C207" s="1797"/>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808"/>
      <c r="M207" s="7" t="s">
        <v>119</v>
      </c>
      <c r="N207" s="7">
        <v>0</v>
      </c>
      <c r="O207" s="1812"/>
    </row>
    <row r="208" spans="1:15" x14ac:dyDescent="0.25">
      <c r="A208" s="1824"/>
      <c r="B208" s="1797"/>
      <c r="C208" s="1797"/>
      <c r="D208" s="1546" t="s">
        <v>1224</v>
      </c>
      <c r="E208" s="1634"/>
      <c r="F208" s="144"/>
      <c r="G208" s="144"/>
      <c r="H208" s="144"/>
      <c r="I208" s="144"/>
      <c r="J208" s="144"/>
      <c r="K208" s="1808"/>
      <c r="L208" s="1542" t="s">
        <v>1525</v>
      </c>
      <c r="M208" s="7"/>
      <c r="N208" s="7"/>
      <c r="O208" s="1622"/>
    </row>
    <row r="209" spans="1:15" ht="14.45" customHeight="1" x14ac:dyDescent="0.25">
      <c r="A209" s="1824"/>
      <c r="B209" s="1796" t="s">
        <v>1641</v>
      </c>
      <c r="C209" s="1796"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808"/>
      <c r="M209" s="7" t="s">
        <v>87</v>
      </c>
      <c r="N209" s="7">
        <v>0</v>
      </c>
      <c r="O209" s="1812"/>
    </row>
    <row r="210" spans="1:15" x14ac:dyDescent="0.25">
      <c r="A210" s="1824"/>
      <c r="B210" s="1797"/>
      <c r="C210" s="1797"/>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808"/>
      <c r="M210" s="7" t="s">
        <v>567</v>
      </c>
      <c r="N210" s="7">
        <v>0</v>
      </c>
      <c r="O210" s="1812"/>
    </row>
    <row r="211" spans="1:15" x14ac:dyDescent="0.25">
      <c r="A211" s="1824"/>
      <c r="B211" s="1797"/>
      <c r="C211" s="1797"/>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808"/>
      <c r="M211" s="7" t="s">
        <v>119</v>
      </c>
      <c r="N211" s="7">
        <v>0</v>
      </c>
      <c r="O211" s="1812"/>
    </row>
    <row r="212" spans="1:15" x14ac:dyDescent="0.25">
      <c r="A212" s="1824"/>
      <c r="B212" s="1797"/>
      <c r="C212" s="1797"/>
      <c r="D212" s="1546" t="s">
        <v>1224</v>
      </c>
      <c r="E212" s="1634"/>
      <c r="F212" s="144"/>
      <c r="G212" s="144"/>
      <c r="H212" s="144"/>
      <c r="I212" s="144"/>
      <c r="J212" s="144"/>
      <c r="K212" s="1808"/>
      <c r="L212" s="1542" t="s">
        <v>1525</v>
      </c>
      <c r="M212" s="7"/>
      <c r="N212" s="7"/>
      <c r="O212" s="1622"/>
    </row>
    <row r="213" spans="1:15" ht="14.45" customHeight="1" x14ac:dyDescent="0.25">
      <c r="A213" s="1824"/>
      <c r="B213" s="1796" t="s">
        <v>1643</v>
      </c>
      <c r="C213" s="1796"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808"/>
      <c r="M213" s="7" t="s">
        <v>87</v>
      </c>
      <c r="N213" s="7">
        <v>0</v>
      </c>
      <c r="O213" s="1812"/>
    </row>
    <row r="214" spans="1:15" x14ac:dyDescent="0.25">
      <c r="A214" s="1824"/>
      <c r="B214" s="1797"/>
      <c r="C214" s="1797"/>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808"/>
      <c r="M214" s="7" t="s">
        <v>567</v>
      </c>
      <c r="N214" s="7">
        <v>0</v>
      </c>
      <c r="O214" s="1812"/>
    </row>
    <row r="215" spans="1:15" x14ac:dyDescent="0.25">
      <c r="A215" s="1824"/>
      <c r="B215" s="1797"/>
      <c r="C215" s="1797"/>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808"/>
      <c r="M215" s="7" t="s">
        <v>119</v>
      </c>
      <c r="N215" s="7">
        <v>0</v>
      </c>
      <c r="O215" s="1812"/>
    </row>
    <row r="216" spans="1:15" x14ac:dyDescent="0.25">
      <c r="A216" s="1824"/>
      <c r="B216" s="1797"/>
      <c r="C216" s="1797"/>
      <c r="D216" s="1546" t="s">
        <v>1224</v>
      </c>
      <c r="E216" s="1634"/>
      <c r="F216" s="144"/>
      <c r="G216" s="144"/>
      <c r="H216" s="144"/>
      <c r="I216" s="144"/>
      <c r="J216" s="144"/>
      <c r="K216" s="1808"/>
      <c r="L216" s="1542" t="s">
        <v>1525</v>
      </c>
      <c r="M216" s="7"/>
      <c r="N216" s="7"/>
      <c r="O216" s="1622"/>
    </row>
    <row r="217" spans="1:15" ht="14.45" customHeight="1" x14ac:dyDescent="0.25">
      <c r="A217" s="1824"/>
      <c r="B217" s="1796" t="s">
        <v>1645</v>
      </c>
      <c r="C217" s="1796"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808"/>
      <c r="M217" s="7" t="s">
        <v>87</v>
      </c>
      <c r="N217" s="7">
        <v>0</v>
      </c>
      <c r="O217" s="1812"/>
    </row>
    <row r="218" spans="1:15" x14ac:dyDescent="0.25">
      <c r="A218" s="1824"/>
      <c r="B218" s="1797"/>
      <c r="C218" s="1797"/>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808"/>
      <c r="M218" s="7" t="s">
        <v>567</v>
      </c>
      <c r="N218" s="7">
        <v>0</v>
      </c>
      <c r="O218" s="1812"/>
    </row>
    <row r="219" spans="1:15" x14ac:dyDescent="0.25">
      <c r="A219" s="1824"/>
      <c r="B219" s="1797"/>
      <c r="C219" s="1797"/>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808"/>
      <c r="M219" s="7" t="s">
        <v>119</v>
      </c>
      <c r="N219" s="7">
        <v>0</v>
      </c>
      <c r="O219" s="1812"/>
    </row>
    <row r="220" spans="1:15" x14ac:dyDescent="0.25">
      <c r="A220" s="1824"/>
      <c r="B220" s="1797"/>
      <c r="C220" s="1797"/>
      <c r="D220" s="1546" t="s">
        <v>1224</v>
      </c>
      <c r="E220" s="1634"/>
      <c r="F220" s="144"/>
      <c r="G220" s="144"/>
      <c r="H220" s="144"/>
      <c r="I220" s="144"/>
      <c r="J220" s="144"/>
      <c r="K220" s="1808"/>
      <c r="L220" s="1542" t="s">
        <v>1525</v>
      </c>
      <c r="M220" s="7"/>
      <c r="N220" s="7"/>
      <c r="O220" s="1622"/>
    </row>
    <row r="221" spans="1:15" x14ac:dyDescent="0.25">
      <c r="A221" s="1824"/>
      <c r="B221" s="1549" t="s">
        <v>1647</v>
      </c>
      <c r="C221" s="1549"/>
      <c r="D221" s="145" t="s">
        <v>623</v>
      </c>
      <c r="E221" s="1635">
        <f>SUM(E172:E208)*0.1</f>
        <v>0</v>
      </c>
      <c r="F221" s="144"/>
      <c r="G221" s="144"/>
      <c r="H221" s="144"/>
      <c r="I221" s="144"/>
      <c r="J221" s="144"/>
      <c r="K221" s="1808"/>
    </row>
    <row r="222" spans="1:15" x14ac:dyDescent="0.25">
      <c r="A222" s="1825"/>
      <c r="B222" s="1550" t="s">
        <v>1648</v>
      </c>
      <c r="C222" s="1550"/>
      <c r="D222" s="145" t="s">
        <v>156</v>
      </c>
      <c r="E222" s="1635">
        <f>SUM(E172:E208)*0.2</f>
        <v>0</v>
      </c>
      <c r="F222" s="144"/>
      <c r="G222" s="144"/>
      <c r="H222" s="144"/>
      <c r="I222" s="144"/>
      <c r="J222" s="144"/>
      <c r="K222" s="1809"/>
    </row>
    <row r="223" spans="1:15" x14ac:dyDescent="0.25">
      <c r="A223" s="1823" t="s">
        <v>1649</v>
      </c>
      <c r="B223" s="1796" t="s">
        <v>1650</v>
      </c>
      <c r="C223" s="1796" t="s">
        <v>1538</v>
      </c>
      <c r="D223" s="145" t="s">
        <v>137</v>
      </c>
      <c r="E223" s="1634">
        <f>IFERROR(ROUNDUP(ТрЗ_ОВ!$D$11,1),"-")</f>
        <v>0</v>
      </c>
      <c r="F223" s="144"/>
      <c r="G223" s="144"/>
      <c r="H223" s="144"/>
      <c r="I223" s="144"/>
      <c r="J223" s="144"/>
      <c r="K223" s="1817" t="s">
        <v>1558</v>
      </c>
    </row>
    <row r="224" spans="1:15" x14ac:dyDescent="0.25">
      <c r="A224" s="1824"/>
      <c r="B224" s="1797"/>
      <c r="C224" s="1797"/>
      <c r="D224" s="145" t="s">
        <v>598</v>
      </c>
      <c r="E224" s="1634">
        <f>IFERROR(ROUNDUP(ТрЗ_ОВ!$D$10,1),"-")</f>
        <v>0</v>
      </c>
      <c r="F224" s="144"/>
      <c r="G224" s="144"/>
      <c r="H224" s="144"/>
      <c r="I224" s="144"/>
      <c r="J224" s="144"/>
      <c r="K224" s="1808"/>
    </row>
    <row r="225" spans="1:11" x14ac:dyDescent="0.25">
      <c r="A225" s="1824"/>
      <c r="B225" s="1797"/>
      <c r="C225" s="1797"/>
      <c r="D225" s="145" t="s">
        <v>136</v>
      </c>
      <c r="E225" s="1634">
        <f>IFERROR(ROUNDUP(ТрЗ_ОВ!$D$9,1),"-")</f>
        <v>0</v>
      </c>
      <c r="F225" s="144"/>
      <c r="G225" s="144"/>
      <c r="H225" s="144"/>
      <c r="I225" s="144"/>
      <c r="J225" s="144"/>
      <c r="K225" s="1808"/>
    </row>
    <row r="226" spans="1:11" x14ac:dyDescent="0.25">
      <c r="A226" s="1824"/>
      <c r="B226" s="1797"/>
      <c r="C226" s="1797"/>
      <c r="D226" s="145" t="s">
        <v>592</v>
      </c>
      <c r="E226" s="1634"/>
      <c r="F226" s="144"/>
      <c r="G226" s="144"/>
      <c r="H226" s="144"/>
      <c r="I226" s="144"/>
      <c r="J226" s="144"/>
      <c r="K226" s="1808"/>
    </row>
    <row r="227" spans="1:11" x14ac:dyDescent="0.25">
      <c r="A227" s="1824"/>
      <c r="B227" s="1804"/>
      <c r="C227" s="1804"/>
      <c r="D227" s="145" t="s">
        <v>593</v>
      </c>
      <c r="E227" s="1634"/>
      <c r="F227" s="144"/>
      <c r="G227" s="144"/>
      <c r="H227" s="144"/>
      <c r="I227" s="144"/>
      <c r="J227" s="144"/>
      <c r="K227" s="1808"/>
    </row>
    <row r="228" spans="1:11" x14ac:dyDescent="0.25">
      <c r="A228" s="1824"/>
      <c r="B228" s="1796" t="s">
        <v>1651</v>
      </c>
      <c r="C228" s="1796" t="s">
        <v>1541</v>
      </c>
      <c r="D228" s="145" t="s">
        <v>137</v>
      </c>
      <c r="E228" s="1634">
        <f>IFERROR(ROUNDUP(ТрЗ_ОВ!$D$16,1),"-")</f>
        <v>0</v>
      </c>
      <c r="F228" s="144"/>
      <c r="G228" s="144"/>
      <c r="H228" s="144"/>
      <c r="I228" s="144"/>
      <c r="J228" s="144"/>
      <c r="K228" s="1808"/>
    </row>
    <row r="229" spans="1:11" x14ac:dyDescent="0.25">
      <c r="A229" s="1824"/>
      <c r="B229" s="1797"/>
      <c r="C229" s="1797"/>
      <c r="D229" s="145" t="s">
        <v>598</v>
      </c>
      <c r="E229" s="1634">
        <f>IFERROR(ROUNDUP(ТрЗ_ОВ!$D$15,1),"-")</f>
        <v>0</v>
      </c>
      <c r="F229" s="144"/>
      <c r="G229" s="144"/>
      <c r="H229" s="144"/>
      <c r="I229" s="144"/>
      <c r="J229" s="144"/>
      <c r="K229" s="1808"/>
    </row>
    <row r="230" spans="1:11" x14ac:dyDescent="0.25">
      <c r="A230" s="1824"/>
      <c r="B230" s="1797"/>
      <c r="C230" s="1797"/>
      <c r="D230" s="145" t="s">
        <v>136</v>
      </c>
      <c r="E230" s="1634">
        <f>IFERROR(ROUNDUP(ТрЗ_ОВ!$D$14,1),"-")</f>
        <v>0</v>
      </c>
      <c r="F230" s="144"/>
      <c r="G230" s="144"/>
      <c r="H230" s="144"/>
      <c r="I230" s="144"/>
      <c r="J230" s="144"/>
      <c r="K230" s="1808"/>
    </row>
    <row r="231" spans="1:11" x14ac:dyDescent="0.25">
      <c r="A231" s="1824"/>
      <c r="B231" s="1797"/>
      <c r="C231" s="1797"/>
      <c r="D231" s="145" t="s">
        <v>592</v>
      </c>
      <c r="E231" s="1634"/>
      <c r="F231" s="144"/>
      <c r="G231" s="144"/>
      <c r="H231" s="144"/>
      <c r="I231" s="144"/>
      <c r="J231" s="144"/>
      <c r="K231" s="1808"/>
    </row>
    <row r="232" spans="1:11" x14ac:dyDescent="0.25">
      <c r="A232" s="1824"/>
      <c r="B232" s="1797"/>
      <c r="C232" s="1797"/>
      <c r="D232" s="145" t="s">
        <v>593</v>
      </c>
      <c r="E232" s="1634"/>
      <c r="F232" s="144"/>
      <c r="G232" s="144"/>
      <c r="H232" s="144"/>
      <c r="I232" s="144"/>
      <c r="J232" s="144"/>
      <c r="K232" s="1808"/>
    </row>
    <row r="233" spans="1:11" x14ac:dyDescent="0.25">
      <c r="A233" s="1824"/>
      <c r="B233" s="1804"/>
      <c r="C233" s="1804"/>
      <c r="D233" s="145" t="s">
        <v>594</v>
      </c>
      <c r="E233" s="1634"/>
      <c r="F233" s="144"/>
      <c r="G233" s="144"/>
      <c r="H233" s="144"/>
      <c r="I233" s="144"/>
      <c r="J233" s="144"/>
      <c r="K233" s="1808"/>
    </row>
    <row r="234" spans="1:11" x14ac:dyDescent="0.25">
      <c r="A234" s="1824"/>
      <c r="B234" s="1796" t="s">
        <v>1652</v>
      </c>
      <c r="C234" s="1796" t="s">
        <v>1540</v>
      </c>
      <c r="D234" s="145" t="s">
        <v>137</v>
      </c>
      <c r="E234" s="1634">
        <f>IFERROR(ROUNDUP(ТрЗ_ОВ!$D$21,1),"-")</f>
        <v>0</v>
      </c>
      <c r="F234" s="144"/>
      <c r="G234" s="144"/>
      <c r="H234" s="144"/>
      <c r="I234" s="144"/>
      <c r="J234" s="144"/>
      <c r="K234" s="1808"/>
    </row>
    <row r="235" spans="1:11" x14ac:dyDescent="0.25">
      <c r="A235" s="1824"/>
      <c r="B235" s="1797"/>
      <c r="C235" s="1797"/>
      <c r="D235" s="145" t="s">
        <v>598</v>
      </c>
      <c r="E235" s="1634">
        <f>IFERROR(ROUNDUP(ТрЗ_ОВ!$D$20,1),"-")</f>
        <v>0</v>
      </c>
      <c r="F235" s="144"/>
      <c r="G235" s="144"/>
      <c r="H235" s="144"/>
      <c r="I235" s="144"/>
      <c r="J235" s="144"/>
      <c r="K235" s="1808"/>
    </row>
    <row r="236" spans="1:11" x14ac:dyDescent="0.25">
      <c r="A236" s="1824"/>
      <c r="B236" s="1797"/>
      <c r="C236" s="1797"/>
      <c r="D236" s="145" t="s">
        <v>136</v>
      </c>
      <c r="E236" s="1634">
        <f>IFERROR(ROUNDUP(ТрЗ_ОВ!$D$19,1),"-")</f>
        <v>0</v>
      </c>
      <c r="F236" s="144"/>
      <c r="G236" s="144"/>
      <c r="H236" s="144"/>
      <c r="I236" s="144"/>
      <c r="J236" s="144"/>
      <c r="K236" s="1808"/>
    </row>
    <row r="237" spans="1:11" x14ac:dyDescent="0.25">
      <c r="A237" s="1824"/>
      <c r="B237" s="1797"/>
      <c r="C237" s="1797"/>
      <c r="D237" s="145" t="s">
        <v>592</v>
      </c>
      <c r="E237" s="1634"/>
      <c r="F237" s="144"/>
      <c r="G237" s="144"/>
      <c r="H237" s="144"/>
      <c r="I237" s="144"/>
      <c r="J237" s="144"/>
      <c r="K237" s="1808"/>
    </row>
    <row r="238" spans="1:11" x14ac:dyDescent="0.25">
      <c r="A238" s="1824"/>
      <c r="B238" s="1804"/>
      <c r="C238" s="1804"/>
      <c r="D238" s="145" t="s">
        <v>593</v>
      </c>
      <c r="E238" s="1634"/>
      <c r="F238" s="144"/>
      <c r="G238" s="144"/>
      <c r="H238" s="144"/>
      <c r="I238" s="144"/>
      <c r="J238" s="144"/>
      <c r="K238" s="1808"/>
    </row>
    <row r="239" spans="1:11" ht="14.45" customHeight="1" x14ac:dyDescent="0.25">
      <c r="A239" s="1824"/>
      <c r="B239" s="1796" t="s">
        <v>1653</v>
      </c>
      <c r="C239" s="1796" t="s">
        <v>1539</v>
      </c>
      <c r="D239" s="145" t="s">
        <v>137</v>
      </c>
      <c r="E239" s="1634">
        <f>IFERROR(ROUNDUP(ТрЗ_ОВ!$D$26,1),"-")</f>
        <v>0</v>
      </c>
      <c r="F239" s="144"/>
      <c r="G239" s="144"/>
      <c r="H239" s="144"/>
      <c r="I239" s="144"/>
      <c r="J239" s="144"/>
      <c r="K239" s="1808"/>
    </row>
    <row r="240" spans="1:11" x14ac:dyDescent="0.25">
      <c r="A240" s="1824"/>
      <c r="B240" s="1797"/>
      <c r="C240" s="1797"/>
      <c r="D240" s="145" t="s">
        <v>598</v>
      </c>
      <c r="E240" s="1634">
        <f>IFERROR(ROUNDUP(ТрЗ_ОВ!$D$25,1),"-")</f>
        <v>0</v>
      </c>
      <c r="F240" s="144"/>
      <c r="G240" s="144"/>
      <c r="H240" s="144"/>
      <c r="I240" s="144"/>
      <c r="J240" s="144"/>
      <c r="K240" s="1808"/>
    </row>
    <row r="241" spans="1:17" x14ac:dyDescent="0.25">
      <c r="A241" s="1824"/>
      <c r="B241" s="1797"/>
      <c r="C241" s="1797"/>
      <c r="D241" s="145" t="s">
        <v>136</v>
      </c>
      <c r="E241" s="1634">
        <f>IFERROR(ROUNDUP(ТрЗ_ОВ!$D$24,1),"-")</f>
        <v>0</v>
      </c>
      <c r="F241" s="144"/>
      <c r="G241" s="144"/>
      <c r="H241" s="144"/>
      <c r="I241" s="144"/>
      <c r="J241" s="144"/>
      <c r="K241" s="1808"/>
    </row>
    <row r="242" spans="1:17" x14ac:dyDescent="0.25">
      <c r="A242" s="1824"/>
      <c r="B242" s="1797"/>
      <c r="C242" s="1797"/>
      <c r="D242" s="145" t="s">
        <v>592</v>
      </c>
      <c r="E242" s="1634"/>
      <c r="F242" s="144"/>
      <c r="G242" s="144"/>
      <c r="H242" s="144"/>
      <c r="I242" s="144"/>
      <c r="J242" s="144"/>
      <c r="K242" s="1808"/>
    </row>
    <row r="243" spans="1:17" x14ac:dyDescent="0.25">
      <c r="A243" s="1824"/>
      <c r="B243" s="1797"/>
      <c r="C243" s="1797"/>
      <c r="D243" s="145" t="s">
        <v>595</v>
      </c>
      <c r="E243" s="1634"/>
      <c r="F243" s="144"/>
      <c r="G243" s="144"/>
      <c r="H243" s="144"/>
      <c r="I243" s="144"/>
      <c r="J243" s="144"/>
      <c r="K243" s="1808"/>
    </row>
    <row r="244" spans="1:17" x14ac:dyDescent="0.25">
      <c r="A244" s="1824"/>
      <c r="B244" s="1797"/>
      <c r="C244" s="1797"/>
      <c r="D244" s="145" t="s">
        <v>596</v>
      </c>
      <c r="E244" s="1634"/>
      <c r="F244" s="144"/>
      <c r="G244" s="144"/>
      <c r="H244" s="144"/>
      <c r="I244" s="144"/>
      <c r="J244" s="144"/>
      <c r="K244" s="1808"/>
    </row>
    <row r="245" spans="1:17" x14ac:dyDescent="0.25">
      <c r="A245" s="1824"/>
      <c r="B245" s="1549" t="s">
        <v>1654</v>
      </c>
      <c r="C245" s="1549"/>
      <c r="D245" s="145" t="s">
        <v>623</v>
      </c>
      <c r="E245" s="1635">
        <f>SUM(E223:E244)*0.1</f>
        <v>0</v>
      </c>
      <c r="F245" s="144"/>
      <c r="G245" s="144"/>
      <c r="H245" s="144"/>
      <c r="I245" s="144"/>
      <c r="J245" s="144"/>
      <c r="K245" s="1808"/>
    </row>
    <row r="246" spans="1:17" x14ac:dyDescent="0.25">
      <c r="A246" s="1825"/>
      <c r="B246" s="1550" t="s">
        <v>1655</v>
      </c>
      <c r="C246" s="1550"/>
      <c r="D246" s="145" t="s">
        <v>156</v>
      </c>
      <c r="E246" s="1635">
        <f>SUM(E223:E244)*0.2</f>
        <v>0</v>
      </c>
      <c r="F246" s="144"/>
      <c r="G246" s="144"/>
      <c r="H246" s="144"/>
      <c r="I246" s="144"/>
      <c r="J246" s="144"/>
      <c r="K246" s="1809"/>
    </row>
    <row r="247" spans="1:17" ht="15.75" x14ac:dyDescent="0.25">
      <c r="A247" s="1796" t="s">
        <v>1656</v>
      </c>
      <c r="B247" s="1796" t="s">
        <v>1657</v>
      </c>
      <c r="C247" s="1797"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817" t="s">
        <v>1558</v>
      </c>
      <c r="M247" s="7" t="s">
        <v>567</v>
      </c>
      <c r="N247" s="7">
        <v>0</v>
      </c>
      <c r="Q247" s="1272"/>
    </row>
    <row r="248" spans="1:17" ht="15.75" x14ac:dyDescent="0.25">
      <c r="A248" s="1797"/>
      <c r="B248" s="1797"/>
      <c r="C248" s="1797"/>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808"/>
      <c r="M248" s="7" t="s">
        <v>119</v>
      </c>
      <c r="N248" s="7">
        <v>0</v>
      </c>
      <c r="Q248" s="1272"/>
    </row>
    <row r="249" spans="1:17" ht="35.25" customHeight="1" x14ac:dyDescent="0.25">
      <c r="A249" s="1797"/>
      <c r="B249" s="1797"/>
      <c r="C249" s="1797"/>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808"/>
      <c r="M249" s="7"/>
      <c r="N249" s="7"/>
      <c r="Q249" s="1272"/>
    </row>
    <row r="250" spans="1:17" x14ac:dyDescent="0.25">
      <c r="A250" s="1797"/>
      <c r="B250" s="1549" t="s">
        <v>1658</v>
      </c>
      <c r="C250" s="1549"/>
      <c r="D250" s="1548" t="s">
        <v>623</v>
      </c>
      <c r="E250" s="1635">
        <f>SUM(E247:E249)*0.1</f>
        <v>0</v>
      </c>
      <c r="F250" s="144"/>
      <c r="G250" s="144"/>
      <c r="H250" s="144"/>
      <c r="I250" s="144"/>
      <c r="J250" s="144"/>
      <c r="K250" s="1808"/>
      <c r="M250" s="7"/>
      <c r="N250" s="7"/>
    </row>
    <row r="251" spans="1:17" ht="27" customHeight="1" x14ac:dyDescent="0.25">
      <c r="A251" s="1804"/>
      <c r="B251" s="1550" t="s">
        <v>1659</v>
      </c>
      <c r="C251" s="1550"/>
      <c r="D251" s="1548" t="s">
        <v>156</v>
      </c>
      <c r="E251" s="1635">
        <f>SUM(E247:E249)*0.2</f>
        <v>0</v>
      </c>
      <c r="F251" s="144"/>
      <c r="G251" s="144"/>
      <c r="H251" s="144"/>
      <c r="I251" s="144"/>
      <c r="J251" s="144"/>
      <c r="K251" s="1809"/>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37" t="s">
        <v>1513</v>
      </c>
      <c r="G253" s="1838"/>
      <c r="H253" s="1838"/>
      <c r="I253" s="1838"/>
      <c r="J253" s="1838"/>
      <c r="K253" s="1838"/>
      <c r="L253" s="1838"/>
      <c r="M253" s="1838"/>
      <c r="N253" s="1838"/>
      <c r="O253" s="1838"/>
      <c r="P253" s="1839"/>
    </row>
    <row r="254" spans="1:17" ht="14.45" customHeight="1" x14ac:dyDescent="0.25">
      <c r="A254" s="1540"/>
      <c r="B254" s="1540"/>
      <c r="C254" s="1556" t="s">
        <v>1544</v>
      </c>
      <c r="D254" s="1540"/>
      <c r="E254" s="1541"/>
      <c r="F254" s="1830" t="s">
        <v>1517</v>
      </c>
      <c r="G254" s="1830" t="s">
        <v>1518</v>
      </c>
      <c r="H254" s="1830" t="s">
        <v>1519</v>
      </c>
      <c r="I254" s="1828" t="s">
        <v>1520</v>
      </c>
      <c r="J254" s="1625"/>
      <c r="K254" s="1826" t="s">
        <v>1526</v>
      </c>
      <c r="L254" s="1826" t="s">
        <v>1527</v>
      </c>
      <c r="P254" s="1828" t="s">
        <v>1528</v>
      </c>
    </row>
    <row r="255" spans="1:17" ht="15.75" thickBot="1" x14ac:dyDescent="0.3">
      <c r="A255" s="1540"/>
      <c r="B255" s="1540"/>
      <c r="C255" s="1553"/>
      <c r="D255" s="1540"/>
      <c r="E255" s="1541"/>
      <c r="F255" s="1831"/>
      <c r="G255" s="1831"/>
      <c r="H255" s="1831"/>
      <c r="I255" s="1829"/>
      <c r="J255" s="1626"/>
      <c r="K255" s="1827"/>
      <c r="L255" s="1827"/>
      <c r="P255" s="1829"/>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31"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30" priority="10" stopIfTrue="1">
      <formula>$E23&lt;$J23</formula>
    </cfRule>
  </conditionalFormatting>
  <conditionalFormatting sqref="E24">
    <cfRule type="cellIs" dxfId="629" priority="28" operator="lessThan">
      <formula>$J$24+0.1</formula>
    </cfRule>
  </conditionalFormatting>
  <conditionalFormatting sqref="E25">
    <cfRule type="cellIs" dxfId="628" priority="27" operator="lessThan">
      <formula>$J$25</formula>
    </cfRule>
  </conditionalFormatting>
  <conditionalFormatting sqref="E48">
    <cfRule type="cellIs" dxfId="627" priority="26" operator="lessThan">
      <formula>$J$48</formula>
    </cfRule>
  </conditionalFormatting>
  <conditionalFormatting sqref="E49">
    <cfRule type="cellIs" dxfId="626" priority="25" operator="lessThan">
      <formula>$J$49</formula>
    </cfRule>
  </conditionalFormatting>
  <conditionalFormatting sqref="E73">
    <cfRule type="cellIs" dxfId="625" priority="24" operator="lessThan">
      <formula>$J$73</formula>
    </cfRule>
  </conditionalFormatting>
  <conditionalFormatting sqref="E74">
    <cfRule type="cellIs" dxfId="624" priority="23" operator="lessThan">
      <formula>$J$74</formula>
    </cfRule>
  </conditionalFormatting>
  <conditionalFormatting sqref="E75">
    <cfRule type="cellIs" dxfId="623" priority="22" operator="lessThan">
      <formula>$J$75</formula>
    </cfRule>
  </conditionalFormatting>
  <conditionalFormatting sqref="E50">
    <cfRule type="cellIs" dxfId="622" priority="21" operator="lessThan">
      <formula>$J$50</formula>
    </cfRule>
  </conditionalFormatting>
  <conditionalFormatting sqref="E94">
    <cfRule type="cellIs" dxfId="621" priority="20" operator="lessThan">
      <formula>$J$94</formula>
    </cfRule>
  </conditionalFormatting>
  <conditionalFormatting sqref="E95">
    <cfRule type="cellIs" dxfId="620" priority="19" operator="lessThan">
      <formula>$J$95</formula>
    </cfRule>
  </conditionalFormatting>
  <conditionalFormatting sqref="E96">
    <cfRule type="cellIs" dxfId="619" priority="18" operator="lessThan">
      <formula>$J$96</formula>
    </cfRule>
  </conditionalFormatting>
  <conditionalFormatting sqref="E14">
    <cfRule type="expression" dxfId="618" priority="9" stopIfTrue="1">
      <formula>$E14&lt;$J14</formula>
    </cfRule>
  </conditionalFormatting>
  <conditionalFormatting sqref="E19:E20">
    <cfRule type="expression" dxfId="617" priority="6" stopIfTrue="1">
      <formula>$E19&lt;$J19</formula>
    </cfRule>
  </conditionalFormatting>
  <conditionalFormatting sqref="E15">
    <cfRule type="expression" dxfId="616" priority="5" stopIfTrue="1">
      <formula>$E15&lt;$J15</formula>
    </cfRule>
  </conditionalFormatting>
  <conditionalFormatting sqref="E16">
    <cfRule type="expression" dxfId="615" priority="4" stopIfTrue="1">
      <formula>$E16&lt;$J16</formula>
    </cfRule>
  </conditionalFormatting>
  <conditionalFormatting sqref="E17">
    <cfRule type="expression" dxfId="614" priority="3" stopIfTrue="1">
      <formula>$E17&lt;$J17</formula>
    </cfRule>
  </conditionalFormatting>
  <conditionalFormatting sqref="E18">
    <cfRule type="expression" dxfId="613"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C38" sqref="C38"/>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43" t="s">
        <v>122</v>
      </c>
      <c r="H1" s="1844"/>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f ca="1">INDIRECT(ADDRESS(107,AE2,1,1,"Документы АСУТП"))</f>
        <v>3.5</v>
      </c>
      <c r="AG2">
        <f ca="1">INDIRECT(ADDRESS(108,AE2,1,1,"Документы АСУТП"))</f>
        <v>0.75</v>
      </c>
      <c r="AH2">
        <f ca="1">INDIRECT(ADDRESS(109,AE2,1,1,"Документы АСУТП"))</f>
        <v>0.75</v>
      </c>
      <c r="AI2">
        <f ca="1">INDIRECT(ADDRESS(110,$AE2,1,1,"Документы АСУТП"))</f>
        <v>2.5</v>
      </c>
      <c r="AJ2">
        <f ca="1">INDIRECT(ADDRESS(111,$AE2,1,1,"Документы АСУТП"))</f>
        <v>1.75</v>
      </c>
      <c r="AK2">
        <f ca="1">INDIRECT(ADDRESS(112,$AE2,1,1,"Документы АСУТП"))</f>
        <v>2.25</v>
      </c>
      <c r="AL2">
        <f ca="1">INDIRECT(ADDRESS(113,$AE2,1,1,"Документы АСУТП"))</f>
        <v>40.75</v>
      </c>
      <c r="AM2">
        <f ca="1">INDIRECT(ADDRESS(114,$AE2,1,1,"Документы АСУТП"))</f>
        <v>17</v>
      </c>
      <c r="AN2">
        <f ca="1">INDIRECT(ADDRESS(115,$AE2,1,1,"Документы АСУТП"))</f>
        <v>27.5</v>
      </c>
      <c r="AO2">
        <f ca="1">INDIRECT(ADDRESS(116,$AE2,1,1,"Документы АСУТП"))</f>
        <v>9.75</v>
      </c>
      <c r="AP2">
        <f ca="1">INDIRECT(ADDRESS(117,$AE2,1,1,"Документы АСУТП"))</f>
        <v>9.75</v>
      </c>
      <c r="AQ2">
        <f ca="1">INDIRECT(ADDRESS(118,$AE2,1,1,"Документы АСУТП"))</f>
        <v>15.25</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45"/>
      <c r="S10" s="1846"/>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c r="F11" s="115" t="str">
        <f ca="1">IF(A11,INDIRECT(ADDRESS(2,MATCH(C11,'АВЗ АСУТП'!1:1)+1,1,1,"АВЗ АСУТП")),"")</f>
        <v>АВЗ Кол-во смежных систем для интеграции</v>
      </c>
      <c r="G11" s="73"/>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f>SUM('Итоговый расчет АСУТП'!CO4:CO41)</f>
        <v>17</v>
      </c>
      <c r="O11" s="787" t="str">
        <f>'АВЗ АСУТП'!$D$2</f>
        <v>АВЗ Кол-во серверов управления</v>
      </c>
      <c r="P11" s="296">
        <f>E11</f>
        <v>0</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0</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t="e">
        <f>ROUNDUP('Итоговый расчет АСУТП'!EZ10/8,2)</f>
        <v>#REF!</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51" t="s">
        <v>60</v>
      </c>
      <c r="C41" s="1852"/>
      <c r="D41" s="1852"/>
      <c r="E41" s="1852"/>
      <c r="F41" s="1852"/>
      <c r="G41" s="1852"/>
      <c r="H41" s="1852"/>
      <c r="I41" s="1852"/>
      <c r="J41" s="1852"/>
      <c r="K41" s="1852"/>
      <c r="L41" s="1852"/>
      <c r="M41" s="1853"/>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54" t="s">
        <v>104</v>
      </c>
      <c r="C42" s="1855"/>
      <c r="D42" s="1855"/>
      <c r="E42" s="1855"/>
      <c r="F42" s="1855"/>
      <c r="G42" s="1855"/>
      <c r="H42" s="1855"/>
      <c r="I42" s="1855"/>
      <c r="J42" s="1855"/>
      <c r="K42" s="1855"/>
      <c r="L42" s="1855"/>
      <c r="M42" s="1856"/>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57" t="s">
        <v>564</v>
      </c>
      <c r="C43" s="1858"/>
      <c r="D43" s="1858"/>
      <c r="E43" s="1858"/>
      <c r="F43" s="1858"/>
      <c r="G43" s="1858"/>
      <c r="H43" s="1858"/>
      <c r="I43" s="1858"/>
      <c r="J43" s="1858"/>
      <c r="K43" s="1858"/>
      <c r="L43" s="1858"/>
      <c r="M43" s="1859"/>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47" t="s">
        <v>447</v>
      </c>
      <c r="C107" s="1865"/>
      <c r="D107" s="1860"/>
      <c r="E107" s="1849"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48"/>
      <c r="C108" s="1866"/>
      <c r="D108" s="1861"/>
      <c r="E108" s="1850"/>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48"/>
      <c r="C109" s="1866"/>
      <c r="D109" s="1861"/>
      <c r="E109" s="1850"/>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48"/>
      <c r="C110" s="1866"/>
      <c r="D110" s="1862"/>
      <c r="E110" s="1850"/>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47" t="s">
        <v>1506</v>
      </c>
      <c r="C111" s="1865"/>
      <c r="D111" s="1860"/>
      <c r="E111" s="1849"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48"/>
      <c r="C112" s="1866"/>
      <c r="D112" s="1861"/>
      <c r="E112" s="1850"/>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48"/>
      <c r="C113" s="1866"/>
      <c r="D113" s="1861"/>
      <c r="E113" s="1850"/>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48"/>
      <c r="C114" s="1866"/>
      <c r="D114" s="1862"/>
      <c r="E114" s="1850"/>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47" t="s">
        <v>1509</v>
      </c>
      <c r="C115" s="1865" t="s">
        <v>1690</v>
      </c>
      <c r="D115" s="1860"/>
      <c r="E115" s="1869"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48"/>
      <c r="C116" s="1866"/>
      <c r="D116" s="1861"/>
      <c r="E116" s="1870"/>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48"/>
      <c r="C117" s="1866"/>
      <c r="D117" s="1861"/>
      <c r="E117" s="1870"/>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48"/>
      <c r="C118" s="1866"/>
      <c r="D118" s="1862"/>
      <c r="E118" s="1871"/>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72" t="s">
        <v>1507</v>
      </c>
      <c r="C119" s="1866"/>
      <c r="D119" s="1860"/>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72"/>
      <c r="C120" s="1866"/>
      <c r="D120" s="1861"/>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72"/>
      <c r="C121" s="1866"/>
      <c r="D121" s="1861"/>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72"/>
      <c r="C122" s="1866"/>
      <c r="D122" s="1862"/>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72" t="s">
        <v>1508</v>
      </c>
      <c r="C123" s="1866"/>
      <c r="D123" s="1860"/>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72"/>
      <c r="C124" s="1866"/>
      <c r="D124" s="1861"/>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72"/>
      <c r="C125" s="1866"/>
      <c r="D125" s="1861"/>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72"/>
      <c r="C126" s="1875"/>
      <c r="D126" s="1862"/>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47" t="s">
        <v>88</v>
      </c>
      <c r="C127" s="1874" t="s">
        <v>1689</v>
      </c>
      <c r="D127" s="1860" t="s">
        <v>1572</v>
      </c>
      <c r="E127" s="858" t="str">
        <f>IF(O127&gt;0,"","")</f>
        <v/>
      </c>
      <c r="F127" s="386" t="s">
        <v>508</v>
      </c>
      <c r="G127" s="844" t="str">
        <f>IF($D$88&gt;0,$D$88,"0")</f>
        <v>0</v>
      </c>
      <c r="H127" s="844">
        <f t="shared" si="27"/>
        <v>0</v>
      </c>
      <c r="I127" s="1879">
        <v>0.3</v>
      </c>
      <c r="J127" s="1879">
        <v>0.5</v>
      </c>
      <c r="K127" s="1879">
        <v>0.2</v>
      </c>
      <c r="L127" s="59"/>
      <c r="M127" s="59"/>
      <c r="N127" s="58"/>
      <c r="O127" s="919">
        <f>ROUNDUP(SUM(G127:G129)*1.4,2)</f>
        <v>0</v>
      </c>
      <c r="P127" s="216"/>
      <c r="Q127" s="216"/>
      <c r="R127" s="216"/>
      <c r="S127" s="216"/>
      <c r="T127" s="216"/>
      <c r="U127" s="216"/>
    </row>
    <row r="128" spans="1:21" x14ac:dyDescent="0.25">
      <c r="A128" s="216"/>
      <c r="B128" s="1848"/>
      <c r="C128" s="1866"/>
      <c r="D128" s="1861"/>
      <c r="E128" s="859"/>
      <c r="F128" s="861" t="s">
        <v>509</v>
      </c>
      <c r="G128" s="845" t="str">
        <f>IF($E$88&gt;0,$E$88,"0")</f>
        <v>0</v>
      </c>
      <c r="H128" s="845">
        <f t="shared" si="27"/>
        <v>0</v>
      </c>
      <c r="I128" s="1880"/>
      <c r="J128" s="1880"/>
      <c r="K128" s="1880"/>
      <c r="L128" s="538"/>
      <c r="M128" s="538"/>
      <c r="N128" s="55"/>
      <c r="O128" s="920"/>
      <c r="P128" s="216"/>
      <c r="Q128" s="216"/>
      <c r="R128" s="216"/>
      <c r="S128" s="216"/>
      <c r="T128" s="216"/>
      <c r="U128" s="216"/>
    </row>
    <row r="129" spans="1:21" x14ac:dyDescent="0.25">
      <c r="A129" s="216"/>
      <c r="B129" s="1848"/>
      <c r="C129" s="1866"/>
      <c r="D129" s="1861"/>
      <c r="E129" s="859"/>
      <c r="F129" s="861" t="s">
        <v>510</v>
      </c>
      <c r="G129" s="845" t="str">
        <f>IF($F$88&gt;0,$F$88,"0")</f>
        <v>0</v>
      </c>
      <c r="H129" s="845">
        <f t="shared" si="27"/>
        <v>0</v>
      </c>
      <c r="I129" s="1880"/>
      <c r="J129" s="1880"/>
      <c r="K129" s="1880"/>
      <c r="L129" s="538"/>
      <c r="M129" s="538"/>
      <c r="N129" s="55"/>
      <c r="O129" s="920"/>
      <c r="P129" s="216"/>
      <c r="Q129" s="216"/>
      <c r="R129" s="216"/>
      <c r="S129" s="216"/>
      <c r="T129" s="216"/>
      <c r="U129" s="216"/>
    </row>
    <row r="130" spans="1:21" x14ac:dyDescent="0.25">
      <c r="A130" s="216"/>
      <c r="B130" s="1873"/>
      <c r="C130" s="1875"/>
      <c r="D130" s="1862"/>
      <c r="E130" s="860"/>
      <c r="F130" s="861" t="s">
        <v>48</v>
      </c>
      <c r="G130" s="846" t="str">
        <f>IF($G$88&gt;0,$G$88,"0")</f>
        <v>0</v>
      </c>
      <c r="H130" s="846">
        <f t="shared" si="27"/>
        <v>0</v>
      </c>
      <c r="I130" s="1881"/>
      <c r="J130" s="1881"/>
      <c r="K130" s="1881"/>
      <c r="L130" s="57"/>
      <c r="M130" s="57"/>
      <c r="N130" s="56"/>
      <c r="O130" s="921"/>
      <c r="P130" s="216"/>
      <c r="Q130" s="216"/>
      <c r="R130" s="216"/>
      <c r="S130" s="216"/>
      <c r="T130" s="216"/>
      <c r="U130" s="216"/>
    </row>
    <row r="131" spans="1:21" x14ac:dyDescent="0.25">
      <c r="A131" s="216"/>
      <c r="B131" s="1863" t="s">
        <v>52</v>
      </c>
      <c r="C131" s="1867"/>
      <c r="D131" s="1876"/>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63"/>
      <c r="C132" s="1867"/>
      <c r="D132" s="1877"/>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63"/>
      <c r="C133" s="1867"/>
      <c r="D133" s="1877"/>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63"/>
      <c r="C134" s="1867"/>
      <c r="D134" s="1877"/>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63"/>
      <c r="C135" s="1867"/>
      <c r="D135" s="1877"/>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64"/>
      <c r="C136" s="1868"/>
      <c r="D136" s="1878"/>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12" priority="1" operator="containsText" text="Обычный">
      <formula>NOT(ISERROR(SEARCH("Обычный",C6)))</formula>
    </cfRule>
    <cfRule type="containsText" dxfId="611"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DT1" activePane="topRight" state="frozen"/>
      <selection pane="topRight" activeCell="A33" sqref="A33"/>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85" t="e">
        <f ca="1">INDIRECT("ТрЗ!B" &amp;  10 + COLUMN(A1))</f>
        <v>#REF!</v>
      </c>
      <c r="C2" s="1886"/>
      <c r="D2" s="1887"/>
      <c r="E2" s="1885" t="e">
        <f ca="1">INDIRECT("ТрЗ!B" &amp;  10 + COLUMN(B1))</f>
        <v>#REF!</v>
      </c>
      <c r="F2" s="1886"/>
      <c r="G2" s="1887"/>
      <c r="H2" s="1885" t="e">
        <f ca="1">INDIRECT("ТрЗ!B" &amp;  10 + COLUMN(C1))</f>
        <v>#REF!</v>
      </c>
      <c r="I2" s="1886"/>
      <c r="J2" s="1887"/>
      <c r="K2" s="1882" t="e">
        <f ca="1">INDIRECT("ТрЗ!B" &amp;  10 + COLUMN(D1))</f>
        <v>#REF!</v>
      </c>
      <c r="L2" s="1883"/>
      <c r="M2" s="1884"/>
      <c r="N2" s="1882" t="e">
        <f ca="1">INDIRECT("ТрЗ!B" &amp;  10 + COLUMN(E1))</f>
        <v>#REF!</v>
      </c>
      <c r="O2" s="1883"/>
      <c r="P2" s="1884"/>
      <c r="Q2" s="1882" t="e">
        <f ca="1">INDIRECT("ТрЗ!B" &amp;  10 + COLUMN(F1))</f>
        <v>#REF!</v>
      </c>
      <c r="R2" s="1883"/>
      <c r="S2" s="1884"/>
      <c r="T2" s="1882" t="e">
        <f ca="1">INDIRECT("ТрЗ!B" &amp;  10 + COLUMN(G1))</f>
        <v>#REF!</v>
      </c>
      <c r="U2" s="1883"/>
      <c r="V2" s="1884"/>
      <c r="W2" s="1882" t="e">
        <f ca="1">INDIRECT("ТрЗ!B" &amp;  10 + COLUMN(H1))</f>
        <v>#REF!</v>
      </c>
      <c r="X2" s="1883"/>
      <c r="Y2" s="1884"/>
      <c r="Z2" s="1882" t="e">
        <f ca="1">INDIRECT("ТрЗ!B" &amp;  10 + COLUMN(I1))</f>
        <v>#REF!</v>
      </c>
      <c r="AA2" s="1883"/>
      <c r="AB2" s="1884"/>
      <c r="AC2" s="1882" t="e">
        <f ca="1">INDIRECT("ТрЗ!B" &amp;  10 + COLUMN(J1))</f>
        <v>#REF!</v>
      </c>
      <c r="AD2" s="1883"/>
      <c r="AE2" s="1884"/>
      <c r="AF2" s="1882" t="e">
        <f ca="1">INDIRECT("ТрЗ!B" &amp;  10 + COLUMN(K1))</f>
        <v>#REF!</v>
      </c>
      <c r="AG2" s="1883"/>
      <c r="AH2" s="1884"/>
      <c r="AI2" s="1882" t="e">
        <f ca="1">INDIRECT("ТрЗ!B" &amp;  10 + COLUMN(L1))</f>
        <v>#REF!</v>
      </c>
      <c r="AJ2" s="1883"/>
      <c r="AK2" s="1884"/>
      <c r="AL2" s="1882" t="e">
        <f ca="1">INDIRECT("ТрЗ!B" &amp;  10 + COLUMN(M1))</f>
        <v>#REF!</v>
      </c>
      <c r="AM2" s="1883"/>
      <c r="AN2" s="1884"/>
      <c r="AO2" s="1882" t="e">
        <f ca="1">INDIRECT("ТрЗ!B" &amp;  10 + COLUMN(N1))</f>
        <v>#REF!</v>
      </c>
      <c r="AP2" s="1883"/>
      <c r="AQ2" s="1884"/>
      <c r="AR2" s="1882" t="e">
        <f ca="1">INDIRECT("ТрЗ!B" &amp;  10 + COLUMN(O1))</f>
        <v>#REF!</v>
      </c>
      <c r="AS2" s="1883"/>
      <c r="AT2" s="1884"/>
      <c r="AU2" s="1882" t="e">
        <f ca="1">INDIRECT("ТрЗ!B" &amp;  10 + COLUMN(P1))</f>
        <v>#REF!</v>
      </c>
      <c r="AV2" s="1883"/>
      <c r="AW2" s="1884"/>
      <c r="AX2" s="1882" t="e">
        <f ca="1">INDIRECT("ТрЗ!B" &amp;  10 + COLUMN(Q1))</f>
        <v>#REF!</v>
      </c>
      <c r="AY2" s="1883"/>
      <c r="AZ2" s="1884"/>
      <c r="BA2" s="1882" t="e">
        <f ca="1">INDIRECT("ТрЗ!B" &amp;  10 + COLUMN(R1))</f>
        <v>#REF!</v>
      </c>
      <c r="BB2" s="1883"/>
      <c r="BC2" s="1884"/>
      <c r="BD2" s="1882" t="e">
        <f ca="1">INDIRECT("ТрЗ!B" &amp;  10 + COLUMN(S1))</f>
        <v>#REF!</v>
      </c>
      <c r="BE2" s="1883"/>
      <c r="BF2" s="1884"/>
      <c r="BG2" s="1882" t="e">
        <f ca="1">INDIRECT("ТрЗ!B" &amp;  10 + COLUMN(T1))</f>
        <v>#REF!</v>
      </c>
      <c r="BH2" s="1883"/>
      <c r="BI2" s="1884"/>
      <c r="BJ2" s="1885" t="e">
        <f ca="1">INDIRECT("ТрЗ!B" &amp;  10 + COLUMN(U1))</f>
        <v>#REF!</v>
      </c>
      <c r="BK2" s="1886"/>
      <c r="BL2" s="1887"/>
      <c r="BM2" s="1885" t="e">
        <f ca="1">INDIRECT("ТрЗ!B" &amp;  10 + COLUMN(V1))</f>
        <v>#REF!</v>
      </c>
      <c r="BN2" s="1886"/>
      <c r="BO2" s="1887"/>
      <c r="BP2" s="1885" t="e">
        <f ca="1">INDIRECT("ТрЗ!B" &amp;  10 + COLUMN(W1))</f>
        <v>#REF!</v>
      </c>
      <c r="BQ2" s="1886"/>
      <c r="BR2" s="1887"/>
      <c r="BS2" s="1885" t="e">
        <f ca="1">INDIRECT("ТрЗ!B" &amp;  10 + COLUMN(X1))</f>
        <v>#REF!</v>
      </c>
      <c r="BT2" s="1886"/>
      <c r="BU2" s="1887"/>
      <c r="BV2" s="1885" t="e">
        <f ca="1">INDIRECT("ТрЗ!B" &amp;  10 + COLUMN(Y1))</f>
        <v>#REF!</v>
      </c>
      <c r="BW2" s="1886"/>
      <c r="BX2" s="1887"/>
      <c r="BY2" s="1885" t="e">
        <f ca="1">INDIRECT("ТрЗ!B" &amp;  10 + COLUMN(Z1))</f>
        <v>#REF!</v>
      </c>
      <c r="BZ2" s="1886"/>
      <c r="CA2" s="1887"/>
      <c r="CB2" s="1885" t="e">
        <f ca="1">INDIRECT("ТрЗ!B" &amp;  10 + COLUMN(AA1))</f>
        <v>#REF!</v>
      </c>
      <c r="CC2" s="1886"/>
      <c r="CD2" s="1887"/>
      <c r="CE2" s="1885" t="e">
        <f ca="1">INDIRECT("ТрЗ!B" &amp;  10 + COLUMN(AB1))</f>
        <v>#REF!</v>
      </c>
      <c r="CF2" s="1886"/>
      <c r="CG2" s="1887"/>
      <c r="CH2" s="1885" t="e">
        <f ca="1">INDIRECT("ТрЗ!B" &amp;  10 + COLUMN(AC1))</f>
        <v>#REF!</v>
      </c>
      <c r="CI2" s="1886"/>
      <c r="CJ2" s="1887"/>
      <c r="CK2" s="1885" t="e">
        <f ca="1">INDIRECT("ТрЗ!B" &amp;  10 + COLUMN(AD1))</f>
        <v>#REF!</v>
      </c>
      <c r="CL2" s="1886"/>
      <c r="CM2" s="1887"/>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88" t="s">
        <v>511</v>
      </c>
      <c r="EW2" s="1888"/>
      <c r="EX2" s="1888"/>
      <c r="EY2" s="1888"/>
      <c r="EZ2" s="1889"/>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90"/>
      <c r="EW4" s="1891"/>
      <c r="EX4" s="1891"/>
      <c r="EY4" s="1891"/>
      <c r="EZ4" s="1892"/>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f>IF(CN10=1,IF($B$1=1,'Документы АСУТП'!CW16,IF($B$1=2,'Документы АСУТП'!CW17,IF($B$1=3,'Документы АСУТП'!CW18,'Документы АСУТП'!CW16))),0)</f>
        <v>0</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t="e">
        <f t="shared" si="1"/>
        <v>#REF!</v>
      </c>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f>IF(CN12=1,IF($B$1=1,'Документы АСУТП'!CW22,IF($B$1=2,'Документы АСУТП'!CW23,IF($B$1=3,'Документы АСУТП'!CW24,'Документы АСУТП'!CW22))),0)</f>
        <v>3</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f>IF(CN13=1,IF($B$1=1,'Документы АСУТП'!CW25,IF($B$1=2,'Документы АСУТП'!CW26,IF($B$1=3,'Документы АСУТП'!CW27,'Документы АСУТП'!CW25))),0)</f>
        <v>1</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f>IF(CN14=1,IF($B$1=1,'Документы АСУТП'!CW28,IF($B$1=2,'Документы АСУТП'!CW29,IF($B$1=3,'Документы АСУТП'!CW30,'Документы АСУТП'!CW28))),0)</f>
        <v>3.5</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f>IF(CN15=1,IF($B$1=1,'Документы АСУТП'!CW31,IF($B$1=2,'Документы АСУТП'!CW32,IF($B$1=3,'Документы АСУТП'!CW33,'Документы АСУТП'!CW31))),0)</f>
        <v>0.25</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f>IF(CN16=1,IF($B$1=1,'Документы АСУТП'!CW34,IF($B$1=2,'Документы АСУТП'!CW35,IF($B$1=3,'Документы АСУТП'!CW36,'Документы АСУТП'!CW34))),0)</f>
        <v>1.5</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f>IF(CN20=1,IF($B$1=1,'Документы АСУТП'!CW42,IF($B$1=2,'Документы АСУТП'!CW43,IF($B$1=3,'Документы АСУТП'!CW44,'Документы АСУТП'!CW42))),0)</f>
        <v>0.5</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f>IF(CN21=1,IF($B$1=1,'Документы АСУТП'!CW45,IF($B$1=2,'Документы АСУТП'!CW46,IF($B$1=3,'Документы АСУТП'!CW47,'Документы АСУТП'!CW45))),0)</f>
        <v>2.5</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f>IF(CN26=1,IF($B$1=1,'Документы АСУТП'!CW60,IF($B$1=2,'Документы АСУТП'!CW61,IF($B$1=3,'Документы АСУТП'!CW62,'Документы АСУТП'!CW60))),0)</f>
        <v>1.5</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f>IF(CN27=1,IF($B$1=1,'Документы АСУТП'!CW63,IF($B$1=2,'Документы АСУТП'!CW64,IF($B$1=3,'Документы АСУТП'!CW65,'Документы АСУТП'!CW63))),0)</f>
        <v>0</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f>IF(CN28=1,IF($B$1=1,'Документы АСУТП'!CW66,IF($B$1=2,'Документы АСУТП'!CW67,IF($B$1=3,'Документы АСУТП'!CW68,'Документы АСУТП'!CW66))),0)</f>
        <v>0.25</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f>IF(CN29=1,IF($B$1=1,'Документы АСУТП'!CW69,IF($B$1=2,'Документы АСУТП'!CW70,IF($B$1=3,'Документы АСУТП'!CW71,'Документы АСУТП'!CW69))),0)</f>
        <v>0</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f>IF(CN30=1,IF($B$1=1,'Документы АСУТП'!CW72,IF($B$1=2,'Документы АСУТП'!CW73,IF($B$1=3,'Документы АСУТП'!CW74,'Документы АСУТП'!CW72))),0)</f>
        <v>0</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f>IF(CN37=1,IF($B$1=1,'Документы АСУТП'!CW91,IF($B$1=2,'Документы АСУТП'!CW92,IF($B$1=3,'Документы АСУТП'!CW93,'Документы АСУТП'!CW91))),0)</f>
        <v>1.5</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f>IF(CN38=1,IF($B$1=1,'Документы АСУТП'!CW94,IF($B$1=2,'Документы АСУТП'!CW95,IF($B$1=3,'Документы АСУТП'!CW96,'Документы АСУТП'!CW94))),0)</f>
        <v>1.5</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10" priority="1054">
      <formula>I2</formula>
    </cfRule>
  </conditionalFormatting>
  <conditionalFormatting sqref="B58:B61">
    <cfRule type="expression" dxfId="609" priority="1040">
      <formula>B58</formula>
    </cfRule>
  </conditionalFormatting>
  <conditionalFormatting sqref="B4:D4">
    <cfRule type="expression" dxfId="608" priority="1039">
      <formula>B4</formula>
    </cfRule>
  </conditionalFormatting>
  <conditionalFormatting sqref="B45:D54 B2 E2 H2 K2 Q2 W2 Z2 AC2 AF2 AI2 AL2 N2 T2 AO2 AR2 AU2 AX2 BA2 BD2 BG2 BJ2 BM2 BP2 BS2 BV2 A42:H42">
    <cfRule type="expression" dxfId="607" priority="1042">
      <formula>A2</formula>
    </cfRule>
  </conditionalFormatting>
  <conditionalFormatting sqref="C58:C61">
    <cfRule type="expression" dxfId="606" priority="1041">
      <formula>C58</formula>
    </cfRule>
  </conditionalFormatting>
  <conditionalFormatting sqref="E58:E61">
    <cfRule type="expression" dxfId="605" priority="1036">
      <formula>E58</formula>
    </cfRule>
  </conditionalFormatting>
  <conditionalFormatting sqref="E4:G4">
    <cfRule type="expression" dxfId="604" priority="1035">
      <formula>E4</formula>
    </cfRule>
  </conditionalFormatting>
  <conditionalFormatting sqref="E45:G54 E42:G42">
    <cfRule type="expression" dxfId="603" priority="1038">
      <formula>E42</formula>
    </cfRule>
  </conditionalFormatting>
  <conditionalFormatting sqref="F58:F61">
    <cfRule type="expression" dxfId="602" priority="1037">
      <formula>F58</formula>
    </cfRule>
  </conditionalFormatting>
  <conditionalFormatting sqref="H58:H61">
    <cfRule type="expression" dxfId="601" priority="1032">
      <formula>H58</formula>
    </cfRule>
  </conditionalFormatting>
  <conditionalFormatting sqref="H4:J4">
    <cfRule type="expression" dxfId="600" priority="1031">
      <formula>H4</formula>
    </cfRule>
  </conditionalFormatting>
  <conditionalFormatting sqref="H45:J54 H42">
    <cfRule type="expression" dxfId="599" priority="1034">
      <formula>H42</formula>
    </cfRule>
  </conditionalFormatting>
  <conditionalFormatting sqref="I58:I61">
    <cfRule type="expression" dxfId="598" priority="1033">
      <formula>I58</formula>
    </cfRule>
  </conditionalFormatting>
  <conditionalFormatting sqref="K58:K61">
    <cfRule type="expression" dxfId="597" priority="1028">
      <formula>K58</formula>
    </cfRule>
  </conditionalFormatting>
  <conditionalFormatting sqref="K4:M4">
    <cfRule type="expression" dxfId="596" priority="1027">
      <formula>K4</formula>
    </cfRule>
  </conditionalFormatting>
  <conditionalFormatting sqref="K45:M54">
    <cfRule type="expression" dxfId="595" priority="1030">
      <formula>K45</formula>
    </cfRule>
  </conditionalFormatting>
  <conditionalFormatting sqref="L58:L61">
    <cfRule type="expression" dxfId="594" priority="1029">
      <formula>L58</formula>
    </cfRule>
  </conditionalFormatting>
  <conditionalFormatting sqref="N58:N61">
    <cfRule type="expression" dxfId="593" priority="1024">
      <formula>N58</formula>
    </cfRule>
  </conditionalFormatting>
  <conditionalFormatting sqref="N4:P4">
    <cfRule type="expression" dxfId="592" priority="1023">
      <formula>N4</formula>
    </cfRule>
  </conditionalFormatting>
  <conditionalFormatting sqref="N45:P54">
    <cfRule type="expression" dxfId="591" priority="1026">
      <formula>N45</formula>
    </cfRule>
  </conditionalFormatting>
  <conditionalFormatting sqref="O58:O61">
    <cfRule type="expression" dxfId="590" priority="1025">
      <formula>O58</formula>
    </cfRule>
  </conditionalFormatting>
  <conditionalFormatting sqref="Q58:Q61">
    <cfRule type="expression" dxfId="589" priority="1020">
      <formula>Q58</formula>
    </cfRule>
  </conditionalFormatting>
  <conditionalFormatting sqref="Q4:S4">
    <cfRule type="expression" dxfId="588" priority="1019">
      <formula>Q4</formula>
    </cfRule>
  </conditionalFormatting>
  <conditionalFormatting sqref="Q45:S52">
    <cfRule type="expression" dxfId="587" priority="1022">
      <formula>Q45</formula>
    </cfRule>
  </conditionalFormatting>
  <conditionalFormatting sqref="R58:R61 U58:U61">
    <cfRule type="expression" dxfId="586" priority="1021">
      <formula>R58</formula>
    </cfRule>
  </conditionalFormatting>
  <conditionalFormatting sqref="T45:BU52">
    <cfRule type="expression" dxfId="585" priority="1013">
      <formula>T45</formula>
    </cfRule>
  </conditionalFormatting>
  <conditionalFormatting sqref="T4:BX4">
    <cfRule type="expression" dxfId="584" priority="1012">
      <formula>T4</formula>
    </cfRule>
  </conditionalFormatting>
  <conditionalFormatting sqref="BV53:CJ54">
    <cfRule type="expression" dxfId="583" priority="1011">
      <formula>BV53</formula>
    </cfRule>
  </conditionalFormatting>
  <conditionalFormatting sqref="BV45:CJ52">
    <cfRule type="expression" dxfId="582" priority="1010">
      <formula>BV45</formula>
    </cfRule>
  </conditionalFormatting>
  <conditionalFormatting sqref="T53:BU54">
    <cfRule type="expression" dxfId="581" priority="1014">
      <formula>T53</formula>
    </cfRule>
  </conditionalFormatting>
  <conditionalFormatting sqref="CN8">
    <cfRule type="expression" dxfId="580" priority="1000">
      <formula>CN8</formula>
    </cfRule>
  </conditionalFormatting>
  <conditionalFormatting sqref="CN4">
    <cfRule type="expression" dxfId="579" priority="1008">
      <formula>CN4</formula>
    </cfRule>
  </conditionalFormatting>
  <conditionalFormatting sqref="CN7">
    <cfRule type="expression" dxfId="578" priority="1006">
      <formula>CN7</formula>
    </cfRule>
  </conditionalFormatting>
  <conditionalFormatting sqref="CN36:CN41">
    <cfRule type="expression" dxfId="577" priority="1005">
      <formula>CN36</formula>
    </cfRule>
  </conditionalFormatting>
  <conditionalFormatting sqref="CN20:CN34">
    <cfRule type="expression" dxfId="576" priority="1003">
      <formula>CN20</formula>
    </cfRule>
  </conditionalFormatting>
  <conditionalFormatting sqref="CN18">
    <cfRule type="expression" dxfId="575" priority="1002">
      <formula>CN18</formula>
    </cfRule>
  </conditionalFormatting>
  <conditionalFormatting sqref="CN10:CN16">
    <cfRule type="expression" dxfId="574" priority="1001">
      <formula>CN10</formula>
    </cfRule>
  </conditionalFormatting>
  <conditionalFormatting sqref="DC3">
    <cfRule type="expression" dxfId="573" priority="725">
      <formula>DC3</formula>
    </cfRule>
  </conditionalFormatting>
  <conditionalFormatting sqref="CN5">
    <cfRule type="expression" dxfId="572" priority="797">
      <formula>CN5</formula>
    </cfRule>
  </conditionalFormatting>
  <conditionalFormatting sqref="CN6">
    <cfRule type="expression" dxfId="571" priority="796">
      <formula>CN6</formula>
    </cfRule>
  </conditionalFormatting>
  <conditionalFormatting sqref="DR3">
    <cfRule type="expression" dxfId="570" priority="659">
      <formula>DR3</formula>
    </cfRule>
  </conditionalFormatting>
  <conditionalFormatting sqref="DT3">
    <cfRule type="expression" dxfId="569" priority="650">
      <formula>DT3</formula>
    </cfRule>
  </conditionalFormatting>
  <conditionalFormatting sqref="B7:D7 B9:D9 B17:D17 B19:D19 B35:D35">
    <cfRule type="expression" dxfId="568" priority="848">
      <formula>B7</formula>
    </cfRule>
  </conditionalFormatting>
  <conditionalFormatting sqref="E7:G7 E9:G9 E17:G17 E19:G19 E35:G35">
    <cfRule type="expression" dxfId="567" priority="847">
      <formula>E7</formula>
    </cfRule>
  </conditionalFormatting>
  <conditionalFormatting sqref="CV10:CV16">
    <cfRule type="expression" dxfId="566" priority="559">
      <formula>CV10</formula>
    </cfRule>
  </conditionalFormatting>
  <conditionalFormatting sqref="CQ3">
    <cfRule type="expression" dxfId="565" priority="687">
      <formula>CQ3</formula>
    </cfRule>
  </conditionalFormatting>
  <conditionalFormatting sqref="DW3">
    <cfRule type="expression" dxfId="564" priority="707">
      <formula>DW3</formula>
    </cfRule>
  </conditionalFormatting>
  <conditionalFormatting sqref="DV7 DV3 DV17 DV19">
    <cfRule type="expression" dxfId="563" priority="641">
      <formula>DV3</formula>
    </cfRule>
  </conditionalFormatting>
  <conditionalFormatting sqref="BP7:BR7 BP9:BR9 BP17:BR17 BP19:BR19 BP35:BR35">
    <cfRule type="expression" dxfId="562" priority="826">
      <formula>BP7</formula>
    </cfRule>
  </conditionalFormatting>
  <conditionalFormatting sqref="BS7:BU7 BS9:BU9 BS17:BU17 BS19:BU19 BS35:BU35">
    <cfRule type="expression" dxfId="561" priority="825">
      <formula>BS7</formula>
    </cfRule>
  </conditionalFormatting>
  <conditionalFormatting sqref="BV7:BX7 BV9:BX9 BV17:BX17 BV19:BX19 BV35:BX35">
    <cfRule type="expression" dxfId="560" priority="824">
      <formula>BV7</formula>
    </cfRule>
  </conditionalFormatting>
  <conditionalFormatting sqref="DV5">
    <cfRule type="expression" dxfId="559" priority="637">
      <formula>DV5</formula>
    </cfRule>
  </conditionalFormatting>
  <conditionalFormatting sqref="DV6">
    <cfRule type="expression" dxfId="558" priority="636">
      <formula>DV6</formula>
    </cfRule>
  </conditionalFormatting>
  <conditionalFormatting sqref="DV18">
    <cfRule type="expression" dxfId="557" priority="635">
      <formula>DV18</formula>
    </cfRule>
  </conditionalFormatting>
  <conditionalFormatting sqref="CV8">
    <cfRule type="expression" dxfId="556" priority="558">
      <formula>CV8</formula>
    </cfRule>
  </conditionalFormatting>
  <conditionalFormatting sqref="H7:J7 H9:J9 H17:J17 H19:J19 H35:J35">
    <cfRule type="expression" dxfId="555" priority="846">
      <formula>H7</formula>
    </cfRule>
  </conditionalFormatting>
  <conditionalFormatting sqref="K7:M7 K9:M9 K17:M17 K19:M19 K35:M35">
    <cfRule type="expression" dxfId="554" priority="845">
      <formula>K7</formula>
    </cfRule>
  </conditionalFormatting>
  <conditionalFormatting sqref="N7:P7 N9:P9 N17:P17 N19:P19 N35:P35">
    <cfRule type="expression" dxfId="553" priority="844">
      <formula>N7</formula>
    </cfRule>
  </conditionalFormatting>
  <conditionalFormatting sqref="Q7:S7 Q9:S9 Q17:S17 Q19:S19 Q35:S35">
    <cfRule type="expression" dxfId="552" priority="843">
      <formula>Q7</formula>
    </cfRule>
  </conditionalFormatting>
  <conditionalFormatting sqref="T7:V7 T9:V9 T17:V17 T19:V19 T35:V35">
    <cfRule type="expression" dxfId="551" priority="842">
      <formula>T7</formula>
    </cfRule>
  </conditionalFormatting>
  <conditionalFormatting sqref="W7:Y7 W9:Y9 W17:Y17 W19:Y19 W35:Y35">
    <cfRule type="expression" dxfId="550" priority="841">
      <formula>W7</formula>
    </cfRule>
  </conditionalFormatting>
  <conditionalFormatting sqref="Z7:AB7 Z9:AB9 Z17:AB17 Z19:AB19 Z35:AB35">
    <cfRule type="expression" dxfId="549" priority="840">
      <formula>Z7</formula>
    </cfRule>
  </conditionalFormatting>
  <conditionalFormatting sqref="AC7:AE7 AC9:AE9 AC17:AE17 AC19:AE19 AC35:AE35">
    <cfRule type="expression" dxfId="548" priority="839">
      <formula>AC7</formula>
    </cfRule>
  </conditionalFormatting>
  <conditionalFormatting sqref="AF7:AH7 AF9:AH9 AF17:AH17 AF19:AH19 AF35:AH35">
    <cfRule type="expression" dxfId="547" priority="838">
      <formula>AF7</formula>
    </cfRule>
  </conditionalFormatting>
  <conditionalFormatting sqref="AI7:AK7 AI9:AK9 AI17:AK17 AI19:AK19 AI35:AK35">
    <cfRule type="expression" dxfId="546" priority="837">
      <formula>AI7</formula>
    </cfRule>
  </conditionalFormatting>
  <conditionalFormatting sqref="AL7:AN7 AL9:AN9 AL17:AN17 AL19:AN19 AL35:AN35">
    <cfRule type="expression" dxfId="545" priority="836">
      <formula>AL7</formula>
    </cfRule>
  </conditionalFormatting>
  <conditionalFormatting sqref="AO7:AQ7 AO9:AQ9 AO17:AQ17 AO19:AQ19 AO35:AQ35">
    <cfRule type="expression" dxfId="544" priority="835">
      <formula>AO7</formula>
    </cfRule>
  </conditionalFormatting>
  <conditionalFormatting sqref="AR7:AT7 AR9:AT9 AR17:AT17 AR19:AT19 AR35:AT35">
    <cfRule type="expression" dxfId="543" priority="834">
      <formula>AR7</formula>
    </cfRule>
  </conditionalFormatting>
  <conditionalFormatting sqref="AU7:AW7 AU9:AW9 AU17:AW17 AU19:AW19 AU35:AW35">
    <cfRule type="expression" dxfId="542" priority="833">
      <formula>AU7</formula>
    </cfRule>
  </conditionalFormatting>
  <conditionalFormatting sqref="AX7:AZ7 AX9:AZ9 AX17:AZ17 AX19:AZ19 AX35:AZ35">
    <cfRule type="expression" dxfId="541" priority="832">
      <formula>AX7</formula>
    </cfRule>
  </conditionalFormatting>
  <conditionalFormatting sqref="BA7:BC7 BA9:BC9 BA17:BC17 BA19:BC19 BA35:BC35">
    <cfRule type="expression" dxfId="540" priority="831">
      <formula>BA7</formula>
    </cfRule>
  </conditionalFormatting>
  <conditionalFormatting sqref="BD7:BF7 BD9:BF9 BD17:BF17 BD19:BF19 BD35:BF35">
    <cfRule type="expression" dxfId="539" priority="830">
      <formula>BD7</formula>
    </cfRule>
  </conditionalFormatting>
  <conditionalFormatting sqref="BG7:BI7 BG9:BI9 BG17:BI17 BG19:BI19 BG35:BI35">
    <cfRule type="expression" dxfId="538" priority="829">
      <formula>BG7</formula>
    </cfRule>
  </conditionalFormatting>
  <conditionalFormatting sqref="BJ7:BL7 BJ9:BL9 BJ17:BL17 BJ19:BL19 BJ35:BL35">
    <cfRule type="expression" dxfId="537" priority="828">
      <formula>BJ7</formula>
    </cfRule>
  </conditionalFormatting>
  <conditionalFormatting sqref="BM7:BO7 BM9:BO9 BM17:BO17 BM19:BO19 BM35:BO35">
    <cfRule type="expression" dxfId="536" priority="827">
      <formula>BM7</formula>
    </cfRule>
  </conditionalFormatting>
  <conditionalFormatting sqref="EW5:EX6 EV4:EV6 EV18:EX18 EV8:EX8 EV10:EX16 EV36:EX41 EV20:EX34">
    <cfRule type="expression" dxfId="535" priority="822">
      <formula>AND(#REF!,NOT(#REF!))</formula>
    </cfRule>
  </conditionalFormatting>
  <conditionalFormatting sqref="EY5:EY41 EV17:EX17 EV7:EX7 EV9:EX9 EV35:EX35 EV19:EX19">
    <cfRule type="expression" dxfId="534" priority="812">
      <formula>AND(#REF!,NOT(#REF!))</formula>
    </cfRule>
  </conditionalFormatting>
  <conditionalFormatting sqref="DB20:DB28">
    <cfRule type="expression" dxfId="533" priority="531">
      <formula>DB20</formula>
    </cfRule>
  </conditionalFormatting>
  <conditionalFormatting sqref="DB18">
    <cfRule type="expression" dxfId="532" priority="530">
      <formula>DB18</formula>
    </cfRule>
  </conditionalFormatting>
  <conditionalFormatting sqref="CT5">
    <cfRule type="expression" dxfId="531" priority="567">
      <formula>CT5</formula>
    </cfRule>
  </conditionalFormatting>
  <conditionalFormatting sqref="CT6">
    <cfRule type="expression" dxfId="530" priority="566">
      <formula>CT6</formula>
    </cfRule>
  </conditionalFormatting>
  <conditionalFormatting sqref="CT17 CT9 CT19">
    <cfRule type="expression" dxfId="529" priority="575">
      <formula>CT9</formula>
    </cfRule>
  </conditionalFormatting>
  <conditionalFormatting sqref="CT7">
    <cfRule type="expression" dxfId="528" priority="574">
      <formula>CT7</formula>
    </cfRule>
  </conditionalFormatting>
  <conditionalFormatting sqref="CP20:CP28">
    <cfRule type="expression" dxfId="527" priority="591">
      <formula>CP20</formula>
    </cfRule>
  </conditionalFormatting>
  <conditionalFormatting sqref="CP18">
    <cfRule type="expression" dxfId="526" priority="590">
      <formula>CP18</formula>
    </cfRule>
  </conditionalFormatting>
  <conditionalFormatting sqref="DZ27:DZ28">
    <cfRule type="expression" dxfId="525" priority="615">
      <formula>DZ27</formula>
    </cfRule>
  </conditionalFormatting>
  <conditionalFormatting sqref="EB3:EB4">
    <cfRule type="expression" dxfId="524" priority="614">
      <formula>EB3</formula>
    </cfRule>
  </conditionalFormatting>
  <conditionalFormatting sqref="DZ7 DZ3:DZ4 DZ17 DZ19">
    <cfRule type="expression" dxfId="523" priority="623">
      <formula>DZ3</formula>
    </cfRule>
  </conditionalFormatting>
  <conditionalFormatting sqref="DZ9">
    <cfRule type="expression" dxfId="522" priority="622">
      <formula>DZ9</formula>
    </cfRule>
  </conditionalFormatting>
  <conditionalFormatting sqref="DX9">
    <cfRule type="expression" dxfId="521" priority="631">
      <formula>DX9</formula>
    </cfRule>
  </conditionalFormatting>
  <conditionalFormatting sqref="DY3">
    <cfRule type="expression" dxfId="520" priority="705">
      <formula>DY3</formula>
    </cfRule>
  </conditionalFormatting>
  <conditionalFormatting sqref="DP7">
    <cfRule type="expression" dxfId="519" priority="474">
      <formula>DP7</formula>
    </cfRule>
  </conditionalFormatting>
  <conditionalFormatting sqref="EL8">
    <cfRule type="expression" dxfId="518" priority="318">
      <formula>EL8</formula>
    </cfRule>
  </conditionalFormatting>
  <conditionalFormatting sqref="DN20:DN28">
    <cfRule type="expression" dxfId="517" priority="481">
      <formula>DN20</formula>
    </cfRule>
  </conditionalFormatting>
  <conditionalFormatting sqref="DN18">
    <cfRule type="expression" dxfId="516" priority="480">
      <formula>DN18</formula>
    </cfRule>
  </conditionalFormatting>
  <conditionalFormatting sqref="DL8">
    <cfRule type="expression" dxfId="515" priority="488">
      <formula>DL8</formula>
    </cfRule>
  </conditionalFormatting>
  <conditionalFormatting sqref="DL5">
    <cfRule type="expression" dxfId="514" priority="487">
      <formula>DL5</formula>
    </cfRule>
  </conditionalFormatting>
  <conditionalFormatting sqref="CU3">
    <cfRule type="expression" dxfId="513" priority="683">
      <formula>CU3</formula>
    </cfRule>
  </conditionalFormatting>
  <conditionalFormatting sqref="EM3:EU3">
    <cfRule type="expression" dxfId="512" priority="691">
      <formula>EM3</formula>
    </cfRule>
  </conditionalFormatting>
  <conditionalFormatting sqref="EG3">
    <cfRule type="expression" dxfId="511" priority="697">
      <formula>EG3</formula>
    </cfRule>
  </conditionalFormatting>
  <conditionalFormatting sqref="DV27:DV28">
    <cfRule type="expression" dxfId="510" priority="633">
      <formula>DV27</formula>
    </cfRule>
  </conditionalFormatting>
  <conditionalFormatting sqref="DV20:DV26">
    <cfRule type="expression" dxfId="509" priority="634">
      <formula>DV20</formula>
    </cfRule>
  </conditionalFormatting>
  <conditionalFormatting sqref="ED5">
    <cfRule type="expression" dxfId="508" priority="419">
      <formula>ED5</formula>
    </cfRule>
  </conditionalFormatting>
  <conditionalFormatting sqref="CW3">
    <cfRule type="expression" dxfId="507" priority="731">
      <formula>CW3</formula>
    </cfRule>
  </conditionalFormatting>
  <conditionalFormatting sqref="CY3">
    <cfRule type="expression" dxfId="506" priority="729">
      <formula>CY3</formula>
    </cfRule>
  </conditionalFormatting>
  <conditionalFormatting sqref="DA3">
    <cfRule type="expression" dxfId="505" priority="727">
      <formula>DA3</formula>
    </cfRule>
  </conditionalFormatting>
  <conditionalFormatting sqref="DE3">
    <cfRule type="expression" dxfId="504" priority="723">
      <formula>DE3</formula>
    </cfRule>
  </conditionalFormatting>
  <conditionalFormatting sqref="DX7 DX3:DX4 DX17 DX19">
    <cfRule type="expression" dxfId="503" priority="632">
      <formula>DX3</formula>
    </cfRule>
  </conditionalFormatting>
  <conditionalFormatting sqref="DI3">
    <cfRule type="expression" dxfId="502" priority="721">
      <formula>DI3</formula>
    </cfRule>
  </conditionalFormatting>
  <conditionalFormatting sqref="DK3">
    <cfRule type="expression" dxfId="501" priority="719">
      <formula>DK3</formula>
    </cfRule>
  </conditionalFormatting>
  <conditionalFormatting sqref="DM3">
    <cfRule type="expression" dxfId="500" priority="717">
      <formula>DM3</formula>
    </cfRule>
  </conditionalFormatting>
  <conditionalFormatting sqref="DO3">
    <cfRule type="expression" dxfId="499" priority="715">
      <formula>DO3</formula>
    </cfRule>
  </conditionalFormatting>
  <conditionalFormatting sqref="DQ3">
    <cfRule type="expression" dxfId="498" priority="713">
      <formula>DQ3</formula>
    </cfRule>
  </conditionalFormatting>
  <conditionalFormatting sqref="DS3">
    <cfRule type="expression" dxfId="497" priority="711">
      <formula>DS3</formula>
    </cfRule>
  </conditionalFormatting>
  <conditionalFormatting sqref="DU3">
    <cfRule type="expression" dxfId="496" priority="709">
      <formula>DU3</formula>
    </cfRule>
  </conditionalFormatting>
  <conditionalFormatting sqref="EA3">
    <cfRule type="expression" dxfId="495" priority="703">
      <formula>EA3</formula>
    </cfRule>
  </conditionalFormatting>
  <conditionalFormatting sqref="EC3">
    <cfRule type="expression" dxfId="494" priority="701">
      <formula>EC3</formula>
    </cfRule>
  </conditionalFormatting>
  <conditionalFormatting sqref="EE3">
    <cfRule type="expression" dxfId="493" priority="699">
      <formula>EE3</formula>
    </cfRule>
  </conditionalFormatting>
  <conditionalFormatting sqref="EI3">
    <cfRule type="expression" dxfId="492" priority="695">
      <formula>EI3</formula>
    </cfRule>
  </conditionalFormatting>
  <conditionalFormatting sqref="EK3">
    <cfRule type="expression" dxfId="491" priority="693">
      <formula>EK3</formula>
    </cfRule>
  </conditionalFormatting>
  <conditionalFormatting sqref="CT20:CT28">
    <cfRule type="expression" dxfId="490" priority="571">
      <formula>CT20</formula>
    </cfRule>
  </conditionalFormatting>
  <conditionalFormatting sqref="CS3">
    <cfRule type="expression" dxfId="489" priority="685">
      <formula>CS3</formula>
    </cfRule>
  </conditionalFormatting>
  <conditionalFormatting sqref="DR10:DR16">
    <cfRule type="expression" dxfId="488" priority="448">
      <formula>DR10</formula>
    </cfRule>
  </conditionalFormatting>
  <conditionalFormatting sqref="DR4">
    <cfRule type="expression" dxfId="487" priority="455">
      <formula>DR4</formula>
    </cfRule>
  </conditionalFormatting>
  <conditionalFormatting sqref="DP6">
    <cfRule type="expression" dxfId="486" priority="466">
      <formula>DP6</formula>
    </cfRule>
  </conditionalFormatting>
  <conditionalFormatting sqref="DP17 DP9 DP19">
    <cfRule type="expression" dxfId="485" priority="475">
      <formula>DP9</formula>
    </cfRule>
  </conditionalFormatting>
  <conditionalFormatting sqref="DN7">
    <cfRule type="expression" dxfId="484" priority="484">
      <formula>DN7</formula>
    </cfRule>
  </conditionalFormatting>
  <conditionalFormatting sqref="ED9">
    <cfRule type="expression" dxfId="483" priority="332">
      <formula>ED9</formula>
    </cfRule>
  </conditionalFormatting>
  <conditionalFormatting sqref="DZ10:DZ16">
    <cfRule type="expression" dxfId="482" priority="338">
      <formula>DZ10</formula>
    </cfRule>
  </conditionalFormatting>
  <conditionalFormatting sqref="DH20:DH28">
    <cfRule type="expression" dxfId="481" priority="511">
      <formula>DH20</formula>
    </cfRule>
  </conditionalFormatting>
  <conditionalFormatting sqref="DD18">
    <cfRule type="expression" dxfId="480" priority="520">
      <formula>DD18</formula>
    </cfRule>
  </conditionalFormatting>
  <conditionalFormatting sqref="DB10:DB16">
    <cfRule type="expression" dxfId="479" priority="529">
      <formula>DB10</formula>
    </cfRule>
  </conditionalFormatting>
  <conditionalFormatting sqref="CZ8">
    <cfRule type="expression" dxfId="478" priority="538">
      <formula>CZ8</formula>
    </cfRule>
  </conditionalFormatting>
  <conditionalFormatting sqref="DH5">
    <cfRule type="expression" dxfId="477" priority="507">
      <formula>DH5</formula>
    </cfRule>
  </conditionalFormatting>
  <conditionalFormatting sqref="DH6">
    <cfRule type="expression" dxfId="476" priority="506">
      <formula>DH6</formula>
    </cfRule>
  </conditionalFormatting>
  <conditionalFormatting sqref="DH17 DH9 DH19">
    <cfRule type="expression" dxfId="475" priority="515">
      <formula>DH9</formula>
    </cfRule>
  </conditionalFormatting>
  <conditionalFormatting sqref="DH7">
    <cfRule type="expression" dxfId="474" priority="514">
      <formula>DH7</formula>
    </cfRule>
  </conditionalFormatting>
  <conditionalFormatting sqref="DB8">
    <cfRule type="expression" dxfId="473" priority="528">
      <formula>DB8</formula>
    </cfRule>
  </conditionalFormatting>
  <conditionalFormatting sqref="CZ6">
    <cfRule type="expression" dxfId="472" priority="536">
      <formula>CZ6</formula>
    </cfRule>
  </conditionalFormatting>
  <conditionalFormatting sqref="DB17 DB9 DB19">
    <cfRule type="expression" dxfId="471" priority="535">
      <formula>DB9</formula>
    </cfRule>
  </conditionalFormatting>
  <conditionalFormatting sqref="DB7">
    <cfRule type="expression" dxfId="470" priority="534">
      <formula>DB7</formula>
    </cfRule>
  </conditionalFormatting>
  <conditionalFormatting sqref="DB5">
    <cfRule type="expression" dxfId="469" priority="527">
      <formula>DB5</formula>
    </cfRule>
  </conditionalFormatting>
  <conditionalFormatting sqref="CX10:CX16">
    <cfRule type="expression" dxfId="468" priority="549">
      <formula>CX10</formula>
    </cfRule>
  </conditionalFormatting>
  <conditionalFormatting sqref="CX8">
    <cfRule type="expression" dxfId="467" priority="548">
      <formula>CX8</formula>
    </cfRule>
  </conditionalFormatting>
  <conditionalFormatting sqref="CX5">
    <cfRule type="expression" dxfId="466" priority="547">
      <formula>CX5</formula>
    </cfRule>
  </conditionalFormatting>
  <conditionalFormatting sqref="CX6">
    <cfRule type="expression" dxfId="465" priority="546">
      <formula>CX6</formula>
    </cfRule>
  </conditionalFormatting>
  <conditionalFormatting sqref="CZ17 CZ9 CZ19">
    <cfRule type="expression" dxfId="464" priority="545">
      <formula>CZ9</formula>
    </cfRule>
  </conditionalFormatting>
  <conditionalFormatting sqref="CZ7">
    <cfRule type="expression" dxfId="463" priority="544">
      <formula>CZ7</formula>
    </cfRule>
  </conditionalFormatting>
  <conditionalFormatting sqref="CZ20:CZ28">
    <cfRule type="expression" dxfId="462" priority="541">
      <formula>CZ20</formula>
    </cfRule>
  </conditionalFormatting>
  <conditionalFormatting sqref="CZ18">
    <cfRule type="expression" dxfId="461" priority="540">
      <formula>CZ18</formula>
    </cfRule>
  </conditionalFormatting>
  <conditionalFormatting sqref="DV9">
    <cfRule type="expression" dxfId="460" priority="640">
      <formula>DV9</formula>
    </cfRule>
  </conditionalFormatting>
  <conditionalFormatting sqref="DX27:DX28">
    <cfRule type="expression" dxfId="459" priority="624">
      <formula>DX27</formula>
    </cfRule>
  </conditionalFormatting>
  <conditionalFormatting sqref="DX20:DX26">
    <cfRule type="expression" dxfId="458" priority="625">
      <formula>DX20</formula>
    </cfRule>
  </conditionalFormatting>
  <conditionalFormatting sqref="DX5">
    <cfRule type="expression" dxfId="457" priority="628">
      <formula>DX5</formula>
    </cfRule>
  </conditionalFormatting>
  <conditionalFormatting sqref="DX6">
    <cfRule type="expression" dxfId="456" priority="627">
      <formula>DX6</formula>
    </cfRule>
  </conditionalFormatting>
  <conditionalFormatting sqref="DX18">
    <cfRule type="expression" dxfId="455" priority="626">
      <formula>DX18</formula>
    </cfRule>
  </conditionalFormatting>
  <conditionalFormatting sqref="CP17 CP19">
    <cfRule type="expression" dxfId="454" priority="595">
      <formula>CP17</formula>
    </cfRule>
  </conditionalFormatting>
  <conditionalFormatting sqref="DZ20:DZ26">
    <cfRule type="expression" dxfId="453" priority="616">
      <formula>DZ20</formula>
    </cfRule>
  </conditionalFormatting>
  <conditionalFormatting sqref="DZ5">
    <cfRule type="expression" dxfId="452" priority="619">
      <formula>DZ5</formula>
    </cfRule>
  </conditionalFormatting>
  <conditionalFormatting sqref="DZ6">
    <cfRule type="expression" dxfId="451" priority="618">
      <formula>DZ6</formula>
    </cfRule>
  </conditionalFormatting>
  <conditionalFormatting sqref="DZ18">
    <cfRule type="expression" dxfId="450" priority="617">
      <formula>DZ18</formula>
    </cfRule>
  </conditionalFormatting>
  <conditionalFormatting sqref="DD5">
    <cfRule type="expression" dxfId="449" priority="517">
      <formula>DD5</formula>
    </cfRule>
  </conditionalFormatting>
  <conditionalFormatting sqref="DD8">
    <cfRule type="expression" dxfId="448" priority="518">
      <formula>DD8</formula>
    </cfRule>
  </conditionalFormatting>
  <conditionalFormatting sqref="DD7">
    <cfRule type="expression" dxfId="447" priority="524">
      <formula>DD7</formula>
    </cfRule>
  </conditionalFormatting>
  <conditionalFormatting sqref="DD20:DD28">
    <cfRule type="expression" dxfId="446" priority="521">
      <formula>DD20</formula>
    </cfRule>
  </conditionalFormatting>
  <conditionalFormatting sqref="DD10:DD16">
    <cfRule type="expression" dxfId="445" priority="519">
      <formula>DD10</formula>
    </cfRule>
  </conditionalFormatting>
  <conditionalFormatting sqref="EB8">
    <cfRule type="expression" dxfId="444" priority="333">
      <formula>EB8</formula>
    </cfRule>
  </conditionalFormatting>
  <conditionalFormatting sqref="ED10:ED16">
    <cfRule type="expression" dxfId="443" priority="331">
      <formula>ED10</formula>
    </cfRule>
  </conditionalFormatting>
  <conditionalFormatting sqref="ED8">
    <cfRule type="expression" dxfId="442" priority="330">
      <formula>ED8</formula>
    </cfRule>
  </conditionalFormatting>
  <conditionalFormatting sqref="EF9">
    <cfRule type="expression" dxfId="441" priority="329">
      <formula>EF9</formula>
    </cfRule>
  </conditionalFormatting>
  <conditionalFormatting sqref="EF10:EF16">
    <cfRule type="expression" dxfId="440" priority="328">
      <formula>EF10</formula>
    </cfRule>
  </conditionalFormatting>
  <conditionalFormatting sqref="DV8">
    <cfRule type="expression" dxfId="439" priority="341">
      <formula>DV8</formula>
    </cfRule>
  </conditionalFormatting>
  <conditionalFormatting sqref="DV10:DV16">
    <cfRule type="expression" dxfId="438" priority="340">
      <formula>DV10</formula>
    </cfRule>
  </conditionalFormatting>
  <conditionalFormatting sqref="DX10:DX16">
    <cfRule type="expression" dxfId="437" priority="339">
      <formula>DX10</formula>
    </cfRule>
  </conditionalFormatting>
  <conditionalFormatting sqref="CP8">
    <cfRule type="expression" dxfId="436" priority="588">
      <formula>CP8</formula>
    </cfRule>
  </conditionalFormatting>
  <conditionalFormatting sqref="CP7">
    <cfRule type="expression" dxfId="435" priority="594">
      <formula>CP7</formula>
    </cfRule>
  </conditionalFormatting>
  <conditionalFormatting sqref="EH5">
    <cfRule type="expression" dxfId="434" priority="401">
      <formula>EH5</formula>
    </cfRule>
  </conditionalFormatting>
  <conditionalFormatting sqref="CP10:CP16">
    <cfRule type="expression" dxfId="433" priority="589">
      <formula>CP10</formula>
    </cfRule>
  </conditionalFormatting>
  <conditionalFormatting sqref="CP5">
    <cfRule type="expression" dxfId="432" priority="587">
      <formula>CP5</formula>
    </cfRule>
  </conditionalFormatting>
  <conditionalFormatting sqref="CP6">
    <cfRule type="expression" dxfId="431" priority="586">
      <formula>CP6</formula>
    </cfRule>
  </conditionalFormatting>
  <conditionalFormatting sqref="CR17 CR9 CR19">
    <cfRule type="expression" dxfId="430" priority="585">
      <formula>CR9</formula>
    </cfRule>
  </conditionalFormatting>
  <conditionalFormatting sqref="CR8">
    <cfRule type="expression" dxfId="429" priority="578">
      <formula>CR8</formula>
    </cfRule>
  </conditionalFormatting>
  <conditionalFormatting sqref="CR7">
    <cfRule type="expression" dxfId="428" priority="584">
      <formula>CR7</formula>
    </cfRule>
  </conditionalFormatting>
  <conditionalFormatting sqref="CR20:CR28">
    <cfRule type="expression" dxfId="427" priority="581">
      <formula>CR20</formula>
    </cfRule>
  </conditionalFormatting>
  <conditionalFormatting sqref="CR18">
    <cfRule type="expression" dxfId="426" priority="580">
      <formula>CR18</formula>
    </cfRule>
  </conditionalFormatting>
  <conditionalFormatting sqref="CR10:CR16">
    <cfRule type="expression" dxfId="425" priority="579">
      <formula>CR10</formula>
    </cfRule>
  </conditionalFormatting>
  <conditionalFormatting sqref="CR5">
    <cfRule type="expression" dxfId="424" priority="577">
      <formula>CR5</formula>
    </cfRule>
  </conditionalFormatting>
  <conditionalFormatting sqref="CR6">
    <cfRule type="expression" dxfId="423" priority="576">
      <formula>CR6</formula>
    </cfRule>
  </conditionalFormatting>
  <conditionalFormatting sqref="EJ27:EJ28">
    <cfRule type="expression" dxfId="422" priority="388">
      <formula>EJ27</formula>
    </cfRule>
  </conditionalFormatting>
  <conditionalFormatting sqref="CT8">
    <cfRule type="expression" dxfId="421" priority="568">
      <formula>CT8</formula>
    </cfRule>
  </conditionalFormatting>
  <conditionalFormatting sqref="EL7 EL17 EL19">
    <cfRule type="expression" dxfId="420" priority="387">
      <formula>EL7</formula>
    </cfRule>
  </conditionalFormatting>
  <conditionalFormatting sqref="CT18">
    <cfRule type="expression" dxfId="419" priority="570">
      <formula>CT18</formula>
    </cfRule>
  </conditionalFormatting>
  <conditionalFormatting sqref="CT10:CT16">
    <cfRule type="expression" dxfId="418" priority="569">
      <formula>CT10</formula>
    </cfRule>
  </conditionalFormatting>
  <conditionalFormatting sqref="CV17 CV9 CV19">
    <cfRule type="expression" dxfId="417" priority="565">
      <formula>CV9</formula>
    </cfRule>
  </conditionalFormatting>
  <conditionalFormatting sqref="CV7">
    <cfRule type="expression" dxfId="416" priority="564">
      <formula>CV7</formula>
    </cfRule>
  </conditionalFormatting>
  <conditionalFormatting sqref="CV6">
    <cfRule type="expression" dxfId="415" priority="556">
      <formula>CV6</formula>
    </cfRule>
  </conditionalFormatting>
  <conditionalFormatting sqref="EL18">
    <cfRule type="expression" dxfId="414" priority="381">
      <formula>EL18</formula>
    </cfRule>
  </conditionalFormatting>
  <conditionalFormatting sqref="EL20:EL26">
    <cfRule type="expression" dxfId="413" priority="380">
      <formula>EL20</formula>
    </cfRule>
  </conditionalFormatting>
  <conditionalFormatting sqref="CV20:CV28">
    <cfRule type="expression" dxfId="412" priority="561">
      <formula>CV20</formula>
    </cfRule>
  </conditionalFormatting>
  <conditionalFormatting sqref="CV18">
    <cfRule type="expression" dxfId="411" priority="560">
      <formula>CV18</formula>
    </cfRule>
  </conditionalFormatting>
  <conditionalFormatting sqref="CV5">
    <cfRule type="expression" dxfId="410" priority="557">
      <formula>CV5</formula>
    </cfRule>
  </conditionalFormatting>
  <conditionalFormatting sqref="CX17 CX9 CX19">
    <cfRule type="expression" dxfId="409" priority="555">
      <formula>CX9</formula>
    </cfRule>
  </conditionalFormatting>
  <conditionalFormatting sqref="CX7">
    <cfRule type="expression" dxfId="408" priority="554">
      <formula>CX7</formula>
    </cfRule>
  </conditionalFormatting>
  <conditionalFormatting sqref="CX20:CX28">
    <cfRule type="expression" dxfId="407" priority="551">
      <formula>CX20</formula>
    </cfRule>
  </conditionalFormatting>
  <conditionalFormatting sqref="CX18">
    <cfRule type="expression" dxfId="406" priority="550">
      <formula>CX18</formula>
    </cfRule>
  </conditionalFormatting>
  <conditionalFormatting sqref="CZ10:CZ16">
    <cfRule type="expression" dxfId="405" priority="539">
      <formula>CZ10</formula>
    </cfRule>
  </conditionalFormatting>
  <conditionalFormatting sqref="CZ5">
    <cfRule type="expression" dxfId="404" priority="537">
      <formula>CZ5</formula>
    </cfRule>
  </conditionalFormatting>
  <conditionalFormatting sqref="DB6">
    <cfRule type="expression" dxfId="403" priority="526">
      <formula>DB6</formula>
    </cfRule>
  </conditionalFormatting>
  <conditionalFormatting sqref="DD17 DD9 DD19">
    <cfRule type="expression" dxfId="402" priority="525">
      <formula>DD9</formula>
    </cfRule>
  </conditionalFormatting>
  <conditionalFormatting sqref="DD6">
    <cfRule type="expression" dxfId="401" priority="516">
      <formula>DD6</formula>
    </cfRule>
  </conditionalFormatting>
  <conditionalFormatting sqref="DH8">
    <cfRule type="expression" dxfId="400" priority="508">
      <formula>DH8</formula>
    </cfRule>
  </conditionalFormatting>
  <conditionalFormatting sqref="DH10:DH16">
    <cfRule type="expression" dxfId="399" priority="509">
      <formula>DH10</formula>
    </cfRule>
  </conditionalFormatting>
  <conditionalFormatting sqref="DH18">
    <cfRule type="expression" dxfId="398" priority="510">
      <formula>DH18</formula>
    </cfRule>
  </conditionalFormatting>
  <conditionalFormatting sqref="DJ17 DJ9 DJ19">
    <cfRule type="expression" dxfId="397" priority="505">
      <formula>DJ9</formula>
    </cfRule>
  </conditionalFormatting>
  <conditionalFormatting sqref="DJ7">
    <cfRule type="expression" dxfId="396" priority="504">
      <formula>DJ7</formula>
    </cfRule>
  </conditionalFormatting>
  <conditionalFormatting sqref="DJ8">
    <cfRule type="expression" dxfId="395" priority="498">
      <formula>DJ8</formula>
    </cfRule>
  </conditionalFormatting>
  <conditionalFormatting sqref="DJ18">
    <cfRule type="expression" dxfId="394" priority="500">
      <formula>DJ18</formula>
    </cfRule>
  </conditionalFormatting>
  <conditionalFormatting sqref="DJ20:DJ28">
    <cfRule type="expression" dxfId="393" priority="501">
      <formula>DJ20</formula>
    </cfRule>
  </conditionalFormatting>
  <conditionalFormatting sqref="DJ10:DJ16">
    <cfRule type="expression" dxfId="392" priority="499">
      <formula>DJ10</formula>
    </cfRule>
  </conditionalFormatting>
  <conditionalFormatting sqref="DJ5">
    <cfRule type="expression" dxfId="391" priority="497">
      <formula>DJ5</formula>
    </cfRule>
  </conditionalFormatting>
  <conditionalFormatting sqref="DJ6">
    <cfRule type="expression" dxfId="390" priority="496">
      <formula>DJ6</formula>
    </cfRule>
  </conditionalFormatting>
  <conditionalFormatting sqref="DL17 DL9 DL19">
    <cfRule type="expression" dxfId="389" priority="495">
      <formula>DL9</formula>
    </cfRule>
  </conditionalFormatting>
  <conditionalFormatting sqref="DL6">
    <cfRule type="expression" dxfId="388" priority="486">
      <formula>DL6</formula>
    </cfRule>
  </conditionalFormatting>
  <conditionalFormatting sqref="DL7">
    <cfRule type="expression" dxfId="387" priority="494">
      <formula>DL7</formula>
    </cfRule>
  </conditionalFormatting>
  <conditionalFormatting sqref="DL20:DL28">
    <cfRule type="expression" dxfId="386" priority="491">
      <formula>DL20</formula>
    </cfRule>
  </conditionalFormatting>
  <conditionalFormatting sqref="DL18">
    <cfRule type="expression" dxfId="385" priority="490">
      <formula>DL18</formula>
    </cfRule>
  </conditionalFormatting>
  <conditionalFormatting sqref="DL10:DL16">
    <cfRule type="expression" dxfId="384" priority="489">
      <formula>DL10</formula>
    </cfRule>
  </conditionalFormatting>
  <conditionalFormatting sqref="DN17 DN9 DN19">
    <cfRule type="expression" dxfId="383" priority="485">
      <formula>DN9</formula>
    </cfRule>
  </conditionalFormatting>
  <conditionalFormatting sqref="DN8">
    <cfRule type="expression" dxfId="382" priority="478">
      <formula>DN8</formula>
    </cfRule>
  </conditionalFormatting>
  <conditionalFormatting sqref="EH8">
    <cfRule type="expression" dxfId="381" priority="324">
      <formula>EH8</formula>
    </cfRule>
  </conditionalFormatting>
  <conditionalFormatting sqref="EH10:EH16">
    <cfRule type="expression" dxfId="380" priority="325">
      <formula>EH10</formula>
    </cfRule>
  </conditionalFormatting>
  <conditionalFormatting sqref="DN10:DN16">
    <cfRule type="expression" dxfId="379" priority="479">
      <formula>DN10</formula>
    </cfRule>
  </conditionalFormatting>
  <conditionalFormatting sqref="DN5">
    <cfRule type="expression" dxfId="378" priority="477">
      <formula>DN5</formula>
    </cfRule>
  </conditionalFormatting>
  <conditionalFormatting sqref="DN6">
    <cfRule type="expression" dxfId="377" priority="476">
      <formula>DN6</formula>
    </cfRule>
  </conditionalFormatting>
  <conditionalFormatting sqref="DP8">
    <cfRule type="expression" dxfId="376" priority="468">
      <formula>DP8</formula>
    </cfRule>
  </conditionalFormatting>
  <conditionalFormatting sqref="DP20:DP28">
    <cfRule type="expression" dxfId="375" priority="471">
      <formula>DP20</formula>
    </cfRule>
  </conditionalFormatting>
  <conditionalFormatting sqref="DP18">
    <cfRule type="expression" dxfId="374" priority="470">
      <formula>DP18</formula>
    </cfRule>
  </conditionalFormatting>
  <conditionalFormatting sqref="DP10:DP16">
    <cfRule type="expression" dxfId="373" priority="469">
      <formula>DP10</formula>
    </cfRule>
  </conditionalFormatting>
  <conditionalFormatting sqref="DP5">
    <cfRule type="expression" dxfId="372" priority="467">
      <formula>DP5</formula>
    </cfRule>
  </conditionalFormatting>
  <conditionalFormatting sqref="DX8">
    <cfRule type="expression" dxfId="371" priority="337">
      <formula>DX8</formula>
    </cfRule>
  </conditionalFormatting>
  <conditionalFormatting sqref="DZ8">
    <cfRule type="expression" dxfId="370" priority="336">
      <formula>DZ8</formula>
    </cfRule>
  </conditionalFormatting>
  <conditionalFormatting sqref="EB9">
    <cfRule type="expression" dxfId="369" priority="335">
      <formula>EB9</formula>
    </cfRule>
  </conditionalFormatting>
  <conditionalFormatting sqref="DR17 DR9 DR19">
    <cfRule type="expression" dxfId="368" priority="454">
      <formula>DR9</formula>
    </cfRule>
  </conditionalFormatting>
  <conditionalFormatting sqref="DR8">
    <cfRule type="expression" dxfId="367" priority="447">
      <formula>DR8</formula>
    </cfRule>
  </conditionalFormatting>
  <conditionalFormatting sqref="DR7">
    <cfRule type="expression" dxfId="366" priority="453">
      <formula>DR7</formula>
    </cfRule>
  </conditionalFormatting>
  <conditionalFormatting sqref="CX36:CX41">
    <cfRule type="expression" dxfId="365" priority="300">
      <formula>CX36</formula>
    </cfRule>
  </conditionalFormatting>
  <conditionalFormatting sqref="CX29:CX34">
    <cfRule type="expression" dxfId="364" priority="299">
      <formula>CX29</formula>
    </cfRule>
  </conditionalFormatting>
  <conditionalFormatting sqref="DR20:DR28">
    <cfRule type="expression" dxfId="363" priority="450">
      <formula>DR20</formula>
    </cfRule>
  </conditionalFormatting>
  <conditionalFormatting sqref="DR18">
    <cfRule type="expression" dxfId="362" priority="449">
      <formula>DR18</formula>
    </cfRule>
  </conditionalFormatting>
  <conditionalFormatting sqref="DR5">
    <cfRule type="expression" dxfId="361" priority="446">
      <formula>DR5</formula>
    </cfRule>
  </conditionalFormatting>
  <conditionalFormatting sqref="DR6">
    <cfRule type="expression" dxfId="360" priority="445">
      <formula>DR6</formula>
    </cfRule>
  </conditionalFormatting>
  <conditionalFormatting sqref="DT4">
    <cfRule type="expression" dxfId="359" priority="444">
      <formula>DT4</formula>
    </cfRule>
  </conditionalFormatting>
  <conditionalFormatting sqref="DT17 DT9 DT19">
    <cfRule type="expression" dxfId="358" priority="443">
      <formula>DT9</formula>
    </cfRule>
  </conditionalFormatting>
  <conditionalFormatting sqref="DT8">
    <cfRule type="expression" dxfId="357" priority="436">
      <formula>DT8</formula>
    </cfRule>
  </conditionalFormatting>
  <conditionalFormatting sqref="DT7">
    <cfRule type="expression" dxfId="356" priority="442">
      <formula>DT7</formula>
    </cfRule>
  </conditionalFormatting>
  <conditionalFormatting sqref="DD35">
    <cfRule type="expression" dxfId="355" priority="292">
      <formula>DD35</formula>
    </cfRule>
  </conditionalFormatting>
  <conditionalFormatting sqref="DD36:DD41">
    <cfRule type="expression" dxfId="354" priority="291">
      <formula>DD36</formula>
    </cfRule>
  </conditionalFormatting>
  <conditionalFormatting sqref="DT20:DT28">
    <cfRule type="expression" dxfId="353" priority="439">
      <formula>DT20</formula>
    </cfRule>
  </conditionalFormatting>
  <conditionalFormatting sqref="DT18">
    <cfRule type="expression" dxfId="352" priority="438">
      <formula>DT18</formula>
    </cfRule>
  </conditionalFormatting>
  <conditionalFormatting sqref="DT10:DT16">
    <cfRule type="expression" dxfId="351" priority="437">
      <formula>DT10</formula>
    </cfRule>
  </conditionalFormatting>
  <conditionalFormatting sqref="DT5">
    <cfRule type="expression" dxfId="350" priority="435">
      <formula>DT5</formula>
    </cfRule>
  </conditionalFormatting>
  <conditionalFormatting sqref="DT6">
    <cfRule type="expression" dxfId="349" priority="434">
      <formula>DT6</formula>
    </cfRule>
  </conditionalFormatting>
  <conditionalFormatting sqref="DV4">
    <cfRule type="expression" dxfId="348" priority="433">
      <formula>DV4</formula>
    </cfRule>
  </conditionalFormatting>
  <conditionalFormatting sqref="EB27:EB28">
    <cfRule type="expression" dxfId="347" priority="424">
      <formula>EB27</formula>
    </cfRule>
  </conditionalFormatting>
  <conditionalFormatting sqref="EF20:EF26">
    <cfRule type="expression" dxfId="346" priority="407">
      <formula>EF20</formula>
    </cfRule>
  </conditionalFormatting>
  <conditionalFormatting sqref="EB20:EB26">
    <cfRule type="expression" dxfId="345" priority="425">
      <formula>EB20</formula>
    </cfRule>
  </conditionalFormatting>
  <conditionalFormatting sqref="EB7 EB17 EB19">
    <cfRule type="expression" dxfId="344" priority="432">
      <formula>EB7</formula>
    </cfRule>
  </conditionalFormatting>
  <conditionalFormatting sqref="EF6">
    <cfRule type="expression" dxfId="343" priority="409">
      <formula>EF6</formula>
    </cfRule>
  </conditionalFormatting>
  <conditionalFormatting sqref="EF18">
    <cfRule type="expression" dxfId="342" priority="408">
      <formula>EF18</formula>
    </cfRule>
  </conditionalFormatting>
  <conditionalFormatting sqref="EB5">
    <cfRule type="expression" dxfId="341" priority="428">
      <formula>EB5</formula>
    </cfRule>
  </conditionalFormatting>
  <conditionalFormatting sqref="EB6">
    <cfRule type="expression" dxfId="340" priority="427">
      <formula>EB6</formula>
    </cfRule>
  </conditionalFormatting>
  <conditionalFormatting sqref="EB18">
    <cfRule type="expression" dxfId="339" priority="426">
      <formula>EB18</formula>
    </cfRule>
  </conditionalFormatting>
  <conditionalFormatting sqref="ED27:ED28">
    <cfRule type="expression" dxfId="338" priority="415">
      <formula>ED27</formula>
    </cfRule>
  </conditionalFormatting>
  <conditionalFormatting sqref="ED20:ED26">
    <cfRule type="expression" dxfId="337" priority="416">
      <formula>ED20</formula>
    </cfRule>
  </conditionalFormatting>
  <conditionalFormatting sqref="ED7 ED17 ED19">
    <cfRule type="expression" dxfId="336" priority="423">
      <formula>ED7</formula>
    </cfRule>
  </conditionalFormatting>
  <conditionalFormatting sqref="ED18">
    <cfRule type="expression" dxfId="335" priority="417">
      <formula>ED18</formula>
    </cfRule>
  </conditionalFormatting>
  <conditionalFormatting sqref="ED6">
    <cfRule type="expression" dxfId="334" priority="418">
      <formula>ED6</formula>
    </cfRule>
  </conditionalFormatting>
  <conditionalFormatting sqref="EF27:EF28">
    <cfRule type="expression" dxfId="333" priority="406">
      <formula>EF27</formula>
    </cfRule>
  </conditionalFormatting>
  <conditionalFormatting sqref="EF7 EF17 EF19">
    <cfRule type="expression" dxfId="332" priority="414">
      <formula>EF7</formula>
    </cfRule>
  </conditionalFormatting>
  <conditionalFormatting sqref="EH27:EH28">
    <cfRule type="expression" dxfId="331" priority="397">
      <formula>EH27</formula>
    </cfRule>
  </conditionalFormatting>
  <conditionalFormatting sqref="EJ7 EJ17 EJ19">
    <cfRule type="expression" dxfId="330" priority="396">
      <formula>EJ7</formula>
    </cfRule>
  </conditionalFormatting>
  <conditionalFormatting sqref="EF5">
    <cfRule type="expression" dxfId="329" priority="410">
      <formula>EF5</formula>
    </cfRule>
  </conditionalFormatting>
  <conditionalFormatting sqref="EJ20:EJ26">
    <cfRule type="expression" dxfId="328" priority="389">
      <formula>EJ20</formula>
    </cfRule>
  </conditionalFormatting>
  <conditionalFormatting sqref="EH20:EH26">
    <cfRule type="expression" dxfId="327" priority="398">
      <formula>EH20</formula>
    </cfRule>
  </conditionalFormatting>
  <conditionalFormatting sqref="EH7 EH17 EH19">
    <cfRule type="expression" dxfId="326" priority="405">
      <formula>EH7</formula>
    </cfRule>
  </conditionalFormatting>
  <conditionalFormatting sqref="EJ6">
    <cfRule type="expression" dxfId="325" priority="391">
      <formula>EJ6</formula>
    </cfRule>
  </conditionalFormatting>
  <conditionalFormatting sqref="EJ18">
    <cfRule type="expression" dxfId="324" priority="390">
      <formula>EJ18</formula>
    </cfRule>
  </conditionalFormatting>
  <conditionalFormatting sqref="EH6">
    <cfRule type="expression" dxfId="323" priority="400">
      <formula>EH6</formula>
    </cfRule>
  </conditionalFormatting>
  <conditionalFormatting sqref="EH18">
    <cfRule type="expression" dxfId="322" priority="399">
      <formula>EH18</formula>
    </cfRule>
  </conditionalFormatting>
  <conditionalFormatting sqref="EL5">
    <cfRule type="expression" dxfId="321" priority="383">
      <formula>EL5</formula>
    </cfRule>
  </conditionalFormatting>
  <conditionalFormatting sqref="EJ5">
    <cfRule type="expression" dxfId="320" priority="392">
      <formula>EJ5</formula>
    </cfRule>
  </conditionalFormatting>
  <conditionalFormatting sqref="EL27:EL28">
    <cfRule type="expression" dxfId="319" priority="379">
      <formula>EL27</formula>
    </cfRule>
  </conditionalFormatting>
  <conditionalFormatting sqref="EL6">
    <cfRule type="expression" dxfId="318" priority="382">
      <formula>EL6</formula>
    </cfRule>
  </conditionalFormatting>
  <conditionalFormatting sqref="EJ9">
    <cfRule type="expression" dxfId="317" priority="323">
      <formula>EJ9</formula>
    </cfRule>
  </conditionalFormatting>
  <conditionalFormatting sqref="EJ10:EJ16">
    <cfRule type="expression" dxfId="316" priority="322">
      <formula>EJ10</formula>
    </cfRule>
  </conditionalFormatting>
  <conditionalFormatting sqref="EJ8">
    <cfRule type="expression" dxfId="315" priority="321">
      <formula>EJ8</formula>
    </cfRule>
  </conditionalFormatting>
  <conditionalFormatting sqref="EL9">
    <cfRule type="expression" dxfId="314" priority="320">
      <formula>EL9</formula>
    </cfRule>
  </conditionalFormatting>
  <conditionalFormatting sqref="EL10:EL16">
    <cfRule type="expression" dxfId="313" priority="319">
      <formula>EL10</formula>
    </cfRule>
  </conditionalFormatting>
  <conditionalFormatting sqref="EB10:EB16">
    <cfRule type="expression" dxfId="312" priority="334">
      <formula>EB10</formula>
    </cfRule>
  </conditionalFormatting>
  <conditionalFormatting sqref="EF8">
    <cfRule type="expression" dxfId="311" priority="327">
      <formula>EF8</formula>
    </cfRule>
  </conditionalFormatting>
  <conditionalFormatting sqref="EH9">
    <cfRule type="expression" dxfId="310" priority="326">
      <formula>EH9</formula>
    </cfRule>
  </conditionalFormatting>
  <conditionalFormatting sqref="CP35">
    <cfRule type="expression" dxfId="309" priority="313">
      <formula>CP35</formula>
    </cfRule>
  </conditionalFormatting>
  <conditionalFormatting sqref="CP36:CP41">
    <cfRule type="expression" dxfId="308" priority="312">
      <formula>CP36</formula>
    </cfRule>
  </conditionalFormatting>
  <conditionalFormatting sqref="CP29:CP34">
    <cfRule type="expression" dxfId="307" priority="311">
      <formula>CP29</formula>
    </cfRule>
  </conditionalFormatting>
  <conditionalFormatting sqref="CR35">
    <cfRule type="expression" dxfId="306" priority="310">
      <formula>CR35</formula>
    </cfRule>
  </conditionalFormatting>
  <conditionalFormatting sqref="CR36:CR41">
    <cfRule type="expression" dxfId="305" priority="309">
      <formula>CR36</formula>
    </cfRule>
  </conditionalFormatting>
  <conditionalFormatting sqref="CR29:CR34">
    <cfRule type="expression" dxfId="304" priority="308">
      <formula>CR29</formula>
    </cfRule>
  </conditionalFormatting>
  <conditionalFormatting sqref="CT35">
    <cfRule type="expression" dxfId="303" priority="307">
      <formula>CT35</formula>
    </cfRule>
  </conditionalFormatting>
  <conditionalFormatting sqref="CT36:CT41">
    <cfRule type="expression" dxfId="302" priority="306">
      <formula>CT36</formula>
    </cfRule>
  </conditionalFormatting>
  <conditionalFormatting sqref="CT29:CT34">
    <cfRule type="expression" dxfId="301" priority="305">
      <formula>CT29</formula>
    </cfRule>
  </conditionalFormatting>
  <conditionalFormatting sqref="CV35">
    <cfRule type="expression" dxfId="300" priority="304">
      <formula>CV35</formula>
    </cfRule>
  </conditionalFormatting>
  <conditionalFormatting sqref="CV36:CV41">
    <cfRule type="expression" dxfId="299" priority="303">
      <formula>CV36</formula>
    </cfRule>
  </conditionalFormatting>
  <conditionalFormatting sqref="CV29:CV34">
    <cfRule type="expression" dxfId="298" priority="302">
      <formula>CV29</formula>
    </cfRule>
  </conditionalFormatting>
  <conditionalFormatting sqref="CX35">
    <cfRule type="expression" dxfId="297" priority="301">
      <formula>CX35</formula>
    </cfRule>
  </conditionalFormatting>
  <conditionalFormatting sqref="CZ35">
    <cfRule type="expression" dxfId="296" priority="298">
      <formula>CZ35</formula>
    </cfRule>
  </conditionalFormatting>
  <conditionalFormatting sqref="CZ36:CZ41">
    <cfRule type="expression" dxfId="295" priority="297">
      <formula>CZ36</formula>
    </cfRule>
  </conditionalFormatting>
  <conditionalFormatting sqref="CZ29:CZ34">
    <cfRule type="expression" dxfId="294" priority="296">
      <formula>CZ29</formula>
    </cfRule>
  </conditionalFormatting>
  <conditionalFormatting sqref="DB35">
    <cfRule type="expression" dxfId="293" priority="295">
      <formula>DB35</formula>
    </cfRule>
  </conditionalFormatting>
  <conditionalFormatting sqref="DB36:DB41">
    <cfRule type="expression" dxfId="292" priority="294">
      <formula>DB36</formula>
    </cfRule>
  </conditionalFormatting>
  <conditionalFormatting sqref="DB29:DB34">
    <cfRule type="expression" dxfId="291" priority="293">
      <formula>DB29</formula>
    </cfRule>
  </conditionalFormatting>
  <conditionalFormatting sqref="DD29:DD34">
    <cfRule type="expression" dxfId="290" priority="290">
      <formula>DD29</formula>
    </cfRule>
  </conditionalFormatting>
  <conditionalFormatting sqref="DH35">
    <cfRule type="expression" dxfId="289" priority="289">
      <formula>DH35</formula>
    </cfRule>
  </conditionalFormatting>
  <conditionalFormatting sqref="DH36:DH41">
    <cfRule type="expression" dxfId="288" priority="288">
      <formula>DH36</formula>
    </cfRule>
  </conditionalFormatting>
  <conditionalFormatting sqref="DH29:DH34">
    <cfRule type="expression" dxfId="287" priority="287">
      <formula>DH29</formula>
    </cfRule>
  </conditionalFormatting>
  <conditionalFormatting sqref="DJ35">
    <cfRule type="expression" dxfId="286" priority="286">
      <formula>DJ35</formula>
    </cfRule>
  </conditionalFormatting>
  <conditionalFormatting sqref="DJ36:DJ41">
    <cfRule type="expression" dxfId="285" priority="285">
      <formula>DJ36</formula>
    </cfRule>
  </conditionalFormatting>
  <conditionalFormatting sqref="DJ29:DJ34">
    <cfRule type="expression" dxfId="284" priority="284">
      <formula>DJ29</formula>
    </cfRule>
  </conditionalFormatting>
  <conditionalFormatting sqref="DL35">
    <cfRule type="expression" dxfId="283" priority="283">
      <formula>DL35</formula>
    </cfRule>
  </conditionalFormatting>
  <conditionalFormatting sqref="DL36:DL41">
    <cfRule type="expression" dxfId="282" priority="282">
      <formula>DL36</formula>
    </cfRule>
  </conditionalFormatting>
  <conditionalFormatting sqref="DL29:DL34">
    <cfRule type="expression" dxfId="281" priority="281">
      <formula>DL29</formula>
    </cfRule>
  </conditionalFormatting>
  <conditionalFormatting sqref="DN35">
    <cfRule type="expression" dxfId="280" priority="280">
      <formula>DN35</formula>
    </cfRule>
  </conditionalFormatting>
  <conditionalFormatting sqref="DN36:DN41">
    <cfRule type="expression" dxfId="279" priority="279">
      <formula>DN36</formula>
    </cfRule>
  </conditionalFormatting>
  <conditionalFormatting sqref="DN29:DN34">
    <cfRule type="expression" dxfId="278" priority="278">
      <formula>DN29</formula>
    </cfRule>
  </conditionalFormatting>
  <conditionalFormatting sqref="DP35">
    <cfRule type="expression" dxfId="277" priority="277">
      <formula>DP35</formula>
    </cfRule>
  </conditionalFormatting>
  <conditionalFormatting sqref="DP36:DP41">
    <cfRule type="expression" dxfId="276" priority="276">
      <formula>DP36</formula>
    </cfRule>
  </conditionalFormatting>
  <conditionalFormatting sqref="DP29:DP34">
    <cfRule type="expression" dxfId="275" priority="275">
      <formula>DP29</formula>
    </cfRule>
  </conditionalFormatting>
  <conditionalFormatting sqref="DR35">
    <cfRule type="expression" dxfId="274" priority="274">
      <formula>DR35</formula>
    </cfRule>
  </conditionalFormatting>
  <conditionalFormatting sqref="DR36:DR41">
    <cfRule type="expression" dxfId="273" priority="273">
      <formula>DR36</formula>
    </cfRule>
  </conditionalFormatting>
  <conditionalFormatting sqref="DR29:DR34">
    <cfRule type="expression" dxfId="272" priority="272">
      <formula>DR29</formula>
    </cfRule>
  </conditionalFormatting>
  <conditionalFormatting sqref="DT35">
    <cfRule type="expression" dxfId="271" priority="271">
      <formula>DT35</formula>
    </cfRule>
  </conditionalFormatting>
  <conditionalFormatting sqref="DT36:DT41">
    <cfRule type="expression" dxfId="270" priority="270">
      <formula>DT36</formula>
    </cfRule>
  </conditionalFormatting>
  <conditionalFormatting sqref="DT29:DT34">
    <cfRule type="expression" dxfId="269" priority="269">
      <formula>DT29</formula>
    </cfRule>
  </conditionalFormatting>
  <conditionalFormatting sqref="DV35">
    <cfRule type="expression" dxfId="268" priority="268">
      <formula>DV35</formula>
    </cfRule>
  </conditionalFormatting>
  <conditionalFormatting sqref="DV36:DV41">
    <cfRule type="expression" dxfId="267" priority="267">
      <formula>DV36</formula>
    </cfRule>
  </conditionalFormatting>
  <conditionalFormatting sqref="DV29:DV34">
    <cfRule type="expression" dxfId="266" priority="266">
      <formula>DV29</formula>
    </cfRule>
  </conditionalFormatting>
  <conditionalFormatting sqref="DX35">
    <cfRule type="expression" dxfId="265" priority="265">
      <formula>DX35</formula>
    </cfRule>
  </conditionalFormatting>
  <conditionalFormatting sqref="DX36:DX41">
    <cfRule type="expression" dxfId="264" priority="264">
      <formula>DX36</formula>
    </cfRule>
  </conditionalFormatting>
  <conditionalFormatting sqref="DX29:DX34">
    <cfRule type="expression" dxfId="263" priority="263">
      <formula>DX29</formula>
    </cfRule>
  </conditionalFormatting>
  <conditionalFormatting sqref="DZ35">
    <cfRule type="expression" dxfId="262" priority="262">
      <formula>DZ35</formula>
    </cfRule>
  </conditionalFormatting>
  <conditionalFormatting sqref="DZ36:DZ41">
    <cfRule type="expression" dxfId="261" priority="261">
      <formula>DZ36</formula>
    </cfRule>
  </conditionalFormatting>
  <conditionalFormatting sqref="DZ29:DZ34">
    <cfRule type="expression" dxfId="260" priority="260">
      <formula>DZ29</formula>
    </cfRule>
  </conditionalFormatting>
  <conditionalFormatting sqref="EB35">
    <cfRule type="expression" dxfId="259" priority="259">
      <formula>EB35</formula>
    </cfRule>
  </conditionalFormatting>
  <conditionalFormatting sqref="EB36:EB41">
    <cfRule type="expression" dxfId="258" priority="258">
      <formula>EB36</formula>
    </cfRule>
  </conditionalFormatting>
  <conditionalFormatting sqref="EB29:EB34">
    <cfRule type="expression" dxfId="257" priority="257">
      <formula>EB29</formula>
    </cfRule>
  </conditionalFormatting>
  <conditionalFormatting sqref="ED35">
    <cfRule type="expression" dxfId="256" priority="256">
      <formula>ED35</formula>
    </cfRule>
  </conditionalFormatting>
  <conditionalFormatting sqref="ED36:ED41">
    <cfRule type="expression" dxfId="255" priority="255">
      <formula>ED36</formula>
    </cfRule>
  </conditionalFormatting>
  <conditionalFormatting sqref="ED29:ED34">
    <cfRule type="expression" dxfId="254" priority="254">
      <formula>ED29</formula>
    </cfRule>
  </conditionalFormatting>
  <conditionalFormatting sqref="EF35">
    <cfRule type="expression" dxfId="253" priority="253">
      <formula>EF35</formula>
    </cfRule>
  </conditionalFormatting>
  <conditionalFormatting sqref="EF36:EF41">
    <cfRule type="expression" dxfId="252" priority="252">
      <formula>EF36</formula>
    </cfRule>
  </conditionalFormatting>
  <conditionalFormatting sqref="EF29:EF34">
    <cfRule type="expression" dxfId="251" priority="251">
      <formula>EF29</formula>
    </cfRule>
  </conditionalFormatting>
  <conditionalFormatting sqref="EH35">
    <cfRule type="expression" dxfId="250" priority="250">
      <formula>EH35</formula>
    </cfRule>
  </conditionalFormatting>
  <conditionalFormatting sqref="EH36:EH41">
    <cfRule type="expression" dxfId="249" priority="249">
      <formula>EH36</formula>
    </cfRule>
  </conditionalFormatting>
  <conditionalFormatting sqref="EH29:EH34">
    <cfRule type="expression" dxfId="248" priority="248">
      <formula>EH29</formula>
    </cfRule>
  </conditionalFormatting>
  <conditionalFormatting sqref="EJ35">
    <cfRule type="expression" dxfId="247" priority="247">
      <formula>EJ35</formula>
    </cfRule>
  </conditionalFormatting>
  <conditionalFormatting sqref="EJ36:EJ41">
    <cfRule type="expression" dxfId="246" priority="246">
      <formula>EJ36</formula>
    </cfRule>
  </conditionalFormatting>
  <conditionalFormatting sqref="EJ29:EJ34">
    <cfRule type="expression" dxfId="245" priority="245">
      <formula>EJ29</formula>
    </cfRule>
  </conditionalFormatting>
  <conditionalFormatting sqref="EL35">
    <cfRule type="expression" dxfId="244" priority="244">
      <formula>EL35</formula>
    </cfRule>
  </conditionalFormatting>
  <conditionalFormatting sqref="EL36:EL41">
    <cfRule type="expression" dxfId="243" priority="243">
      <formula>EL36</formula>
    </cfRule>
  </conditionalFormatting>
  <conditionalFormatting sqref="EL29:EL34">
    <cfRule type="expression" dxfId="242" priority="242">
      <formula>EL29</formula>
    </cfRule>
  </conditionalFormatting>
  <conditionalFormatting sqref="CO7">
    <cfRule type="expression" dxfId="241" priority="241">
      <formula>CO7</formula>
    </cfRule>
  </conditionalFormatting>
  <conditionalFormatting sqref="CO17">
    <cfRule type="expression" dxfId="240" priority="240">
      <formula>CO17</formula>
    </cfRule>
  </conditionalFormatting>
  <conditionalFormatting sqref="CO19">
    <cfRule type="expression" dxfId="239" priority="239">
      <formula>CO19</formula>
    </cfRule>
  </conditionalFormatting>
  <conditionalFormatting sqref="CO35">
    <cfRule type="expression" dxfId="238" priority="238">
      <formula>CO35</formula>
    </cfRule>
  </conditionalFormatting>
  <conditionalFormatting sqref="CU7">
    <cfRule type="expression" dxfId="237" priority="229">
      <formula>CU7</formula>
    </cfRule>
  </conditionalFormatting>
  <conditionalFormatting sqref="CU17">
    <cfRule type="expression" dxfId="236" priority="228">
      <formula>CU17</formula>
    </cfRule>
  </conditionalFormatting>
  <conditionalFormatting sqref="CU19">
    <cfRule type="expression" dxfId="235" priority="227">
      <formula>CU19</formula>
    </cfRule>
  </conditionalFormatting>
  <conditionalFormatting sqref="CW7">
    <cfRule type="expression" dxfId="234" priority="226">
      <formula>CW7</formula>
    </cfRule>
  </conditionalFormatting>
  <conditionalFormatting sqref="CY7">
    <cfRule type="expression" dxfId="233" priority="225">
      <formula>CY7</formula>
    </cfRule>
  </conditionalFormatting>
  <conditionalFormatting sqref="CY9">
    <cfRule type="expression" dxfId="232" priority="224">
      <formula>CY9</formula>
    </cfRule>
  </conditionalFormatting>
  <conditionalFormatting sqref="CW9">
    <cfRule type="expression" dxfId="231" priority="223">
      <formula>CW9</formula>
    </cfRule>
  </conditionalFormatting>
  <conditionalFormatting sqref="CU9">
    <cfRule type="expression" dxfId="230" priority="222">
      <formula>CU9</formula>
    </cfRule>
  </conditionalFormatting>
  <conditionalFormatting sqref="CW17">
    <cfRule type="expression" dxfId="229" priority="219">
      <formula>CW17</formula>
    </cfRule>
  </conditionalFormatting>
  <conditionalFormatting sqref="CY17">
    <cfRule type="expression" dxfId="228" priority="218">
      <formula>CY17</formula>
    </cfRule>
  </conditionalFormatting>
  <conditionalFormatting sqref="CW19">
    <cfRule type="expression" dxfId="227" priority="217">
      <formula>CW19</formula>
    </cfRule>
  </conditionalFormatting>
  <conditionalFormatting sqref="CY19">
    <cfRule type="expression" dxfId="226" priority="216">
      <formula>CY19</formula>
    </cfRule>
  </conditionalFormatting>
  <conditionalFormatting sqref="CU35">
    <cfRule type="expression" dxfId="225" priority="215">
      <formula>CU35</formula>
    </cfRule>
  </conditionalFormatting>
  <conditionalFormatting sqref="CY35">
    <cfRule type="expression" dxfId="224" priority="214">
      <formula>CY35</formula>
    </cfRule>
  </conditionalFormatting>
  <conditionalFormatting sqref="CW35">
    <cfRule type="expression" dxfId="223" priority="213">
      <formula>CW35</formula>
    </cfRule>
  </conditionalFormatting>
  <conditionalFormatting sqref="DA7">
    <cfRule type="expression" dxfId="222" priority="212">
      <formula>DA7</formula>
    </cfRule>
  </conditionalFormatting>
  <conditionalFormatting sqref="DA9">
    <cfRule type="expression" dxfId="221" priority="211">
      <formula>DA9</formula>
    </cfRule>
  </conditionalFormatting>
  <conditionalFormatting sqref="DC7">
    <cfRule type="expression" dxfId="220" priority="210">
      <formula>DC7</formula>
    </cfRule>
  </conditionalFormatting>
  <conditionalFormatting sqref="DC9">
    <cfRule type="expression" dxfId="219" priority="209">
      <formula>DC9</formula>
    </cfRule>
  </conditionalFormatting>
  <conditionalFormatting sqref="DE7">
    <cfRule type="expression" dxfId="218" priority="208">
      <formula>DE7</formula>
    </cfRule>
  </conditionalFormatting>
  <conditionalFormatting sqref="DE9">
    <cfRule type="expression" dxfId="217" priority="207">
      <formula>DE9</formula>
    </cfRule>
  </conditionalFormatting>
  <conditionalFormatting sqref="DA17">
    <cfRule type="expression" dxfId="216" priority="206">
      <formula>DA17</formula>
    </cfRule>
  </conditionalFormatting>
  <conditionalFormatting sqref="DC17">
    <cfRule type="expression" dxfId="215" priority="205">
      <formula>DC17</formula>
    </cfRule>
  </conditionalFormatting>
  <conditionalFormatting sqref="DE17">
    <cfRule type="expression" dxfId="214" priority="204">
      <formula>DE17</formula>
    </cfRule>
  </conditionalFormatting>
  <conditionalFormatting sqref="DE19">
    <cfRule type="expression" dxfId="213" priority="203">
      <formula>DE19</formula>
    </cfRule>
  </conditionalFormatting>
  <conditionalFormatting sqref="DC19">
    <cfRule type="expression" dxfId="212" priority="202">
      <formula>DC19</formula>
    </cfRule>
  </conditionalFormatting>
  <conditionalFormatting sqref="DA19">
    <cfRule type="expression" dxfId="211" priority="201">
      <formula>DA19</formula>
    </cfRule>
  </conditionalFormatting>
  <conditionalFormatting sqref="DA35">
    <cfRule type="expression" dxfId="210" priority="200">
      <formula>DA35</formula>
    </cfRule>
  </conditionalFormatting>
  <conditionalFormatting sqref="DC35">
    <cfRule type="expression" dxfId="209" priority="199">
      <formula>DC35</formula>
    </cfRule>
  </conditionalFormatting>
  <conditionalFormatting sqref="DE35">
    <cfRule type="expression" dxfId="208" priority="198">
      <formula>DE35</formula>
    </cfRule>
  </conditionalFormatting>
  <conditionalFormatting sqref="DI7">
    <cfRule type="expression" dxfId="207" priority="197">
      <formula>DI7</formula>
    </cfRule>
  </conditionalFormatting>
  <conditionalFormatting sqref="DK7">
    <cfRule type="expression" dxfId="206" priority="196">
      <formula>DK7</formula>
    </cfRule>
  </conditionalFormatting>
  <conditionalFormatting sqref="DM7">
    <cfRule type="expression" dxfId="205" priority="195">
      <formula>DM7</formula>
    </cfRule>
  </conditionalFormatting>
  <conditionalFormatting sqref="DI9">
    <cfRule type="expression" dxfId="204" priority="194">
      <formula>DI9</formula>
    </cfRule>
  </conditionalFormatting>
  <conditionalFormatting sqref="DK9">
    <cfRule type="expression" dxfId="203" priority="193">
      <formula>DK9</formula>
    </cfRule>
  </conditionalFormatting>
  <conditionalFormatting sqref="DM9">
    <cfRule type="expression" dxfId="202" priority="192">
      <formula>DM9</formula>
    </cfRule>
  </conditionalFormatting>
  <conditionalFormatting sqref="DI17">
    <cfRule type="expression" dxfId="201" priority="191">
      <formula>DI17</formula>
    </cfRule>
  </conditionalFormatting>
  <conditionalFormatting sqref="DI19">
    <cfRule type="expression" dxfId="200" priority="190">
      <formula>DI19</formula>
    </cfRule>
  </conditionalFormatting>
  <conditionalFormatting sqref="DK17">
    <cfRule type="expression" dxfId="199" priority="189">
      <formula>DK17</formula>
    </cfRule>
  </conditionalFormatting>
  <conditionalFormatting sqref="DK19">
    <cfRule type="expression" dxfId="198" priority="188">
      <formula>DK19</formula>
    </cfRule>
  </conditionalFormatting>
  <conditionalFormatting sqref="DM17">
    <cfRule type="expression" dxfId="197" priority="187">
      <formula>DM17</formula>
    </cfRule>
  </conditionalFormatting>
  <conditionalFormatting sqref="DM19">
    <cfRule type="expression" dxfId="196" priority="186">
      <formula>DM19</formula>
    </cfRule>
  </conditionalFormatting>
  <conditionalFormatting sqref="DI35">
    <cfRule type="expression" dxfId="195" priority="185">
      <formula>DI35</formula>
    </cfRule>
  </conditionalFormatting>
  <conditionalFormatting sqref="DK35">
    <cfRule type="expression" dxfId="194" priority="184">
      <formula>DK35</formula>
    </cfRule>
  </conditionalFormatting>
  <conditionalFormatting sqref="DM35">
    <cfRule type="expression" dxfId="193" priority="183">
      <formula>DM35</formula>
    </cfRule>
  </conditionalFormatting>
  <conditionalFormatting sqref="DO7">
    <cfRule type="expression" dxfId="192" priority="182">
      <formula>DO7</formula>
    </cfRule>
  </conditionalFormatting>
  <conditionalFormatting sqref="DQ7">
    <cfRule type="expression" dxfId="191" priority="181">
      <formula>DQ7</formula>
    </cfRule>
  </conditionalFormatting>
  <conditionalFormatting sqref="DS7">
    <cfRule type="expression" dxfId="190" priority="180">
      <formula>DS7</formula>
    </cfRule>
  </conditionalFormatting>
  <conditionalFormatting sqref="DS9">
    <cfRule type="expression" dxfId="189" priority="179">
      <formula>DS9</formula>
    </cfRule>
  </conditionalFormatting>
  <conditionalFormatting sqref="DQ9">
    <cfRule type="expression" dxfId="188" priority="178">
      <formula>DQ9</formula>
    </cfRule>
  </conditionalFormatting>
  <conditionalFormatting sqref="DO9">
    <cfRule type="expression" dxfId="187" priority="177">
      <formula>DO9</formula>
    </cfRule>
  </conditionalFormatting>
  <conditionalFormatting sqref="DO17">
    <cfRule type="expression" dxfId="186" priority="176">
      <formula>DO17</formula>
    </cfRule>
  </conditionalFormatting>
  <conditionalFormatting sqref="DO19">
    <cfRule type="expression" dxfId="185" priority="175">
      <formula>DO19</formula>
    </cfRule>
  </conditionalFormatting>
  <conditionalFormatting sqref="DQ17">
    <cfRule type="expression" dxfId="184" priority="174">
      <formula>DQ17</formula>
    </cfRule>
  </conditionalFormatting>
  <conditionalFormatting sqref="DQ19">
    <cfRule type="expression" dxfId="183" priority="173">
      <formula>DQ19</formula>
    </cfRule>
  </conditionalFormatting>
  <conditionalFormatting sqref="DS17">
    <cfRule type="expression" dxfId="182" priority="172">
      <formula>DS17</formula>
    </cfRule>
  </conditionalFormatting>
  <conditionalFormatting sqref="DS19">
    <cfRule type="expression" dxfId="181" priority="171">
      <formula>DS19</formula>
    </cfRule>
  </conditionalFormatting>
  <conditionalFormatting sqref="DO35">
    <cfRule type="expression" dxfId="180" priority="170">
      <formula>DO35</formula>
    </cfRule>
  </conditionalFormatting>
  <conditionalFormatting sqref="DQ35">
    <cfRule type="expression" dxfId="179" priority="169">
      <formula>DQ35</formula>
    </cfRule>
  </conditionalFormatting>
  <conditionalFormatting sqref="DS35">
    <cfRule type="expression" dxfId="178" priority="168">
      <formula>DS35</formula>
    </cfRule>
  </conditionalFormatting>
  <conditionalFormatting sqref="DU7">
    <cfRule type="expression" dxfId="177" priority="167">
      <formula>DU7</formula>
    </cfRule>
  </conditionalFormatting>
  <conditionalFormatting sqref="DY7">
    <cfRule type="expression" dxfId="176" priority="166">
      <formula>DY7</formula>
    </cfRule>
  </conditionalFormatting>
  <conditionalFormatting sqref="DY9">
    <cfRule type="expression" dxfId="175" priority="165">
      <formula>DY9</formula>
    </cfRule>
  </conditionalFormatting>
  <conditionalFormatting sqref="DW9">
    <cfRule type="expression" dxfId="174" priority="164">
      <formula>DW9</formula>
    </cfRule>
  </conditionalFormatting>
  <conditionalFormatting sqref="DU9">
    <cfRule type="expression" dxfId="173" priority="163">
      <formula>DU9</formula>
    </cfRule>
  </conditionalFormatting>
  <conditionalFormatting sqref="DU17">
    <cfRule type="expression" dxfId="172" priority="162">
      <formula>DU17</formula>
    </cfRule>
  </conditionalFormatting>
  <conditionalFormatting sqref="DU19">
    <cfRule type="expression" dxfId="171" priority="161">
      <formula>DU19</formula>
    </cfRule>
  </conditionalFormatting>
  <conditionalFormatting sqref="DW17">
    <cfRule type="expression" dxfId="170" priority="160">
      <formula>DW17</formula>
    </cfRule>
  </conditionalFormatting>
  <conditionalFormatting sqref="DW19">
    <cfRule type="expression" dxfId="169" priority="159">
      <formula>DW19</formula>
    </cfRule>
  </conditionalFormatting>
  <conditionalFormatting sqref="DY17">
    <cfRule type="expression" dxfId="168" priority="158">
      <formula>DY17</formula>
    </cfRule>
  </conditionalFormatting>
  <conditionalFormatting sqref="DY19">
    <cfRule type="expression" dxfId="167" priority="157">
      <formula>DY19</formula>
    </cfRule>
  </conditionalFormatting>
  <conditionalFormatting sqref="DY35">
    <cfRule type="expression" dxfId="166" priority="156">
      <formula>DY35</formula>
    </cfRule>
  </conditionalFormatting>
  <conditionalFormatting sqref="DW35">
    <cfRule type="expression" dxfId="165" priority="155">
      <formula>DW35</formula>
    </cfRule>
  </conditionalFormatting>
  <conditionalFormatting sqref="DU35">
    <cfRule type="expression" dxfId="164" priority="154">
      <formula>DU35</formula>
    </cfRule>
  </conditionalFormatting>
  <conditionalFormatting sqref="DW7">
    <cfRule type="expression" dxfId="163" priority="153">
      <formula>DW7</formula>
    </cfRule>
  </conditionalFormatting>
  <conditionalFormatting sqref="EA7">
    <cfRule type="expression" dxfId="162" priority="152">
      <formula>EA7</formula>
    </cfRule>
  </conditionalFormatting>
  <conditionalFormatting sqref="EA9">
    <cfRule type="expression" dxfId="161" priority="151">
      <formula>EA9</formula>
    </cfRule>
  </conditionalFormatting>
  <conditionalFormatting sqref="EA17">
    <cfRule type="expression" dxfId="160" priority="150">
      <formula>EA17</formula>
    </cfRule>
  </conditionalFormatting>
  <conditionalFormatting sqref="EA19">
    <cfRule type="expression" dxfId="159" priority="149">
      <formula>EA19</formula>
    </cfRule>
  </conditionalFormatting>
  <conditionalFormatting sqref="EA35">
    <cfRule type="expression" dxfId="158" priority="148">
      <formula>EA35</formula>
    </cfRule>
  </conditionalFormatting>
  <conditionalFormatting sqref="EC35">
    <cfRule type="expression" dxfId="157" priority="147">
      <formula>EC35</formula>
    </cfRule>
  </conditionalFormatting>
  <conditionalFormatting sqref="EE35">
    <cfRule type="expression" dxfId="156" priority="146">
      <formula>EE35</formula>
    </cfRule>
  </conditionalFormatting>
  <conditionalFormatting sqref="EC19">
    <cfRule type="expression" dxfId="155" priority="145">
      <formula>EC19</formula>
    </cfRule>
  </conditionalFormatting>
  <conditionalFormatting sqref="EC17">
    <cfRule type="expression" dxfId="154" priority="144">
      <formula>EC17</formula>
    </cfRule>
  </conditionalFormatting>
  <conditionalFormatting sqref="EE17">
    <cfRule type="expression" dxfId="153" priority="143">
      <formula>EE17</formula>
    </cfRule>
  </conditionalFormatting>
  <conditionalFormatting sqref="EE19">
    <cfRule type="expression" dxfId="152" priority="142">
      <formula>EE19</formula>
    </cfRule>
  </conditionalFormatting>
  <conditionalFormatting sqref="EC9">
    <cfRule type="expression" dxfId="151" priority="141">
      <formula>EC9</formula>
    </cfRule>
  </conditionalFormatting>
  <conditionalFormatting sqref="EE9">
    <cfRule type="expression" dxfId="150" priority="140">
      <formula>EE9</formula>
    </cfRule>
  </conditionalFormatting>
  <conditionalFormatting sqref="EC7">
    <cfRule type="expression" dxfId="149" priority="139">
      <formula>EC7</formula>
    </cfRule>
  </conditionalFormatting>
  <conditionalFormatting sqref="EE7">
    <cfRule type="expression" dxfId="148" priority="138">
      <formula>EE7</formula>
    </cfRule>
  </conditionalFormatting>
  <conditionalFormatting sqref="EG7">
    <cfRule type="expression" dxfId="147" priority="137">
      <formula>EG7</formula>
    </cfRule>
  </conditionalFormatting>
  <conditionalFormatting sqref="EI7">
    <cfRule type="expression" dxfId="146" priority="136">
      <formula>EI7</formula>
    </cfRule>
  </conditionalFormatting>
  <conditionalFormatting sqref="EK7">
    <cfRule type="expression" dxfId="145" priority="135">
      <formula>EK7</formula>
    </cfRule>
  </conditionalFormatting>
  <conditionalFormatting sqref="EG17">
    <cfRule type="expression" dxfId="144" priority="134">
      <formula>EG17</formula>
    </cfRule>
  </conditionalFormatting>
  <conditionalFormatting sqref="EG9">
    <cfRule type="expression" dxfId="143" priority="133">
      <formula>EG9</formula>
    </cfRule>
  </conditionalFormatting>
  <conditionalFormatting sqref="EI9">
    <cfRule type="expression" dxfId="142" priority="132">
      <formula>EI9</formula>
    </cfRule>
  </conditionalFormatting>
  <conditionalFormatting sqref="EI17">
    <cfRule type="expression" dxfId="141" priority="131">
      <formula>EI17</formula>
    </cfRule>
  </conditionalFormatting>
  <conditionalFormatting sqref="EI19">
    <cfRule type="expression" dxfId="140" priority="130">
      <formula>EI19</formula>
    </cfRule>
  </conditionalFormatting>
  <conditionalFormatting sqref="EG19">
    <cfRule type="expression" dxfId="139" priority="129">
      <formula>EG19</formula>
    </cfRule>
  </conditionalFormatting>
  <conditionalFormatting sqref="EK9">
    <cfRule type="expression" dxfId="138" priority="128">
      <formula>EK9</formula>
    </cfRule>
  </conditionalFormatting>
  <conditionalFormatting sqref="EK17">
    <cfRule type="expression" dxfId="137" priority="127">
      <formula>EK17</formula>
    </cfRule>
  </conditionalFormatting>
  <conditionalFormatting sqref="EK19">
    <cfRule type="expression" dxfId="136" priority="126">
      <formula>EK19</formula>
    </cfRule>
  </conditionalFormatting>
  <conditionalFormatting sqref="EG35">
    <cfRule type="expression" dxfId="135" priority="125">
      <formula>EG35</formula>
    </cfRule>
  </conditionalFormatting>
  <conditionalFormatting sqref="EI35">
    <cfRule type="expression" dxfId="134" priority="124">
      <formula>EI35</formula>
    </cfRule>
  </conditionalFormatting>
  <conditionalFormatting sqref="EK35">
    <cfRule type="expression" dxfId="133" priority="123">
      <formula>EK35</formula>
    </cfRule>
  </conditionalFormatting>
  <conditionalFormatting sqref="BY2">
    <cfRule type="expression" dxfId="132" priority="122">
      <formula>BY2</formula>
    </cfRule>
  </conditionalFormatting>
  <conditionalFormatting sqref="BY4:CJ4">
    <cfRule type="expression" dxfId="131" priority="121">
      <formula>BY4</formula>
    </cfRule>
  </conditionalFormatting>
  <conditionalFormatting sqref="BY7:CA7 BY9:CA9 BY17:CA17 BY19:CA19 BY35:CA35">
    <cfRule type="expression" dxfId="130" priority="120">
      <formula>BY7</formula>
    </cfRule>
  </conditionalFormatting>
  <conditionalFormatting sqref="EN4">
    <cfRule type="expression" dxfId="129" priority="119">
      <formula>EN4</formula>
    </cfRule>
  </conditionalFormatting>
  <conditionalFormatting sqref="EN8">
    <cfRule type="expression" dxfId="128" priority="110">
      <formula>EN8</formula>
    </cfRule>
  </conditionalFormatting>
  <conditionalFormatting sqref="EN7 EN17 EN19">
    <cfRule type="expression" dxfId="127" priority="118">
      <formula>EN7</formula>
    </cfRule>
  </conditionalFormatting>
  <conditionalFormatting sqref="EN18">
    <cfRule type="expression" dxfId="126" priority="115">
      <formula>EN18</formula>
    </cfRule>
  </conditionalFormatting>
  <conditionalFormatting sqref="EN20:EN26">
    <cfRule type="expression" dxfId="125" priority="114">
      <formula>EN20</formula>
    </cfRule>
  </conditionalFormatting>
  <conditionalFormatting sqref="EN5">
    <cfRule type="expression" dxfId="124" priority="117">
      <formula>EN5</formula>
    </cfRule>
  </conditionalFormatting>
  <conditionalFormatting sqref="EN27:EN28">
    <cfRule type="expression" dxfId="123" priority="113">
      <formula>EN27</formula>
    </cfRule>
  </conditionalFormatting>
  <conditionalFormatting sqref="EN6">
    <cfRule type="expression" dxfId="122" priority="116">
      <formula>EN6</formula>
    </cfRule>
  </conditionalFormatting>
  <conditionalFormatting sqref="EN9">
    <cfRule type="expression" dxfId="121" priority="112">
      <formula>EN9</formula>
    </cfRule>
  </conditionalFormatting>
  <conditionalFormatting sqref="EN10:EN16">
    <cfRule type="expression" dxfId="120" priority="111">
      <formula>EN10</formula>
    </cfRule>
  </conditionalFormatting>
  <conditionalFormatting sqref="EN35">
    <cfRule type="expression" dxfId="119" priority="109">
      <formula>EN35</formula>
    </cfRule>
  </conditionalFormatting>
  <conditionalFormatting sqref="EN36:EN41">
    <cfRule type="expression" dxfId="118" priority="108">
      <formula>EN36</formula>
    </cfRule>
  </conditionalFormatting>
  <conditionalFormatting sqref="EN29:EN34">
    <cfRule type="expression" dxfId="117" priority="107">
      <formula>EN29</formula>
    </cfRule>
  </conditionalFormatting>
  <conditionalFormatting sqref="EM7">
    <cfRule type="expression" dxfId="116" priority="106">
      <formula>EM7</formula>
    </cfRule>
  </conditionalFormatting>
  <conditionalFormatting sqref="EM9">
    <cfRule type="expression" dxfId="115" priority="105">
      <formula>EM9</formula>
    </cfRule>
  </conditionalFormatting>
  <conditionalFormatting sqref="EM17">
    <cfRule type="expression" dxfId="114" priority="104">
      <formula>EM17</formula>
    </cfRule>
  </conditionalFormatting>
  <conditionalFormatting sqref="EM19">
    <cfRule type="expression" dxfId="113" priority="103">
      <formula>EM19</formula>
    </cfRule>
  </conditionalFormatting>
  <conditionalFormatting sqref="EM35">
    <cfRule type="expression" dxfId="112" priority="102">
      <formula>EM35</formula>
    </cfRule>
  </conditionalFormatting>
  <conditionalFormatting sqref="EO35">
    <cfRule type="expression" dxfId="111" priority="101">
      <formula>EO35</formula>
    </cfRule>
  </conditionalFormatting>
  <conditionalFormatting sqref="EO19">
    <cfRule type="expression" dxfId="110" priority="100">
      <formula>EO19</formula>
    </cfRule>
  </conditionalFormatting>
  <conditionalFormatting sqref="EO17">
    <cfRule type="expression" dxfId="109" priority="99">
      <formula>EO17</formula>
    </cfRule>
  </conditionalFormatting>
  <conditionalFormatting sqref="EO9">
    <cfRule type="expression" dxfId="108" priority="98">
      <formula>EO9</formula>
    </cfRule>
  </conditionalFormatting>
  <conditionalFormatting sqref="EO7">
    <cfRule type="expression" dxfId="107" priority="97">
      <formula>EO7</formula>
    </cfRule>
  </conditionalFormatting>
  <conditionalFormatting sqref="EP4">
    <cfRule type="expression" dxfId="106" priority="91">
      <formula>EP4</formula>
    </cfRule>
  </conditionalFormatting>
  <conditionalFormatting sqref="ER4">
    <cfRule type="expression" dxfId="105" priority="90">
      <formula>ER4</formula>
    </cfRule>
  </conditionalFormatting>
  <conditionalFormatting sqref="ET4">
    <cfRule type="expression" dxfId="104" priority="89">
      <formula>ET4</formula>
    </cfRule>
  </conditionalFormatting>
  <conditionalFormatting sqref="EP27:EP28">
    <cfRule type="expression" dxfId="103" priority="83">
      <formula>EP27</formula>
    </cfRule>
  </conditionalFormatting>
  <conditionalFormatting sqref="EP7 EP17 EP19">
    <cfRule type="expression" dxfId="102" priority="88">
      <formula>EP7</formula>
    </cfRule>
  </conditionalFormatting>
  <conditionalFormatting sqref="EP20:EP26">
    <cfRule type="expression" dxfId="101" priority="84">
      <formula>EP20</formula>
    </cfRule>
  </conditionalFormatting>
  <conditionalFormatting sqref="EP6">
    <cfRule type="expression" dxfId="100" priority="86">
      <formula>EP6</formula>
    </cfRule>
  </conditionalFormatting>
  <conditionalFormatting sqref="EP18">
    <cfRule type="expression" dxfId="99" priority="85">
      <formula>EP18</formula>
    </cfRule>
  </conditionalFormatting>
  <conditionalFormatting sqref="EP5">
    <cfRule type="expression" dxfId="98" priority="87">
      <formula>EP5</formula>
    </cfRule>
  </conditionalFormatting>
  <conditionalFormatting sqref="EP9">
    <cfRule type="expression" dxfId="97" priority="82">
      <formula>EP9</formula>
    </cfRule>
  </conditionalFormatting>
  <conditionalFormatting sqref="EP10:EP16">
    <cfRule type="expression" dxfId="96" priority="81">
      <formula>EP10</formula>
    </cfRule>
  </conditionalFormatting>
  <conditionalFormatting sqref="EP8">
    <cfRule type="expression" dxfId="95" priority="80">
      <formula>EP8</formula>
    </cfRule>
  </conditionalFormatting>
  <conditionalFormatting sqref="EP35">
    <cfRule type="expression" dxfId="94" priority="79">
      <formula>EP35</formula>
    </cfRule>
  </conditionalFormatting>
  <conditionalFormatting sqref="EP36:EP41">
    <cfRule type="expression" dxfId="93" priority="78">
      <formula>EP36</formula>
    </cfRule>
  </conditionalFormatting>
  <conditionalFormatting sqref="EP29:EP34">
    <cfRule type="expression" dxfId="92" priority="77">
      <formula>EP29</formula>
    </cfRule>
  </conditionalFormatting>
  <conditionalFormatting sqref="ER27:ER28">
    <cfRule type="expression" dxfId="91" priority="71">
      <formula>ER27</formula>
    </cfRule>
  </conditionalFormatting>
  <conditionalFormatting sqref="ER7 ER17 ER19">
    <cfRule type="expression" dxfId="90" priority="76">
      <formula>ER7</formula>
    </cfRule>
  </conditionalFormatting>
  <conditionalFormatting sqref="ER20:ER26">
    <cfRule type="expression" dxfId="89" priority="72">
      <formula>ER20</formula>
    </cfRule>
  </conditionalFormatting>
  <conditionalFormatting sqref="ER6">
    <cfRule type="expression" dxfId="88" priority="74">
      <formula>ER6</formula>
    </cfRule>
  </conditionalFormatting>
  <conditionalFormatting sqref="ER18">
    <cfRule type="expression" dxfId="87" priority="73">
      <formula>ER18</formula>
    </cfRule>
  </conditionalFormatting>
  <conditionalFormatting sqref="ER5">
    <cfRule type="expression" dxfId="86" priority="75">
      <formula>ER5</formula>
    </cfRule>
  </conditionalFormatting>
  <conditionalFormatting sqref="ER9:EU9">
    <cfRule type="expression" dxfId="85" priority="70">
      <formula>ER9</formula>
    </cfRule>
  </conditionalFormatting>
  <conditionalFormatting sqref="ER10:ER16">
    <cfRule type="expression" dxfId="84" priority="69">
      <formula>ER10</formula>
    </cfRule>
  </conditionalFormatting>
  <conditionalFormatting sqref="ER8">
    <cfRule type="expression" dxfId="83" priority="68">
      <formula>ER8</formula>
    </cfRule>
  </conditionalFormatting>
  <conditionalFormatting sqref="ER35">
    <cfRule type="expression" dxfId="82" priority="67">
      <formula>ER35</formula>
    </cfRule>
  </conditionalFormatting>
  <conditionalFormatting sqref="ER36:ER41">
    <cfRule type="expression" dxfId="81" priority="66">
      <formula>ER36</formula>
    </cfRule>
  </conditionalFormatting>
  <conditionalFormatting sqref="ER29:ER34">
    <cfRule type="expression" dxfId="80" priority="65">
      <formula>ER29</formula>
    </cfRule>
  </conditionalFormatting>
  <conditionalFormatting sqref="ET27:ET28">
    <cfRule type="expression" dxfId="79" priority="59">
      <formula>ET27</formula>
    </cfRule>
  </conditionalFormatting>
  <conditionalFormatting sqref="ET7 ET17 ET19">
    <cfRule type="expression" dxfId="78" priority="64">
      <formula>ET7</formula>
    </cfRule>
  </conditionalFormatting>
  <conditionalFormatting sqref="ET20:ET26">
    <cfRule type="expression" dxfId="77" priority="60">
      <formula>ET20</formula>
    </cfRule>
  </conditionalFormatting>
  <conditionalFormatting sqref="ET6">
    <cfRule type="expression" dxfId="76" priority="62">
      <formula>ET6</formula>
    </cfRule>
  </conditionalFormatting>
  <conditionalFormatting sqref="ET18">
    <cfRule type="expression" dxfId="75" priority="61">
      <formula>ET18</formula>
    </cfRule>
  </conditionalFormatting>
  <conditionalFormatting sqref="ET5">
    <cfRule type="expression" dxfId="74" priority="63">
      <formula>ET5</formula>
    </cfRule>
  </conditionalFormatting>
  <conditionalFormatting sqref="ET10:ET16">
    <cfRule type="expression" dxfId="73" priority="57">
      <formula>ET10</formula>
    </cfRule>
  </conditionalFormatting>
  <conditionalFormatting sqref="ET8">
    <cfRule type="expression" dxfId="72" priority="56">
      <formula>ET8</formula>
    </cfRule>
  </conditionalFormatting>
  <conditionalFormatting sqref="ET35">
    <cfRule type="expression" dxfId="71" priority="55">
      <formula>ET35</formula>
    </cfRule>
  </conditionalFormatting>
  <conditionalFormatting sqref="ET36:ET41">
    <cfRule type="expression" dxfId="70" priority="54">
      <formula>ET36</formula>
    </cfRule>
  </conditionalFormatting>
  <conditionalFormatting sqref="ET29:ET34">
    <cfRule type="expression" dxfId="69" priority="53">
      <formula>ET29</formula>
    </cfRule>
  </conditionalFormatting>
  <conditionalFormatting sqref="EQ35">
    <cfRule type="expression" dxfId="68" priority="52">
      <formula>EQ35</formula>
    </cfRule>
  </conditionalFormatting>
  <conditionalFormatting sqref="EQ19">
    <cfRule type="expression" dxfId="67" priority="51">
      <formula>EQ19</formula>
    </cfRule>
  </conditionalFormatting>
  <conditionalFormatting sqref="EQ17">
    <cfRule type="expression" dxfId="66" priority="50">
      <formula>EQ17</formula>
    </cfRule>
  </conditionalFormatting>
  <conditionalFormatting sqref="EQ9">
    <cfRule type="expression" dxfId="65" priority="49">
      <formula>EQ9</formula>
    </cfRule>
  </conditionalFormatting>
  <conditionalFormatting sqref="EQ7">
    <cfRule type="expression" dxfId="64" priority="48">
      <formula>EQ7</formula>
    </cfRule>
  </conditionalFormatting>
  <conditionalFormatting sqref="ES7">
    <cfRule type="expression" dxfId="63" priority="47">
      <formula>ES7</formula>
    </cfRule>
  </conditionalFormatting>
  <conditionalFormatting sqref="EU7">
    <cfRule type="expression" dxfId="62" priority="46">
      <formula>EU7</formula>
    </cfRule>
  </conditionalFormatting>
  <conditionalFormatting sqref="ES17">
    <cfRule type="expression" dxfId="61" priority="45">
      <formula>ES17</formula>
    </cfRule>
  </conditionalFormatting>
  <conditionalFormatting sqref="EU17">
    <cfRule type="expression" dxfId="60" priority="44">
      <formula>EU17</formula>
    </cfRule>
  </conditionalFormatting>
  <conditionalFormatting sqref="ES19">
    <cfRule type="expression" dxfId="59" priority="43">
      <formula>ES19</formula>
    </cfRule>
  </conditionalFormatting>
  <conditionalFormatting sqref="EU19">
    <cfRule type="expression" dxfId="58" priority="42">
      <formula>EU19</formula>
    </cfRule>
  </conditionalFormatting>
  <conditionalFormatting sqref="ES35">
    <cfRule type="expression" dxfId="57" priority="41">
      <formula>ES35</formula>
    </cfRule>
  </conditionalFormatting>
  <conditionalFormatting sqref="EU35">
    <cfRule type="expression" dxfId="56" priority="40">
      <formula>EU35</formula>
    </cfRule>
  </conditionalFormatting>
  <conditionalFormatting sqref="CB2">
    <cfRule type="expression" dxfId="55" priority="39">
      <formula>CB2</formula>
    </cfRule>
  </conditionalFormatting>
  <conditionalFormatting sqref="CE2">
    <cfRule type="expression" dxfId="54" priority="38">
      <formula>CE2</formula>
    </cfRule>
  </conditionalFormatting>
  <conditionalFormatting sqref="CH2 CK2">
    <cfRule type="expression" dxfId="53" priority="37">
      <formula>CH2</formula>
    </cfRule>
  </conditionalFormatting>
  <conditionalFormatting sqref="CB7:CD7 CB9:CD9 CB17:CD17 CB19:CD19 CB35:CD35">
    <cfRule type="expression" dxfId="52" priority="36">
      <formula>CB7</formula>
    </cfRule>
  </conditionalFormatting>
  <conditionalFormatting sqref="CE7:CG7 CE9:CG9 CE17:CG17 CE19:CG19 CE35:CG35">
    <cfRule type="expression" dxfId="51" priority="35">
      <formula>CE7</formula>
    </cfRule>
  </conditionalFormatting>
  <conditionalFormatting sqref="CH7:CJ7 CH9:CJ9 CH17:CJ17 CH19:CJ19 CH35:CJ35">
    <cfRule type="expression" dxfId="50" priority="34">
      <formula>CH7</formula>
    </cfRule>
  </conditionalFormatting>
  <conditionalFormatting sqref="CQ7">
    <cfRule type="expression" dxfId="49" priority="33">
      <formula>CQ7</formula>
    </cfRule>
  </conditionalFormatting>
  <conditionalFormatting sqref="CQ17">
    <cfRule type="expression" dxfId="48" priority="32">
      <formula>CQ17</formula>
    </cfRule>
  </conditionalFormatting>
  <conditionalFormatting sqref="CQ19">
    <cfRule type="expression" dxfId="47" priority="31">
      <formula>CQ19</formula>
    </cfRule>
  </conditionalFormatting>
  <conditionalFormatting sqref="CQ35">
    <cfRule type="expression" dxfId="46" priority="30">
      <formula>CQ35</formula>
    </cfRule>
  </conditionalFormatting>
  <conditionalFormatting sqref="CS9">
    <cfRule type="expression" dxfId="45" priority="29">
      <formula>CS9</formula>
    </cfRule>
  </conditionalFormatting>
  <conditionalFormatting sqref="CS7">
    <cfRule type="expression" dxfId="44" priority="28">
      <formula>CS7</formula>
    </cfRule>
  </conditionalFormatting>
  <conditionalFormatting sqref="CS17">
    <cfRule type="expression" dxfId="43" priority="27">
      <formula>CS17</formula>
    </cfRule>
  </conditionalFormatting>
  <conditionalFormatting sqref="CS19">
    <cfRule type="expression" dxfId="42" priority="26">
      <formula>CS19</formula>
    </cfRule>
  </conditionalFormatting>
  <conditionalFormatting sqref="CS35">
    <cfRule type="expression" dxfId="41" priority="25">
      <formula>CS35</formula>
    </cfRule>
  </conditionalFormatting>
  <conditionalFormatting sqref="CK42:CM43">
    <cfRule type="expression" dxfId="40" priority="24">
      <formula>CK42</formula>
    </cfRule>
  </conditionalFormatting>
  <conditionalFormatting sqref="CK53:CM54">
    <cfRule type="expression" dxfId="39" priority="23">
      <formula>CK53</formula>
    </cfRule>
  </conditionalFormatting>
  <conditionalFormatting sqref="CK45:CM52">
    <cfRule type="expression" dxfId="38" priority="22">
      <formula>CK45</formula>
    </cfRule>
  </conditionalFormatting>
  <conditionalFormatting sqref="CK4:CM4">
    <cfRule type="expression" dxfId="37" priority="21">
      <formula>CK4</formula>
    </cfRule>
  </conditionalFormatting>
  <conditionalFormatting sqref="CK7:CM7 CK9:CM9 CK17:CM17 CK19:CM19 CK35:CM35">
    <cfRule type="expression" dxfId="36" priority="19">
      <formula>CK7</formula>
    </cfRule>
  </conditionalFormatting>
  <conditionalFormatting sqref="DF3:DF4 DF45:DG54 DF2:DG2 DF42:DG43">
    <cfRule type="expression" dxfId="35" priority="18">
      <formula>DF2</formula>
    </cfRule>
  </conditionalFormatting>
  <conditionalFormatting sqref="DG3">
    <cfRule type="expression" dxfId="34" priority="17">
      <formula>DG3</formula>
    </cfRule>
  </conditionalFormatting>
  <conditionalFormatting sqref="DF18">
    <cfRule type="expression" dxfId="33" priority="13">
      <formula>DF18</formula>
    </cfRule>
  </conditionalFormatting>
  <conditionalFormatting sqref="DF5">
    <cfRule type="expression" dxfId="32" priority="10">
      <formula>DF5</formula>
    </cfRule>
  </conditionalFormatting>
  <conditionalFormatting sqref="DF8">
    <cfRule type="expression" dxfId="31" priority="11">
      <formula>DF8</formula>
    </cfRule>
  </conditionalFormatting>
  <conditionalFormatting sqref="DF7">
    <cfRule type="expression" dxfId="30" priority="15">
      <formula>DF7</formula>
    </cfRule>
  </conditionalFormatting>
  <conditionalFormatting sqref="DF20:DF28">
    <cfRule type="expression" dxfId="29" priority="14">
      <formula>DF20</formula>
    </cfRule>
  </conditionalFormatting>
  <conditionalFormatting sqref="DF10:DF16">
    <cfRule type="expression" dxfId="28" priority="12">
      <formula>DF10</formula>
    </cfRule>
  </conditionalFormatting>
  <conditionalFormatting sqref="DF17 DF9 DF19">
    <cfRule type="expression" dxfId="27" priority="16">
      <formula>DF9</formula>
    </cfRule>
  </conditionalFormatting>
  <conditionalFormatting sqref="DF6">
    <cfRule type="expression" dxfId="26" priority="9">
      <formula>DF6</formula>
    </cfRule>
  </conditionalFormatting>
  <conditionalFormatting sqref="DF35">
    <cfRule type="expression" dxfId="25" priority="8">
      <formula>DF35</formula>
    </cfRule>
  </conditionalFormatting>
  <conditionalFormatting sqref="DF36:DF41">
    <cfRule type="expression" dxfId="24" priority="7">
      <formula>DF36</formula>
    </cfRule>
  </conditionalFormatting>
  <conditionalFormatting sqref="DF29:DF34">
    <cfRule type="expression" dxfId="23" priority="6">
      <formula>DF29</formula>
    </cfRule>
  </conditionalFormatting>
  <conditionalFormatting sqref="DG7">
    <cfRule type="expression" dxfId="22" priority="5">
      <formula>DG7</formula>
    </cfRule>
  </conditionalFormatting>
  <conditionalFormatting sqref="DG9">
    <cfRule type="expression" dxfId="21" priority="4">
      <formula>DG9</formula>
    </cfRule>
  </conditionalFormatting>
  <conditionalFormatting sqref="DG17">
    <cfRule type="expression" dxfId="20" priority="3">
      <formula>DG17</formula>
    </cfRule>
  </conditionalFormatting>
  <conditionalFormatting sqref="DG19">
    <cfRule type="expression" dxfId="19" priority="2">
      <formula>DG19</formula>
    </cfRule>
  </conditionalFormatting>
  <conditionalFormatting sqref="DG35">
    <cfRule type="expression" dxfId="18"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0: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95" t="s">
        <v>457</v>
      </c>
      <c r="B2" s="891" t="s">
        <v>44</v>
      </c>
      <c r="C2" s="892" t="s">
        <v>44</v>
      </c>
      <c r="D2" s="304" t="s">
        <v>44</v>
      </c>
      <c r="E2" s="305" t="s">
        <v>44</v>
      </c>
    </row>
    <row r="3" spans="1:5" x14ac:dyDescent="0.25">
      <c r="A3" s="1896"/>
      <c r="B3" s="891" t="s">
        <v>605</v>
      </c>
      <c r="C3" s="892" t="s">
        <v>605</v>
      </c>
      <c r="D3" s="304" t="s">
        <v>605</v>
      </c>
      <c r="E3" s="305" t="s">
        <v>605</v>
      </c>
    </row>
    <row r="4" spans="1:5" x14ac:dyDescent="0.25">
      <c r="A4" s="1896"/>
      <c r="B4" s="814"/>
      <c r="C4" s="892" t="s">
        <v>47</v>
      </c>
      <c r="D4" s="304" t="s">
        <v>403</v>
      </c>
      <c r="E4" s="305" t="s">
        <v>403</v>
      </c>
    </row>
    <row r="5" spans="1:5" x14ac:dyDescent="0.25">
      <c r="A5" s="1896"/>
      <c r="B5" s="814"/>
      <c r="C5" s="892" t="s">
        <v>45</v>
      </c>
      <c r="D5" s="304" t="s">
        <v>45</v>
      </c>
      <c r="E5" s="305" t="s">
        <v>45</v>
      </c>
    </row>
    <row r="6" spans="1:5" x14ac:dyDescent="0.25">
      <c r="A6" s="1896"/>
      <c r="B6" s="814"/>
      <c r="C6" s="129"/>
      <c r="D6" s="874" t="s">
        <v>458</v>
      </c>
      <c r="E6" s="875" t="s">
        <v>458</v>
      </c>
    </row>
    <row r="7" spans="1:5" x14ac:dyDescent="0.25">
      <c r="A7" s="1896"/>
      <c r="B7" s="814"/>
      <c r="C7" s="129"/>
      <c r="D7" s="814"/>
      <c r="E7" s="305" t="s">
        <v>404</v>
      </c>
    </row>
    <row r="8" spans="1:5" x14ac:dyDescent="0.25">
      <c r="A8" s="1897"/>
      <c r="B8" s="814"/>
      <c r="C8" s="129"/>
      <c r="D8" s="814"/>
      <c r="E8" s="875" t="s">
        <v>459</v>
      </c>
    </row>
    <row r="9" spans="1:5" x14ac:dyDescent="0.25">
      <c r="A9" s="1893"/>
      <c r="B9" s="1893"/>
      <c r="C9" s="1893"/>
      <c r="D9" s="1893"/>
      <c r="E9" s="1893"/>
    </row>
    <row r="10" spans="1:5" x14ac:dyDescent="0.25">
      <c r="A10" s="1895" t="s">
        <v>460</v>
      </c>
      <c r="B10" s="891" t="s">
        <v>42</v>
      </c>
      <c r="C10" s="892" t="s">
        <v>42</v>
      </c>
      <c r="D10" s="304" t="s">
        <v>42</v>
      </c>
      <c r="E10" s="305" t="s">
        <v>42</v>
      </c>
    </row>
    <row r="11" spans="1:5" x14ac:dyDescent="0.25">
      <c r="A11" s="1896"/>
      <c r="B11" s="814"/>
      <c r="C11" s="892" t="s">
        <v>46</v>
      </c>
      <c r="D11" s="304" t="s">
        <v>640</v>
      </c>
      <c r="E11" s="305" t="s">
        <v>640</v>
      </c>
    </row>
    <row r="12" spans="1:5" x14ac:dyDescent="0.25">
      <c r="A12" s="1896"/>
      <c r="B12" s="814"/>
      <c r="C12" s="892" t="s">
        <v>98</v>
      </c>
      <c r="D12" s="304" t="s">
        <v>98</v>
      </c>
      <c r="E12" s="305" t="s">
        <v>98</v>
      </c>
    </row>
    <row r="13" spans="1:5" x14ac:dyDescent="0.25">
      <c r="A13" s="1896"/>
      <c r="B13" s="814"/>
      <c r="C13" s="129"/>
      <c r="D13" s="304" t="s">
        <v>408</v>
      </c>
      <c r="E13" s="305" t="s">
        <v>408</v>
      </c>
    </row>
    <row r="14" spans="1:5" x14ac:dyDescent="0.25">
      <c r="A14" s="1896"/>
      <c r="B14" s="814"/>
      <c r="C14" s="129"/>
      <c r="D14" s="304" t="s">
        <v>407</v>
      </c>
      <c r="E14" s="305" t="s">
        <v>407</v>
      </c>
    </row>
    <row r="15" spans="1:5" x14ac:dyDescent="0.25">
      <c r="A15" s="1896"/>
      <c r="B15" s="814"/>
      <c r="C15" s="129"/>
      <c r="D15" s="814"/>
      <c r="E15" s="305" t="s">
        <v>405</v>
      </c>
    </row>
    <row r="16" spans="1:5" x14ac:dyDescent="0.25">
      <c r="A16" s="1897"/>
      <c r="B16" s="814"/>
      <c r="C16" s="129"/>
      <c r="D16" s="814"/>
      <c r="E16" s="876" t="s">
        <v>461</v>
      </c>
    </row>
    <row r="17" spans="1:5" x14ac:dyDescent="0.25">
      <c r="A17" s="1893"/>
      <c r="B17" s="1893"/>
      <c r="C17" s="1893"/>
      <c r="D17" s="1893"/>
      <c r="E17" s="1893"/>
    </row>
    <row r="18" spans="1:5" x14ac:dyDescent="0.25">
      <c r="A18" s="1895" t="s">
        <v>462</v>
      </c>
      <c r="B18" s="877" t="s">
        <v>463</v>
      </c>
      <c r="C18" s="878" t="s">
        <v>463</v>
      </c>
      <c r="D18" s="874" t="s">
        <v>463</v>
      </c>
      <c r="E18" s="875" t="s">
        <v>463</v>
      </c>
    </row>
    <row r="19" spans="1:5" x14ac:dyDescent="0.25">
      <c r="A19" s="1896"/>
      <c r="B19" s="891" t="s">
        <v>604</v>
      </c>
      <c r="C19" s="892" t="s">
        <v>604</v>
      </c>
      <c r="D19" s="304" t="s">
        <v>604</v>
      </c>
      <c r="E19" s="305" t="s">
        <v>604</v>
      </c>
    </row>
    <row r="20" spans="1:5" x14ac:dyDescent="0.25">
      <c r="A20" s="1896"/>
      <c r="B20" s="814"/>
      <c r="C20" s="892" t="s">
        <v>641</v>
      </c>
      <c r="D20" s="304" t="s">
        <v>641</v>
      </c>
      <c r="E20" s="305" t="s">
        <v>641</v>
      </c>
    </row>
    <row r="21" spans="1:5" x14ac:dyDescent="0.25">
      <c r="A21" s="1896"/>
      <c r="B21" s="814"/>
      <c r="C21" s="814"/>
      <c r="D21" s="874" t="s">
        <v>464</v>
      </c>
      <c r="E21" s="875" t="s">
        <v>464</v>
      </c>
    </row>
    <row r="22" spans="1:5" x14ac:dyDescent="0.25">
      <c r="A22" s="1896"/>
      <c r="B22" s="814"/>
      <c r="C22" s="814"/>
      <c r="D22" s="304" t="s">
        <v>535</v>
      </c>
      <c r="E22" s="305" t="s">
        <v>535</v>
      </c>
    </row>
    <row r="23" spans="1:5" x14ac:dyDescent="0.25">
      <c r="A23" s="1897"/>
      <c r="B23" s="814"/>
      <c r="C23" s="814"/>
      <c r="D23" s="814"/>
      <c r="E23" s="305" t="s">
        <v>406</v>
      </c>
    </row>
    <row r="24" spans="1:5" x14ac:dyDescent="0.25">
      <c r="A24" s="1893"/>
      <c r="B24" s="1893"/>
      <c r="C24" s="1893"/>
      <c r="D24" s="1893"/>
      <c r="E24" s="1893"/>
    </row>
    <row r="25" spans="1:5" x14ac:dyDescent="0.25">
      <c r="A25" s="1894" t="s">
        <v>465</v>
      </c>
      <c r="B25" s="891" t="s">
        <v>99</v>
      </c>
      <c r="C25" s="892" t="s">
        <v>99</v>
      </c>
      <c r="D25" s="304" t="s">
        <v>99</v>
      </c>
      <c r="E25" s="305" t="s">
        <v>99</v>
      </c>
    </row>
    <row r="26" spans="1:5" x14ac:dyDescent="0.25">
      <c r="A26" s="1894"/>
      <c r="B26" s="814"/>
      <c r="C26" s="878" t="s">
        <v>466</v>
      </c>
      <c r="D26" s="874" t="s">
        <v>466</v>
      </c>
      <c r="E26" s="875" t="s">
        <v>466</v>
      </c>
    </row>
    <row r="27" spans="1:5" x14ac:dyDescent="0.25">
      <c r="A27" s="1894"/>
      <c r="B27" s="814"/>
      <c r="C27" s="814"/>
      <c r="D27" s="304" t="s">
        <v>642</v>
      </c>
      <c r="E27" s="305" t="s">
        <v>642</v>
      </c>
    </row>
    <row r="28" spans="1:5" x14ac:dyDescent="0.25">
      <c r="A28" s="1894"/>
      <c r="B28" s="814"/>
      <c r="C28" s="814"/>
      <c r="D28" s="814"/>
      <c r="E28" s="875" t="s">
        <v>680</v>
      </c>
    </row>
    <row r="29" spans="1:5" x14ac:dyDescent="0.25">
      <c r="A29" s="1894"/>
      <c r="B29" s="814"/>
      <c r="C29" s="814"/>
      <c r="D29" s="814"/>
      <c r="E29" s="875" t="s">
        <v>467</v>
      </c>
    </row>
    <row r="30" spans="1:5" x14ac:dyDescent="0.25">
      <c r="A30" s="1893"/>
      <c r="B30" s="1893"/>
      <c r="C30" s="1893"/>
      <c r="D30" s="1893"/>
      <c r="E30" s="1893"/>
    </row>
    <row r="31" spans="1:5" x14ac:dyDescent="0.25">
      <c r="A31" s="1894" t="s">
        <v>468</v>
      </c>
      <c r="B31" s="814"/>
      <c r="C31" s="892" t="s">
        <v>100</v>
      </c>
      <c r="D31" s="304" t="s">
        <v>100</v>
      </c>
      <c r="E31" s="305" t="s">
        <v>100</v>
      </c>
    </row>
    <row r="32" spans="1:5" x14ac:dyDescent="0.25">
      <c r="A32" s="1894"/>
      <c r="B32" s="814"/>
      <c r="C32" s="129"/>
      <c r="D32" s="874" t="s">
        <v>469</v>
      </c>
      <c r="E32" s="875" t="s">
        <v>469</v>
      </c>
    </row>
    <row r="33" spans="1:5" x14ac:dyDescent="0.25">
      <c r="A33" s="1894"/>
      <c r="B33" s="814"/>
      <c r="C33" s="129"/>
      <c r="D33" s="874" t="s">
        <v>470</v>
      </c>
      <c r="E33" s="875" t="s">
        <v>470</v>
      </c>
    </row>
    <row r="34" spans="1:5" x14ac:dyDescent="0.25">
      <c r="A34" s="1894"/>
      <c r="B34" s="814"/>
      <c r="C34" s="129"/>
      <c r="D34" s="129"/>
      <c r="E34" s="875" t="s">
        <v>471</v>
      </c>
    </row>
    <row r="35" spans="1:5" x14ac:dyDescent="0.25">
      <c r="A35" s="1894"/>
      <c r="B35" s="814"/>
      <c r="C35" s="129"/>
      <c r="D35" s="129"/>
      <c r="E35" s="875" t="s">
        <v>472</v>
      </c>
    </row>
    <row r="36" spans="1:5" x14ac:dyDescent="0.25">
      <c r="A36" s="1894"/>
      <c r="B36" s="814"/>
      <c r="C36" s="129"/>
      <c r="D36" s="129"/>
      <c r="E36" s="875" t="s">
        <v>473</v>
      </c>
    </row>
    <row r="37" spans="1:5" x14ac:dyDescent="0.25">
      <c r="A37" s="1893"/>
      <c r="B37" s="1893"/>
      <c r="C37" s="1893"/>
      <c r="D37" s="1893"/>
      <c r="E37" s="1893"/>
    </row>
    <row r="38" spans="1:5" x14ac:dyDescent="0.25">
      <c r="A38" s="1894" t="s">
        <v>474</v>
      </c>
      <c r="B38" s="891" t="s">
        <v>603</v>
      </c>
      <c r="C38" s="892" t="s">
        <v>603</v>
      </c>
      <c r="D38" s="304" t="s">
        <v>603</v>
      </c>
      <c r="E38" s="305" t="s">
        <v>603</v>
      </c>
    </row>
    <row r="39" spans="1:5" x14ac:dyDescent="0.25">
      <c r="A39" s="1894"/>
      <c r="B39" s="814"/>
      <c r="C39" s="892" t="s">
        <v>1571</v>
      </c>
      <c r="D39" s="304" t="s">
        <v>1571</v>
      </c>
      <c r="E39" s="305" t="s">
        <v>1571</v>
      </c>
    </row>
    <row r="40" spans="1:5" x14ac:dyDescent="0.25">
      <c r="A40" s="1894"/>
      <c r="B40" s="814"/>
      <c r="C40" s="129"/>
      <c r="D40" s="304" t="s">
        <v>110</v>
      </c>
      <c r="E40" s="305" t="s">
        <v>110</v>
      </c>
    </row>
    <row r="41" spans="1:5" x14ac:dyDescent="0.25">
      <c r="A41" s="890"/>
      <c r="B41" s="814"/>
      <c r="C41" s="129"/>
      <c r="D41" s="129"/>
      <c r="E41" s="875" t="s">
        <v>475</v>
      </c>
    </row>
    <row r="42" spans="1:5" x14ac:dyDescent="0.25">
      <c r="A42" s="1893"/>
      <c r="B42" s="1893"/>
      <c r="C42" s="1893"/>
      <c r="D42" s="1893"/>
      <c r="E42" s="1893"/>
    </row>
    <row r="43" spans="1:5" x14ac:dyDescent="0.25">
      <c r="A43" s="306" t="s">
        <v>476</v>
      </c>
      <c r="B43" s="814"/>
      <c r="C43" s="129"/>
      <c r="D43" s="874" t="s">
        <v>477</v>
      </c>
      <c r="E43" s="875" t="s">
        <v>478</v>
      </c>
    </row>
    <row r="44" spans="1:5" x14ac:dyDescent="0.25">
      <c r="A44" s="1893"/>
      <c r="B44" s="1893"/>
      <c r="C44" s="1893"/>
      <c r="D44" s="1893"/>
      <c r="E44" s="1893"/>
    </row>
    <row r="45" spans="1:5" x14ac:dyDescent="0.25">
      <c r="A45" s="1894" t="s">
        <v>479</v>
      </c>
      <c r="B45" s="814"/>
      <c r="C45" s="892" t="s">
        <v>43</v>
      </c>
      <c r="D45" s="304" t="s">
        <v>43</v>
      </c>
      <c r="E45" s="305" t="s">
        <v>43</v>
      </c>
    </row>
    <row r="46" spans="1:5" x14ac:dyDescent="0.25">
      <c r="A46" s="1894"/>
      <c r="B46" s="814"/>
      <c r="C46" s="129"/>
      <c r="D46" s="304" t="s">
        <v>394</v>
      </c>
      <c r="E46" s="305" t="s">
        <v>394</v>
      </c>
    </row>
    <row r="47" spans="1:5" x14ac:dyDescent="0.25">
      <c r="A47" s="1894"/>
      <c r="B47" s="814"/>
      <c r="C47" s="129"/>
      <c r="D47" s="129"/>
      <c r="E47" s="875" t="s">
        <v>480</v>
      </c>
    </row>
    <row r="48" spans="1:5" x14ac:dyDescent="0.25">
      <c r="A48" s="1894"/>
      <c r="B48" s="814"/>
      <c r="C48" s="129"/>
      <c r="D48" s="129"/>
      <c r="E48" s="875" t="s">
        <v>481</v>
      </c>
    </row>
    <row r="49" spans="1:5" x14ac:dyDescent="0.25">
      <c r="A49" s="1893"/>
      <c r="B49" s="1893"/>
      <c r="C49" s="1893"/>
      <c r="D49" s="1893"/>
      <c r="E49" s="1893"/>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98" t="s">
        <v>674</v>
      </c>
      <c r="B2" s="892" t="s">
        <v>604</v>
      </c>
      <c r="C2" s="304" t="s">
        <v>604</v>
      </c>
      <c r="D2" s="305" t="s">
        <v>604</v>
      </c>
    </row>
    <row r="3" spans="1:4" ht="15" customHeight="1" x14ac:dyDescent="0.25">
      <c r="A3" s="1899"/>
      <c r="B3" s="878" t="s">
        <v>463</v>
      </c>
      <c r="C3" s="874" t="s">
        <v>463</v>
      </c>
      <c r="D3" s="875" t="s">
        <v>463</v>
      </c>
    </row>
    <row r="4" spans="1:4" x14ac:dyDescent="0.25">
      <c r="A4" s="1898" t="s">
        <v>675</v>
      </c>
      <c r="B4" s="893" t="s">
        <v>605</v>
      </c>
      <c r="C4" s="894" t="s">
        <v>605</v>
      </c>
      <c r="D4" s="895" t="s">
        <v>605</v>
      </c>
    </row>
    <row r="5" spans="1:4" ht="15" customHeight="1" x14ac:dyDescent="0.25">
      <c r="A5" s="1899"/>
      <c r="B5" s="896"/>
      <c r="C5" s="894" t="s">
        <v>646</v>
      </c>
      <c r="D5" s="305" t="s">
        <v>646</v>
      </c>
    </row>
    <row r="6" spans="1:4" ht="15" customHeight="1" x14ac:dyDescent="0.25">
      <c r="A6" s="1899"/>
      <c r="B6" s="897"/>
      <c r="C6" s="894" t="s">
        <v>406</v>
      </c>
      <c r="D6" s="895" t="s">
        <v>406</v>
      </c>
    </row>
    <row r="7" spans="1:4" x14ac:dyDescent="0.25">
      <c r="A7" s="1900"/>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98" t="s">
        <v>679</v>
      </c>
      <c r="B14" s="896"/>
      <c r="C14" s="304" t="s">
        <v>647</v>
      </c>
      <c r="D14" s="305" t="s">
        <v>647</v>
      </c>
    </row>
    <row r="15" spans="1:4" x14ac:dyDescent="0.25">
      <c r="A15" s="1900"/>
      <c r="B15" s="899"/>
      <c r="C15" s="899"/>
      <c r="D15" s="875" t="s">
        <v>680</v>
      </c>
    </row>
    <row r="16" spans="1:4" x14ac:dyDescent="0.25">
      <c r="A16" s="129" t="s">
        <v>681</v>
      </c>
      <c r="B16" s="892" t="s">
        <v>99</v>
      </c>
      <c r="C16" s="304" t="s">
        <v>99</v>
      </c>
      <c r="D16" s="305" t="s">
        <v>99</v>
      </c>
    </row>
    <row r="17" spans="1:4" x14ac:dyDescent="0.25">
      <c r="A17" s="1895" t="s">
        <v>682</v>
      </c>
      <c r="B17" s="892" t="s">
        <v>603</v>
      </c>
      <c r="C17" s="304" t="s">
        <v>603</v>
      </c>
      <c r="D17" s="305" t="s">
        <v>603</v>
      </c>
    </row>
    <row r="18" spans="1:4" x14ac:dyDescent="0.25">
      <c r="A18" s="1897"/>
      <c r="B18" s="892" t="s">
        <v>110</v>
      </c>
      <c r="C18" s="304" t="s">
        <v>110</v>
      </c>
      <c r="D18" s="305" t="s">
        <v>110</v>
      </c>
    </row>
    <row r="19" spans="1:4" x14ac:dyDescent="0.25">
      <c r="A19" s="129" t="s">
        <v>683</v>
      </c>
      <c r="B19" s="889"/>
      <c r="C19" s="889"/>
      <c r="D19" s="889"/>
    </row>
    <row r="20" spans="1:4" x14ac:dyDescent="0.25">
      <c r="A20" s="1898" t="s">
        <v>684</v>
      </c>
      <c r="B20" s="892" t="s">
        <v>44</v>
      </c>
      <c r="C20" s="304" t="s">
        <v>44</v>
      </c>
      <c r="D20" s="305" t="s">
        <v>44</v>
      </c>
    </row>
    <row r="21" spans="1:4" x14ac:dyDescent="0.25">
      <c r="A21" s="1899"/>
      <c r="B21" s="892" t="s">
        <v>45</v>
      </c>
      <c r="C21" s="304" t="s">
        <v>45</v>
      </c>
      <c r="D21" s="305" t="s">
        <v>45</v>
      </c>
    </row>
    <row r="22" spans="1:4" x14ac:dyDescent="0.25">
      <c r="A22" s="1900"/>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98" t="s">
        <v>674</v>
      </c>
      <c r="B2" s="891" t="s">
        <v>604</v>
      </c>
      <c r="C2" s="892" t="s">
        <v>604</v>
      </c>
      <c r="D2" s="304" t="s">
        <v>604</v>
      </c>
      <c r="E2" s="305" t="s">
        <v>604</v>
      </c>
    </row>
    <row r="3" spans="1:5" ht="30" customHeight="1" x14ac:dyDescent="0.25">
      <c r="A3" s="1899"/>
      <c r="B3" s="877" t="s">
        <v>463</v>
      </c>
      <c r="C3" s="878" t="s">
        <v>463</v>
      </c>
      <c r="D3" s="874" t="s">
        <v>463</v>
      </c>
      <c r="E3" s="875" t="s">
        <v>463</v>
      </c>
    </row>
    <row r="4" spans="1:5" ht="15" customHeight="1" x14ac:dyDescent="0.25">
      <c r="A4" s="1898" t="s">
        <v>675</v>
      </c>
      <c r="B4" s="900" t="s">
        <v>605</v>
      </c>
      <c r="C4" s="901" t="s">
        <v>605</v>
      </c>
      <c r="D4" s="894" t="s">
        <v>605</v>
      </c>
      <c r="E4" s="902" t="s">
        <v>605</v>
      </c>
    </row>
    <row r="5" spans="1:5" x14ac:dyDescent="0.25">
      <c r="A5" s="1899"/>
      <c r="B5" s="889"/>
      <c r="C5" s="889"/>
      <c r="D5" s="894" t="s">
        <v>646</v>
      </c>
      <c r="E5" s="305" t="s">
        <v>646</v>
      </c>
    </row>
    <row r="6" spans="1:5" x14ac:dyDescent="0.25">
      <c r="A6" s="1900"/>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98" t="s">
        <v>689</v>
      </c>
      <c r="B13" s="889"/>
      <c r="C13" s="889"/>
      <c r="D13" s="304" t="s">
        <v>647</v>
      </c>
      <c r="E13" s="305" t="s">
        <v>647</v>
      </c>
    </row>
    <row r="14" spans="1:5" ht="30" customHeight="1" x14ac:dyDescent="0.25">
      <c r="A14" s="1900"/>
      <c r="B14" s="63"/>
      <c r="C14" s="63"/>
      <c r="D14" s="874" t="s">
        <v>680</v>
      </c>
      <c r="E14" s="875" t="s">
        <v>680</v>
      </c>
    </row>
    <row r="15" spans="1:5" ht="30" x14ac:dyDescent="0.25">
      <c r="A15" s="905" t="s">
        <v>690</v>
      </c>
      <c r="B15" s="63"/>
      <c r="C15" s="63"/>
      <c r="D15" s="304" t="s">
        <v>99</v>
      </c>
      <c r="E15" s="305" t="s">
        <v>99</v>
      </c>
    </row>
    <row r="16" spans="1:5" x14ac:dyDescent="0.25">
      <c r="A16" s="1898" t="s">
        <v>682</v>
      </c>
      <c r="B16" s="63"/>
      <c r="C16" s="63"/>
      <c r="D16" s="304" t="s">
        <v>603</v>
      </c>
      <c r="E16" s="305" t="s">
        <v>603</v>
      </c>
    </row>
    <row r="17" spans="1:5" x14ac:dyDescent="0.25">
      <c r="A17" s="1900"/>
      <c r="B17" s="891" t="s">
        <v>110</v>
      </c>
      <c r="C17" s="892" t="s">
        <v>110</v>
      </c>
      <c r="D17" s="304" t="s">
        <v>110</v>
      </c>
      <c r="E17" s="305" t="s">
        <v>110</v>
      </c>
    </row>
    <row r="18" spans="1:5" x14ac:dyDescent="0.25">
      <c r="A18" s="905" t="s">
        <v>683</v>
      </c>
      <c r="B18" s="889"/>
      <c r="C18" s="889"/>
      <c r="D18" s="889"/>
      <c r="E18" s="903"/>
    </row>
    <row r="19" spans="1:5" ht="30" customHeight="1" x14ac:dyDescent="0.25">
      <c r="A19" s="1898" t="s">
        <v>691</v>
      </c>
      <c r="B19" s="891" t="s">
        <v>44</v>
      </c>
      <c r="C19" s="906" t="s">
        <v>44</v>
      </c>
      <c r="D19" s="907" t="s">
        <v>44</v>
      </c>
      <c r="E19" s="305" t="s">
        <v>44</v>
      </c>
    </row>
    <row r="20" spans="1:5" x14ac:dyDescent="0.25">
      <c r="A20" s="1900"/>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95" t="s">
        <v>655</v>
      </c>
      <c r="B2" s="892" t="s">
        <v>604</v>
      </c>
      <c r="C2" s="304" t="s">
        <v>604</v>
      </c>
      <c r="D2" s="305" t="s">
        <v>604</v>
      </c>
    </row>
    <row r="3" spans="1:5" x14ac:dyDescent="0.25">
      <c r="A3" s="1896"/>
      <c r="B3" s="908" t="s">
        <v>463</v>
      </c>
      <c r="C3" s="909" t="s">
        <v>463</v>
      </c>
      <c r="D3" s="910" t="s">
        <v>463</v>
      </c>
    </row>
    <row r="4" spans="1:5" x14ac:dyDescent="0.25">
      <c r="A4" s="1895" t="s">
        <v>656</v>
      </c>
      <c r="B4" s="892" t="s">
        <v>605</v>
      </c>
      <c r="C4" s="304" t="s">
        <v>605</v>
      </c>
      <c r="D4" s="305" t="s">
        <v>605</v>
      </c>
    </row>
    <row r="5" spans="1:5" x14ac:dyDescent="0.25">
      <c r="A5" s="1896"/>
      <c r="B5" s="889"/>
      <c r="C5" s="304" t="s">
        <v>646</v>
      </c>
      <c r="D5" s="305" t="s">
        <v>646</v>
      </c>
    </row>
    <row r="6" spans="1:5" x14ac:dyDescent="0.25">
      <c r="A6" s="1896"/>
      <c r="B6" s="889"/>
      <c r="C6" s="889"/>
      <c r="D6" s="305" t="s">
        <v>406</v>
      </c>
    </row>
    <row r="7" spans="1:5" x14ac:dyDescent="0.25">
      <c r="A7" s="1897"/>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95" t="s">
        <v>660</v>
      </c>
      <c r="B11" s="892" t="s">
        <v>42</v>
      </c>
      <c r="C11" s="304" t="s">
        <v>42</v>
      </c>
      <c r="D11" s="305" t="s">
        <v>42</v>
      </c>
    </row>
    <row r="12" spans="1:5" x14ac:dyDescent="0.25">
      <c r="A12" s="1897"/>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98" t="s">
        <v>665</v>
      </c>
      <c r="B17" s="892" t="s">
        <v>45</v>
      </c>
      <c r="C17" s="304" t="s">
        <v>45</v>
      </c>
      <c r="D17" s="305" t="s">
        <v>45</v>
      </c>
    </row>
    <row r="18" spans="1:4" x14ac:dyDescent="0.25">
      <c r="A18" s="1900"/>
      <c r="B18" s="892" t="s">
        <v>44</v>
      </c>
      <c r="C18" s="304" t="s">
        <v>44</v>
      </c>
      <c r="D18" s="305" t="s">
        <v>44</v>
      </c>
    </row>
    <row r="19" spans="1:4" x14ac:dyDescent="0.25">
      <c r="A19" s="1895" t="s">
        <v>666</v>
      </c>
      <c r="B19" s="889"/>
      <c r="C19" s="304" t="s">
        <v>43</v>
      </c>
      <c r="D19" s="305" t="s">
        <v>43</v>
      </c>
    </row>
    <row r="20" spans="1:4" x14ac:dyDescent="0.25">
      <c r="A20" s="1897"/>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901" t="s">
        <v>448</v>
      </c>
      <c r="B3" s="1902"/>
      <c r="C3" s="1902"/>
      <c r="D3" s="1902"/>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901" t="s">
        <v>1</v>
      </c>
      <c r="B6" s="1902"/>
      <c r="C6" s="1902"/>
      <c r="D6" s="1903"/>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901" t="s">
        <v>3</v>
      </c>
      <c r="B8" s="1902"/>
      <c r="C8" s="1902"/>
      <c r="D8" s="1903"/>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901" t="s">
        <v>105</v>
      </c>
      <c r="B16" s="1902"/>
      <c r="C16" s="1902"/>
      <c r="D16" s="1903"/>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901" t="s">
        <v>13</v>
      </c>
      <c r="B18" s="1902"/>
      <c r="C18" s="1902"/>
      <c r="D18" s="1903"/>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901" t="s">
        <v>22</v>
      </c>
      <c r="B34" s="1902"/>
      <c r="C34" s="1902"/>
      <c r="D34" s="1903"/>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17" priority="2">
      <formula>F2</formula>
    </cfRule>
  </conditionalFormatting>
  <conditionalFormatting sqref="F3">
    <cfRule type="expression" dxfId="16"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CQ73"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917" t="s">
        <v>42</v>
      </c>
      <c r="F1" s="1918"/>
      <c r="G1" s="1918"/>
      <c r="H1" s="1918"/>
      <c r="I1" s="1918"/>
      <c r="J1" s="1918"/>
      <c r="K1" s="1918"/>
      <c r="L1" s="1918"/>
      <c r="M1" s="1910" t="s">
        <v>43</v>
      </c>
      <c r="N1" s="1912"/>
      <c r="O1" s="1910" t="s">
        <v>44</v>
      </c>
      <c r="P1" s="1911"/>
      <c r="Q1" s="1911"/>
      <c r="R1" s="1912"/>
      <c r="S1" s="1910" t="s">
        <v>359</v>
      </c>
      <c r="T1" s="1911"/>
      <c r="U1" s="1912"/>
      <c r="V1" s="1910" t="s">
        <v>45</v>
      </c>
      <c r="W1" s="1911"/>
      <c r="X1" s="1911"/>
      <c r="Y1" s="1911"/>
      <c r="Z1" s="1912"/>
      <c r="AA1" s="1910" t="s">
        <v>46</v>
      </c>
      <c r="AB1" s="1911"/>
      <c r="AC1" s="1911"/>
      <c r="AD1" s="1911"/>
      <c r="AE1" s="1912"/>
      <c r="AF1" s="1910" t="s">
        <v>99</v>
      </c>
      <c r="AG1" s="1911"/>
      <c r="AH1" s="1910" t="s">
        <v>375</v>
      </c>
      <c r="AI1" s="1911"/>
      <c r="AJ1" s="1912"/>
      <c r="AK1" s="1910" t="s">
        <v>646</v>
      </c>
      <c r="AL1" s="1912"/>
      <c r="AM1" s="1910" t="s">
        <v>98</v>
      </c>
      <c r="AN1" s="1911"/>
      <c r="AO1" s="1912"/>
      <c r="AP1" s="1910" t="s">
        <v>535</v>
      </c>
      <c r="AQ1" s="1911"/>
      <c r="AR1" s="1911"/>
      <c r="AS1" s="1912"/>
      <c r="AT1" s="1910" t="s">
        <v>290</v>
      </c>
      <c r="AU1" s="1911"/>
      <c r="AV1" s="1911"/>
      <c r="AW1" s="1912"/>
      <c r="AX1" s="1915" t="s">
        <v>393</v>
      </c>
      <c r="AY1" s="1915"/>
      <c r="AZ1" s="1915"/>
      <c r="BA1" s="1910" t="s">
        <v>396</v>
      </c>
      <c r="BB1" s="1911"/>
      <c r="BC1" s="1911"/>
      <c r="BD1" s="1912"/>
      <c r="BE1" s="1917" t="s">
        <v>398</v>
      </c>
      <c r="BF1" s="1918"/>
      <c r="BG1" s="1918"/>
      <c r="BH1" s="1918"/>
      <c r="BI1" s="1918"/>
      <c r="BJ1" s="1910" t="s">
        <v>619</v>
      </c>
      <c r="BK1" s="1911"/>
      <c r="BL1" s="1910" t="s">
        <v>399</v>
      </c>
      <c r="BM1" s="1912"/>
      <c r="BN1" s="1916" t="s">
        <v>400</v>
      </c>
      <c r="BO1" s="1915"/>
      <c r="BP1" s="1910" t="s">
        <v>401</v>
      </c>
      <c r="BQ1" s="1911"/>
      <c r="BR1" s="1912"/>
      <c r="BS1" s="301" t="s">
        <v>402</v>
      </c>
      <c r="BT1" s="1910" t="s">
        <v>403</v>
      </c>
      <c r="BU1" s="1911"/>
      <c r="BV1" s="1911"/>
      <c r="BW1" s="1912"/>
      <c r="BX1" s="301" t="s">
        <v>404</v>
      </c>
      <c r="BY1" s="1915" t="s">
        <v>405</v>
      </c>
      <c r="BZ1" s="1915"/>
      <c r="CA1" s="1915"/>
      <c r="CB1" s="301" t="s">
        <v>406</v>
      </c>
      <c r="CC1" s="1910" t="s">
        <v>407</v>
      </c>
      <c r="CD1" s="1912"/>
      <c r="CE1" s="1910" t="s">
        <v>408</v>
      </c>
      <c r="CF1" s="1912"/>
      <c r="CG1" s="1910" t="s">
        <v>100</v>
      </c>
      <c r="CH1" s="1911"/>
      <c r="CI1" s="1912"/>
      <c r="CJ1" s="1910" t="s">
        <v>603</v>
      </c>
      <c r="CK1" s="1911"/>
      <c r="CL1" s="1911"/>
      <c r="CM1" s="1911"/>
      <c r="CN1" s="1911"/>
      <c r="CO1" s="1912"/>
      <c r="CP1" s="1910" t="s">
        <v>604</v>
      </c>
      <c r="CQ1" s="1911"/>
      <c r="CR1" s="1911"/>
      <c r="CS1" s="1912"/>
      <c r="CT1" s="1910" t="s">
        <v>605</v>
      </c>
      <c r="CU1" s="1912"/>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27" t="s">
        <v>0</v>
      </c>
      <c r="B5" s="1923">
        <f>IF('Тип разраб-ой док-ции'!F4=1,1,0)</f>
        <v>0</v>
      </c>
      <c r="C5" s="325" t="s">
        <v>32</v>
      </c>
      <c r="D5" s="230"/>
      <c r="E5" s="316">
        <f>'АВЗ АСУТП'!G5</f>
        <v>2.75</v>
      </c>
      <c r="F5" s="316">
        <f>'АВЗ АСУТП'!K5</f>
        <v>2.75</v>
      </c>
      <c r="G5" s="316">
        <f>'АВЗ АСУТП'!O5</f>
        <v>2.75</v>
      </c>
      <c r="H5" s="230">
        <f>'АВЗ АСУТП'!S5</f>
        <v>2.75</v>
      </c>
      <c r="I5" s="316">
        <f>'АВЗ АСУТП'!W5</f>
        <v>2.75</v>
      </c>
      <c r="J5" s="230">
        <f>'АВЗ АСУТП'!AA5</f>
        <v>2.75</v>
      </c>
      <c r="K5" s="230">
        <f>'АВЗ АСУТП'!AE5</f>
        <v>2.75</v>
      </c>
      <c r="L5" s="230">
        <f>'АВЗ АСУТП'!AI5</f>
        <v>2.75</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f t="shared" ref="CW5:CW10" si="1">SUMPRODUCT(E5:L5,$E$2:$L$2) + D5</f>
        <v>2.75</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28"/>
      <c r="B6" s="1908"/>
      <c r="C6" s="18" t="s">
        <v>33</v>
      </c>
      <c r="D6" s="21"/>
      <c r="E6" s="316">
        <f>'АВЗ АСУТП'!G6</f>
        <v>0.75</v>
      </c>
      <c r="F6" s="316">
        <f>'АВЗ АСУТП'!K6</f>
        <v>0.75</v>
      </c>
      <c r="G6" s="316">
        <f>'АВЗ АСУТП'!O6</f>
        <v>0.75</v>
      </c>
      <c r="H6" s="230">
        <f>'АВЗ АСУТП'!S6</f>
        <v>0.75</v>
      </c>
      <c r="I6" s="316">
        <f>'АВЗ АСУТП'!W6</f>
        <v>0.75</v>
      </c>
      <c r="J6" s="230">
        <f>'АВЗ АСУТП'!AA6</f>
        <v>0.75</v>
      </c>
      <c r="K6" s="230">
        <f>'АВЗ АСУТП'!AE6</f>
        <v>0.75</v>
      </c>
      <c r="L6" s="230">
        <f>'АВЗ АСУТП'!AI6</f>
        <v>0.75</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f t="shared" si="1"/>
        <v>0.75</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29"/>
      <c r="B7" s="1908"/>
      <c r="C7" s="198" t="s">
        <v>34</v>
      </c>
      <c r="D7" s="21"/>
      <c r="E7" s="316">
        <f>'АВЗ АСУТП'!G7</f>
        <v>1.5</v>
      </c>
      <c r="F7" s="316">
        <f>'АВЗ АСУТП'!K7</f>
        <v>1.5</v>
      </c>
      <c r="G7" s="316">
        <f>'АВЗ АСУТП'!O7</f>
        <v>1.5</v>
      </c>
      <c r="H7" s="230">
        <f>'АВЗ АСУТП'!S7</f>
        <v>1.5</v>
      </c>
      <c r="I7" s="316">
        <f>'АВЗ АСУТП'!W7</f>
        <v>1.5</v>
      </c>
      <c r="J7" s="230">
        <f>'АВЗ АСУТП'!AA7</f>
        <v>1.5</v>
      </c>
      <c r="K7" s="230">
        <f>'АВЗ АСУТП'!AE7</f>
        <v>1.5</v>
      </c>
      <c r="L7" s="230">
        <f>'АВЗ АСУТП'!AI7</f>
        <v>1.5</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f t="shared" si="1"/>
        <v>1.5</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28" t="s">
        <v>449</v>
      </c>
      <c r="B8" s="1914">
        <f>IF('Тип разраб-ой док-ции'!F5=1,1,0)</f>
        <v>0</v>
      </c>
      <c r="C8" s="325" t="s">
        <v>32</v>
      </c>
      <c r="D8" s="230"/>
      <c r="E8" s="316">
        <f>'АВЗ АСУТП'!G8</f>
        <v>2.75</v>
      </c>
      <c r="F8" s="316">
        <f>'АВЗ АСУТП'!K8</f>
        <v>2.75</v>
      </c>
      <c r="G8" s="316">
        <f>'АВЗ АСУТП'!O8</f>
        <v>2.75</v>
      </c>
      <c r="H8" s="230">
        <f>'АВЗ АСУТП'!S8</f>
        <v>2.75</v>
      </c>
      <c r="I8" s="316">
        <f>'АВЗ АСУТП'!W8</f>
        <v>2.75</v>
      </c>
      <c r="J8" s="230">
        <f>'АВЗ АСУТП'!AA8</f>
        <v>2.75</v>
      </c>
      <c r="K8" s="230">
        <f>'АВЗ АСУТП'!AE8</f>
        <v>2.75</v>
      </c>
      <c r="L8" s="230">
        <f>'АВЗ АСУТП'!AI8</f>
        <v>2.75</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f t="shared" si="1"/>
        <v>2.75</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28"/>
      <c r="B9" s="1908"/>
      <c r="C9" s="18" t="s">
        <v>33</v>
      </c>
      <c r="D9" s="21"/>
      <c r="E9" s="316">
        <f>'АВЗ АСУТП'!G9</f>
        <v>0.75</v>
      </c>
      <c r="F9" s="316">
        <f>'АВЗ АСУТП'!K9</f>
        <v>0.75</v>
      </c>
      <c r="G9" s="316">
        <f>'АВЗ АСУТП'!O9</f>
        <v>0.75</v>
      </c>
      <c r="H9" s="230">
        <f>'АВЗ АСУТП'!S9</f>
        <v>0.75</v>
      </c>
      <c r="I9" s="316">
        <f>'АВЗ АСУТП'!W9</f>
        <v>0.75</v>
      </c>
      <c r="J9" s="230">
        <f>'АВЗ АСУТП'!AA9</f>
        <v>0.75</v>
      </c>
      <c r="K9" s="230">
        <f>'АВЗ АСУТП'!AE9</f>
        <v>0.75</v>
      </c>
      <c r="L9" s="230">
        <f>'АВЗ АСУТП'!AI9</f>
        <v>0.75</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f t="shared" si="1"/>
        <v>0.75</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28"/>
      <c r="B10" s="1909"/>
      <c r="C10" s="81" t="s">
        <v>34</v>
      </c>
      <c r="D10" s="77"/>
      <c r="E10" s="466">
        <f>'АВЗ АСУТП'!G10</f>
        <v>1.5</v>
      </c>
      <c r="F10" s="466">
        <f>'АВЗ АСУТП'!K10</f>
        <v>1.5</v>
      </c>
      <c r="G10" s="466">
        <f>'АВЗ АСУТП'!O10</f>
        <v>1.5</v>
      </c>
      <c r="H10" s="467">
        <f>'АВЗ АСУТП'!S10</f>
        <v>1.5</v>
      </c>
      <c r="I10" s="466">
        <f>'АВЗ АСУТП'!W10</f>
        <v>1.5</v>
      </c>
      <c r="J10" s="467">
        <f>'АВЗ АСУТП'!AA10</f>
        <v>1.5</v>
      </c>
      <c r="K10" s="467">
        <f>'АВЗ АСУТП'!AE10</f>
        <v>1.5</v>
      </c>
      <c r="L10" s="467">
        <f>'АВЗ АСУТП'!AI10</f>
        <v>1.5</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f t="shared" si="1"/>
        <v>1.5</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922" t="s">
        <v>2</v>
      </c>
      <c r="B12" s="1908">
        <f>IF('Тип разраб-ой док-ции'!F7=1,1,0)</f>
        <v>0</v>
      </c>
      <c r="C12" s="325" t="s">
        <v>32</v>
      </c>
      <c r="D12" s="230"/>
      <c r="E12" s="316">
        <f>'АВЗ АСУТП'!G12</f>
        <v>4.5</v>
      </c>
      <c r="F12" s="316">
        <f>'АВЗ АСУТП'!K12</f>
        <v>4.5</v>
      </c>
      <c r="G12" s="316">
        <f>'АВЗ АСУТП'!O12</f>
        <v>4.5</v>
      </c>
      <c r="H12" s="230">
        <f>'АВЗ АСУТП'!S12</f>
        <v>4.5</v>
      </c>
      <c r="I12" s="316">
        <f>'АВЗ АСУТП'!W12</f>
        <v>4.5</v>
      </c>
      <c r="J12" s="230">
        <f>'АВЗ АСУТП'!AA12</f>
        <v>4.5</v>
      </c>
      <c r="K12" s="230">
        <f>'АВЗ АСУТП'!AE12</f>
        <v>4.5</v>
      </c>
      <c r="L12" s="230">
        <f>'АВЗ АСУТП'!AI12</f>
        <v>4.5</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f>SUMPRODUCT(E12:L12,$E$2:$L$2) + D12</f>
        <v>4.5</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922"/>
      <c r="B13" s="1908"/>
      <c r="C13" s="18" t="s">
        <v>33</v>
      </c>
      <c r="D13" s="21"/>
      <c r="E13" s="316">
        <f>'АВЗ АСУТП'!G13</f>
        <v>2</v>
      </c>
      <c r="F13" s="316">
        <f>'АВЗ АСУТП'!K13</f>
        <v>2</v>
      </c>
      <c r="G13" s="316">
        <f>'АВЗ АСУТП'!O13</f>
        <v>2</v>
      </c>
      <c r="H13" s="230">
        <f>'АВЗ АСУТП'!S13</f>
        <v>2</v>
      </c>
      <c r="I13" s="316">
        <f>'АВЗ АСУТП'!W13</f>
        <v>2</v>
      </c>
      <c r="J13" s="230">
        <f>'АВЗ АСУТП'!AA13</f>
        <v>2</v>
      </c>
      <c r="K13" s="230">
        <f>'АВЗ АСУТП'!AE13</f>
        <v>2</v>
      </c>
      <c r="L13" s="230">
        <f>'АВЗ АСУТП'!AI13</f>
        <v>2</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f>SUMPRODUCT(E13:L13,$E$2:$L$2) + D13</f>
        <v>2</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922"/>
      <c r="B14" s="1908"/>
      <c r="C14" s="81" t="s">
        <v>34</v>
      </c>
      <c r="D14" s="77"/>
      <c r="E14" s="466">
        <f>'АВЗ АСУТП'!G14</f>
        <v>3</v>
      </c>
      <c r="F14" s="466">
        <f>'АВЗ АСУТП'!K14</f>
        <v>3</v>
      </c>
      <c r="G14" s="466">
        <f>'АВЗ АСУТП'!O14</f>
        <v>3</v>
      </c>
      <c r="H14" s="467">
        <f>'АВЗ АСУТП'!S14</f>
        <v>3</v>
      </c>
      <c r="I14" s="466">
        <f>'АВЗ АСУТП'!W14</f>
        <v>3</v>
      </c>
      <c r="J14" s="467">
        <f>'АВЗ АСУТП'!AA14</f>
        <v>3</v>
      </c>
      <c r="K14" s="467">
        <f>'АВЗ АСУТП'!AE14</f>
        <v>3</v>
      </c>
      <c r="L14" s="467">
        <f>'АВЗ АСУТП'!AI14</f>
        <v>3</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f>SUMPRODUCT(E14:L14,$E$2:$L$2) + D14</f>
        <v>3</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904" t="s">
        <v>4</v>
      </c>
      <c r="B16" s="1908">
        <f>IF('Тип разраб-ой док-ции'!F9=1,1,0)</f>
        <v>1</v>
      </c>
      <c r="C16" s="325" t="s">
        <v>32</v>
      </c>
      <c r="D16" s="230"/>
      <c r="E16" s="316">
        <f>'АВЗ АСУТП'!G16</f>
        <v>0.25</v>
      </c>
      <c r="F16" s="316">
        <f>'АВЗ АСУТП'!K16</f>
        <v>0.25</v>
      </c>
      <c r="G16" s="316">
        <f>'АВЗ АСУТП'!O16</f>
        <v>0.25</v>
      </c>
      <c r="H16" s="230">
        <f>'АВЗ АСУТП'!S16</f>
        <v>0.25</v>
      </c>
      <c r="I16" s="316">
        <f>'АВЗ АСУТП'!W16</f>
        <v>0.25</v>
      </c>
      <c r="J16" s="230">
        <f>'АВЗ АСУТП'!AA16</f>
        <v>0.25</v>
      </c>
      <c r="K16" s="230">
        <f>'АВЗ АСУТП'!AE16</f>
        <v>0.25</v>
      </c>
      <c r="L16" s="230">
        <f>'АВЗ АСУТП'!AI16</f>
        <v>0.25</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f t="shared" ref="CW16:CW36" si="32">SUMPRODUCT(E16:L16,$E$2:$L$2) + D16</f>
        <v>0.25</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905"/>
      <c r="B17" s="1908"/>
      <c r="C17" s="18" t="s">
        <v>33</v>
      </c>
      <c r="D17" s="21"/>
      <c r="E17" s="316">
        <f>'АВЗ АСУТП'!G17</f>
        <v>0</v>
      </c>
      <c r="F17" s="316">
        <f>'АВЗ АСУТП'!K17</f>
        <v>0</v>
      </c>
      <c r="G17" s="316">
        <f>'АВЗ АСУТП'!O17</f>
        <v>0</v>
      </c>
      <c r="H17" s="230">
        <f>'АВЗ АСУТП'!S17</f>
        <v>0</v>
      </c>
      <c r="I17" s="316">
        <f>'АВЗ АСУТП'!W17</f>
        <v>0</v>
      </c>
      <c r="J17" s="230">
        <f>'АВЗ АСУТП'!AA17</f>
        <v>0</v>
      </c>
      <c r="K17" s="230">
        <f>'АВЗ АСУТП'!AE17</f>
        <v>0</v>
      </c>
      <c r="L17" s="230">
        <f>'АВЗ АСУТП'!AI17</f>
        <v>0</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f t="shared" si="32"/>
        <v>0</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905"/>
      <c r="B18" s="1924"/>
      <c r="C18" s="18" t="s">
        <v>34</v>
      </c>
      <c r="D18" s="21"/>
      <c r="E18" s="316">
        <f>'АВЗ АСУТП'!G18</f>
        <v>0</v>
      </c>
      <c r="F18" s="316">
        <f>'АВЗ АСУТП'!K18</f>
        <v>0</v>
      </c>
      <c r="G18" s="316">
        <f>'АВЗ АСУТП'!O18</f>
        <v>0</v>
      </c>
      <c r="H18" s="230">
        <f>'АВЗ АСУТП'!S18</f>
        <v>0</v>
      </c>
      <c r="I18" s="316">
        <f>'АВЗ АСУТП'!W18</f>
        <v>0</v>
      </c>
      <c r="J18" s="230">
        <f>'АВЗ АСУТП'!AA18</f>
        <v>0</v>
      </c>
      <c r="K18" s="230">
        <f>'АВЗ АСУТП'!AE18</f>
        <v>0</v>
      </c>
      <c r="L18" s="230">
        <f>'АВЗ АСУТП'!AI18</f>
        <v>0</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f t="shared" si="32"/>
        <v>0</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905" t="s">
        <v>5</v>
      </c>
      <c r="B19" s="1908">
        <f>IF('Тип разраб-ой док-ции'!F10=1,1,0)</f>
        <v>0</v>
      </c>
      <c r="C19" s="18" t="s">
        <v>32</v>
      </c>
      <c r="D19" s="21"/>
      <c r="E19" s="316">
        <f>'АВЗ АСУТП'!G19</f>
        <v>1.5</v>
      </c>
      <c r="F19" s="316">
        <f>'АВЗ АСУТП'!K19</f>
        <v>1.5</v>
      </c>
      <c r="G19" s="316">
        <f>'АВЗ АСУТП'!O19</f>
        <v>1.5</v>
      </c>
      <c r="H19" s="230">
        <f>'АВЗ АСУТП'!S19</f>
        <v>1.5</v>
      </c>
      <c r="I19" s="316">
        <f>'АВЗ АСУТП'!W19</f>
        <v>1.5</v>
      </c>
      <c r="J19" s="230">
        <f>'АВЗ АСУТП'!AA19</f>
        <v>1.5</v>
      </c>
      <c r="K19" s="230">
        <f>'АВЗ АСУТП'!AE19</f>
        <v>1.5</v>
      </c>
      <c r="L19" s="230">
        <f>'АВЗ АСУТП'!AI19</f>
        <v>1.5</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f t="shared" si="32"/>
        <v>1.5</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905"/>
      <c r="B20" s="1908"/>
      <c r="C20" s="18" t="s">
        <v>33</v>
      </c>
      <c r="D20" s="21"/>
      <c r="E20" s="316">
        <f>'АВЗ АСУТП'!G20</f>
        <v>0.5</v>
      </c>
      <c r="F20" s="316">
        <f>'АВЗ АСУТП'!K20</f>
        <v>0.5</v>
      </c>
      <c r="G20" s="316">
        <f>'АВЗ АСУТП'!O20</f>
        <v>0.5</v>
      </c>
      <c r="H20" s="230">
        <f>'АВЗ АСУТП'!S20</f>
        <v>0.5</v>
      </c>
      <c r="I20" s="316">
        <f>'АВЗ АСУТП'!W20</f>
        <v>0.5</v>
      </c>
      <c r="J20" s="230">
        <f>'АВЗ АСУТП'!AA20</f>
        <v>0.5</v>
      </c>
      <c r="K20" s="230">
        <f>'АВЗ АСУТП'!AE20</f>
        <v>0.5</v>
      </c>
      <c r="L20" s="230">
        <f>'АВЗ АСУТП'!AI20</f>
        <v>0.5</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f t="shared" si="32"/>
        <v>0.5</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905"/>
      <c r="B21" s="1924"/>
      <c r="C21" s="18" t="s">
        <v>34</v>
      </c>
      <c r="D21" s="21"/>
      <c r="E21" s="316">
        <f>'АВЗ АСУТП'!G21</f>
        <v>0.5</v>
      </c>
      <c r="F21" s="316">
        <f>'АВЗ АСУТП'!K21</f>
        <v>0.5</v>
      </c>
      <c r="G21" s="316">
        <f>'АВЗ АСУТП'!O21</f>
        <v>0.5</v>
      </c>
      <c r="H21" s="230">
        <f>'АВЗ АСУТП'!S21</f>
        <v>0.5</v>
      </c>
      <c r="I21" s="316">
        <f>'АВЗ АСУТП'!W21</f>
        <v>0.5</v>
      </c>
      <c r="J21" s="230">
        <f>'АВЗ АСУТП'!AA21</f>
        <v>0.5</v>
      </c>
      <c r="K21" s="230">
        <f>'АВЗ АСУТП'!AE21</f>
        <v>0.5</v>
      </c>
      <c r="L21" s="230">
        <f>'АВЗ АСУТП'!AI21</f>
        <v>0.5</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f t="shared" si="32"/>
        <v>0.5</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905" t="s">
        <v>6</v>
      </c>
      <c r="B22" s="1908">
        <f>IF('Тип разраб-ой док-ции'!F11=1,1,0)</f>
        <v>1</v>
      </c>
      <c r="C22" s="18" t="s">
        <v>32</v>
      </c>
      <c r="D22" s="21"/>
      <c r="E22" s="316">
        <f>'АВЗ АСУТП'!G22</f>
        <v>3</v>
      </c>
      <c r="F22" s="316">
        <f>'АВЗ АСУТП'!K22</f>
        <v>3</v>
      </c>
      <c r="G22" s="316">
        <f>'АВЗ АСУТП'!O22</f>
        <v>3</v>
      </c>
      <c r="H22" s="230">
        <f>'АВЗ АСУТП'!S22</f>
        <v>3</v>
      </c>
      <c r="I22" s="316">
        <f>'АВЗ АСУТП'!W22</f>
        <v>3</v>
      </c>
      <c r="J22" s="230">
        <f>'АВЗ АСУТП'!AA22</f>
        <v>3</v>
      </c>
      <c r="K22" s="230">
        <f>'АВЗ АСУТП'!AE22</f>
        <v>3</v>
      </c>
      <c r="L22" s="230">
        <f>'АВЗ АСУТП'!AI22</f>
        <v>3</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f t="shared" si="32"/>
        <v>3</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905"/>
      <c r="B23" s="1908"/>
      <c r="C23" s="18" t="s">
        <v>33</v>
      </c>
      <c r="D23" s="21"/>
      <c r="E23" s="316">
        <f>'АВЗ АСУТП'!G23</f>
        <v>3</v>
      </c>
      <c r="F23" s="316">
        <f>'АВЗ АСУТП'!K23</f>
        <v>3</v>
      </c>
      <c r="G23" s="316">
        <f>'АВЗ АСУТП'!O23</f>
        <v>3</v>
      </c>
      <c r="H23" s="230">
        <f>'АВЗ АСУТП'!S23</f>
        <v>3</v>
      </c>
      <c r="I23" s="316">
        <f>'АВЗ АСУТП'!W23</f>
        <v>3</v>
      </c>
      <c r="J23" s="230">
        <f>'АВЗ АСУТП'!AA23</f>
        <v>3</v>
      </c>
      <c r="K23" s="230">
        <f>'АВЗ АСУТП'!AE23</f>
        <v>3</v>
      </c>
      <c r="L23" s="230">
        <f>'АВЗ АСУТП'!AI23</f>
        <v>3</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f t="shared" si="32"/>
        <v>3</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905"/>
      <c r="B24" s="1924"/>
      <c r="C24" s="18" t="s">
        <v>34</v>
      </c>
      <c r="D24" s="21"/>
      <c r="E24" s="316">
        <f>'АВЗ АСУТП'!G24</f>
        <v>5</v>
      </c>
      <c r="F24" s="316">
        <f>'АВЗ АСУТП'!K24</f>
        <v>5</v>
      </c>
      <c r="G24" s="316">
        <f>'АВЗ АСУТП'!O24</f>
        <v>5</v>
      </c>
      <c r="H24" s="230">
        <f>'АВЗ АСУТП'!S24</f>
        <v>5</v>
      </c>
      <c r="I24" s="316">
        <f>'АВЗ АСУТП'!W24</f>
        <v>5</v>
      </c>
      <c r="J24" s="230">
        <f>'АВЗ АСУТП'!AA24</f>
        <v>5</v>
      </c>
      <c r="K24" s="230">
        <f>'АВЗ АСУТП'!AE24</f>
        <v>5</v>
      </c>
      <c r="L24" s="230">
        <f>'АВЗ АСУТП'!AI24</f>
        <v>5</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f t="shared" si="32"/>
        <v>5</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905" t="s">
        <v>7</v>
      </c>
      <c r="B25" s="1908">
        <f>IF('Тип разраб-ой док-ции'!F12=1,1,0)</f>
        <v>1</v>
      </c>
      <c r="C25" s="18" t="s">
        <v>32</v>
      </c>
      <c r="D25" s="21"/>
      <c r="E25" s="316">
        <f>'АВЗ АСУТП'!G25</f>
        <v>1</v>
      </c>
      <c r="F25" s="316">
        <f>'АВЗ АСУТП'!K25</f>
        <v>1</v>
      </c>
      <c r="G25" s="316">
        <f>'АВЗ АСУТП'!O25</f>
        <v>1</v>
      </c>
      <c r="H25" s="230">
        <f>'АВЗ АСУТП'!S25</f>
        <v>1</v>
      </c>
      <c r="I25" s="316">
        <f>'АВЗ АСУТП'!W25</f>
        <v>1</v>
      </c>
      <c r="J25" s="230">
        <f>'АВЗ АСУТП'!AA25</f>
        <v>1</v>
      </c>
      <c r="K25" s="230">
        <f>'АВЗ АСУТП'!AE25</f>
        <v>1</v>
      </c>
      <c r="L25" s="230">
        <f>'АВЗ АСУТП'!AI25</f>
        <v>1</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f t="shared" si="32"/>
        <v>1</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905"/>
      <c r="B26" s="1908"/>
      <c r="C26" s="18" t="s">
        <v>33</v>
      </c>
      <c r="D26" s="21"/>
      <c r="E26" s="316">
        <f>'АВЗ АСУТП'!G26</f>
        <v>1</v>
      </c>
      <c r="F26" s="316">
        <f>'АВЗ АСУТП'!K26</f>
        <v>1</v>
      </c>
      <c r="G26" s="316">
        <f>'АВЗ АСУТП'!O26</f>
        <v>1</v>
      </c>
      <c r="H26" s="230">
        <f>'АВЗ АСУТП'!S26</f>
        <v>1</v>
      </c>
      <c r="I26" s="316">
        <f>'АВЗ АСУТП'!W26</f>
        <v>1</v>
      </c>
      <c r="J26" s="230">
        <f>'АВЗ АСУТП'!AA26</f>
        <v>1</v>
      </c>
      <c r="K26" s="230">
        <f>'АВЗ АСУТП'!AE26</f>
        <v>1</v>
      </c>
      <c r="L26" s="230">
        <f>'АВЗ АСУТП'!AI26</f>
        <v>1</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f t="shared" si="32"/>
        <v>1</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905"/>
      <c r="B27" s="1924"/>
      <c r="C27" s="18" t="s">
        <v>34</v>
      </c>
      <c r="D27" s="21"/>
      <c r="E27" s="316">
        <f>'АВЗ АСУТП'!G27</f>
        <v>2</v>
      </c>
      <c r="F27" s="316">
        <f>'АВЗ АСУТП'!K27</f>
        <v>2</v>
      </c>
      <c r="G27" s="316">
        <f>'АВЗ АСУТП'!O27</f>
        <v>2</v>
      </c>
      <c r="H27" s="230">
        <f>'АВЗ АСУТП'!S27</f>
        <v>2</v>
      </c>
      <c r="I27" s="316">
        <f>'АВЗ АСУТП'!W27</f>
        <v>2</v>
      </c>
      <c r="J27" s="230">
        <f>'АВЗ АСУТП'!AA27</f>
        <v>2</v>
      </c>
      <c r="K27" s="230">
        <f>'АВЗ АСУТП'!AE27</f>
        <v>2</v>
      </c>
      <c r="L27" s="230">
        <f>'АВЗ АСУТП'!AI27</f>
        <v>2</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f t="shared" si="32"/>
        <v>2</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905" t="s">
        <v>8</v>
      </c>
      <c r="B28" s="1908">
        <f>IF('Тип разраб-ой док-ции'!F13=1,1,0)</f>
        <v>1</v>
      </c>
      <c r="C28" s="18" t="s">
        <v>32</v>
      </c>
      <c r="D28" s="21"/>
      <c r="E28" s="316">
        <f>'АВЗ АСУТП'!G28</f>
        <v>1.5</v>
      </c>
      <c r="F28" s="316">
        <f>'АВЗ АСУТП'!K28</f>
        <v>1.5</v>
      </c>
      <c r="G28" s="316">
        <f>'АВЗ АСУТП'!O28</f>
        <v>1.5</v>
      </c>
      <c r="H28" s="230">
        <f>'АВЗ АСУТП'!S28</f>
        <v>1.5</v>
      </c>
      <c r="I28" s="316">
        <f>'АВЗ АСУТП'!W28</f>
        <v>1.5</v>
      </c>
      <c r="J28" s="230">
        <f>'АВЗ АСУТП'!AA28</f>
        <v>1.5</v>
      </c>
      <c r="K28" s="230">
        <f>'АВЗ АСУТП'!AE28</f>
        <v>1.5</v>
      </c>
      <c r="L28" s="230">
        <f>'АВЗ АСУТП'!AI28</f>
        <v>1.5</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f t="shared" si="32"/>
        <v>1.5</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905"/>
      <c r="B29" s="1908"/>
      <c r="C29" s="18" t="s">
        <v>33</v>
      </c>
      <c r="D29" s="21"/>
      <c r="E29" s="316">
        <f>'АВЗ АСУТП'!G29</f>
        <v>3.5</v>
      </c>
      <c r="F29" s="316">
        <f>'АВЗ АСУТП'!K29</f>
        <v>3.5</v>
      </c>
      <c r="G29" s="316">
        <f>'АВЗ АСУТП'!O29</f>
        <v>3.5</v>
      </c>
      <c r="H29" s="230">
        <f>'АВЗ АСУТП'!S29</f>
        <v>3.5</v>
      </c>
      <c r="I29" s="316">
        <f>'АВЗ АСУТП'!W29</f>
        <v>3.5</v>
      </c>
      <c r="J29" s="230">
        <f>'АВЗ АСУТП'!AA29</f>
        <v>3.5</v>
      </c>
      <c r="K29" s="230">
        <f>'АВЗ АСУТП'!AE29</f>
        <v>3.5</v>
      </c>
      <c r="L29" s="230">
        <f>'АВЗ АСУТП'!AI29</f>
        <v>3.5</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f t="shared" si="32"/>
        <v>3.5</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905"/>
      <c r="B30" s="1924"/>
      <c r="C30" s="18" t="s">
        <v>34</v>
      </c>
      <c r="D30" s="21"/>
      <c r="E30" s="316">
        <f>'АВЗ АСУТП'!G30</f>
        <v>5.5</v>
      </c>
      <c r="F30" s="316">
        <f>'АВЗ АСУТП'!K30</f>
        <v>5.5</v>
      </c>
      <c r="G30" s="316">
        <f>'АВЗ АСУТП'!O30</f>
        <v>5.5</v>
      </c>
      <c r="H30" s="230">
        <f>'АВЗ АСУТП'!S30</f>
        <v>5.5</v>
      </c>
      <c r="I30" s="316">
        <f>'АВЗ АСУТП'!W30</f>
        <v>5.5</v>
      </c>
      <c r="J30" s="230">
        <f>'АВЗ АСУТП'!AA30</f>
        <v>5.5</v>
      </c>
      <c r="K30" s="230">
        <f>'АВЗ АСУТП'!AE30</f>
        <v>5.5</v>
      </c>
      <c r="L30" s="230">
        <f>'АВЗ АСУТП'!AI30</f>
        <v>5.5</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f t="shared" si="32"/>
        <v>5.5</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905" t="s">
        <v>9</v>
      </c>
      <c r="B31" s="1908">
        <f>IF('Тип разраб-ой док-ции'!F14=1,1,0)</f>
        <v>1</v>
      </c>
      <c r="C31" s="18" t="s">
        <v>32</v>
      </c>
      <c r="D31" s="21"/>
      <c r="E31" s="316">
        <f>'АВЗ АСУТП'!G31</f>
        <v>2</v>
      </c>
      <c r="F31" s="316">
        <f>'АВЗ АСУТП'!K31</f>
        <v>2</v>
      </c>
      <c r="G31" s="316">
        <f>'АВЗ АСУТП'!O31</f>
        <v>2</v>
      </c>
      <c r="H31" s="230">
        <f>'АВЗ АСУТП'!S31</f>
        <v>2</v>
      </c>
      <c r="I31" s="316">
        <f>'АВЗ АСУТП'!W31</f>
        <v>2</v>
      </c>
      <c r="J31" s="230">
        <f>'АВЗ АСУТП'!AA31</f>
        <v>2</v>
      </c>
      <c r="K31" s="230">
        <f>'АВЗ АСУТП'!AE31</f>
        <v>2</v>
      </c>
      <c r="L31" s="230">
        <f>'АВЗ АСУТП'!AI31</f>
        <v>2</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f t="shared" si="32"/>
        <v>2</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905"/>
      <c r="B32" s="1908"/>
      <c r="C32" s="18" t="s">
        <v>33</v>
      </c>
      <c r="D32" s="21"/>
      <c r="E32" s="316">
        <f>'АВЗ АСУТП'!G32</f>
        <v>0.25</v>
      </c>
      <c r="F32" s="316">
        <f>'АВЗ АСУТП'!K32</f>
        <v>0.25</v>
      </c>
      <c r="G32" s="316">
        <f>'АВЗ АСУТП'!O32</f>
        <v>0.25</v>
      </c>
      <c r="H32" s="230">
        <f>'АВЗ АСУТП'!S32</f>
        <v>0.25</v>
      </c>
      <c r="I32" s="316">
        <f>'АВЗ АСУТП'!W32</f>
        <v>0.25</v>
      </c>
      <c r="J32" s="230">
        <f>'АВЗ АСУТП'!AA32</f>
        <v>0.25</v>
      </c>
      <c r="K32" s="230">
        <f>'АВЗ АСУТП'!AE32</f>
        <v>0.25</v>
      </c>
      <c r="L32" s="230">
        <f>'АВЗ АСУТП'!AI32</f>
        <v>0.25</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f t="shared" si="32"/>
        <v>0.25</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905"/>
      <c r="B33" s="1924"/>
      <c r="C33" s="18" t="s">
        <v>34</v>
      </c>
      <c r="D33" s="21"/>
      <c r="E33" s="316">
        <f>'АВЗ АСУТП'!G33</f>
        <v>0.25</v>
      </c>
      <c r="F33" s="316">
        <f>'АВЗ АСУТП'!K33</f>
        <v>0.25</v>
      </c>
      <c r="G33" s="316">
        <f>'АВЗ АСУТП'!O33</f>
        <v>0.25</v>
      </c>
      <c r="H33" s="230">
        <f>'АВЗ АСУТП'!S33</f>
        <v>0.25</v>
      </c>
      <c r="I33" s="316">
        <f>'АВЗ АСУТП'!W33</f>
        <v>0.25</v>
      </c>
      <c r="J33" s="230">
        <f>'АВЗ АСУТП'!AA33</f>
        <v>0.25</v>
      </c>
      <c r="K33" s="230">
        <f>'АВЗ АСУТП'!AE33</f>
        <v>0.25</v>
      </c>
      <c r="L33" s="230">
        <f>'АВЗ АСУТП'!AI33</f>
        <v>0.25</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f t="shared" si="32"/>
        <v>0.25</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905" t="s">
        <v>10</v>
      </c>
      <c r="B34" s="1908">
        <f>IF('Тип разраб-ой док-ции'!F15=1,1,0)</f>
        <v>1</v>
      </c>
      <c r="C34" s="18" t="s">
        <v>32</v>
      </c>
      <c r="D34" s="21"/>
      <c r="E34" s="316">
        <f>'АВЗ АСУТП'!G34</f>
        <v>0.5</v>
      </c>
      <c r="F34" s="316">
        <f>'АВЗ АСУТП'!K34</f>
        <v>0.5</v>
      </c>
      <c r="G34" s="316">
        <f>'АВЗ АСУТП'!O34</f>
        <v>0.5</v>
      </c>
      <c r="H34" s="230">
        <f>'АВЗ АСУТП'!S34</f>
        <v>0.5</v>
      </c>
      <c r="I34" s="316">
        <f>'АВЗ АСУТП'!W34</f>
        <v>0.5</v>
      </c>
      <c r="J34" s="230">
        <f>'АВЗ АСУТП'!AA34</f>
        <v>0.5</v>
      </c>
      <c r="K34" s="230">
        <f>'АВЗ АСУТП'!AE34</f>
        <v>0.5</v>
      </c>
      <c r="L34" s="230">
        <f>'АВЗ АСУТП'!AI34</f>
        <v>0.5</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f t="shared" si="32"/>
        <v>0.5</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905"/>
      <c r="B35" s="1908"/>
      <c r="C35" s="18" t="s">
        <v>33</v>
      </c>
      <c r="D35" s="21"/>
      <c r="E35" s="316">
        <f>'АВЗ АСУТП'!G35</f>
        <v>1.5</v>
      </c>
      <c r="F35" s="316">
        <f>'АВЗ АСУТП'!K35</f>
        <v>1.5</v>
      </c>
      <c r="G35" s="316">
        <f>'АВЗ АСУТП'!O35</f>
        <v>1.5</v>
      </c>
      <c r="H35" s="230">
        <f>'АВЗ АСУТП'!S35</f>
        <v>1.5</v>
      </c>
      <c r="I35" s="316">
        <f>'АВЗ АСУТП'!W35</f>
        <v>1.5</v>
      </c>
      <c r="J35" s="230">
        <f>'АВЗ АСУТП'!AA35</f>
        <v>1.5</v>
      </c>
      <c r="K35" s="230">
        <f>'АВЗ АСУТП'!AE35</f>
        <v>1.5</v>
      </c>
      <c r="L35" s="230">
        <f>'АВЗ АСУТП'!AI35</f>
        <v>1.5</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f t="shared" si="32"/>
        <v>1.5</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920"/>
      <c r="B36" s="1924"/>
      <c r="C36" s="81" t="s">
        <v>34</v>
      </c>
      <c r="D36" s="77"/>
      <c r="E36" s="466">
        <f>'АВЗ АСУТП'!G36</f>
        <v>2</v>
      </c>
      <c r="F36" s="466">
        <f>'АВЗ АСУТП'!K36</f>
        <v>2</v>
      </c>
      <c r="G36" s="466">
        <f>'АВЗ АСУТП'!O36</f>
        <v>2</v>
      </c>
      <c r="H36" s="467">
        <f>'АВЗ АСУТП'!S36</f>
        <v>2</v>
      </c>
      <c r="I36" s="466">
        <f>'АВЗ АСУТП'!W36</f>
        <v>2</v>
      </c>
      <c r="J36" s="467">
        <f>'АВЗ АСУТП'!AA36</f>
        <v>2</v>
      </c>
      <c r="K36" s="467">
        <f>'АВЗ АСУТП'!AE36</f>
        <v>2</v>
      </c>
      <c r="L36" s="467">
        <f>'АВЗ АСУТП'!AI36</f>
        <v>2</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f t="shared" si="32"/>
        <v>2</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922" t="s">
        <v>12</v>
      </c>
      <c r="B38" s="1908">
        <f>IF('Тип разраб-ой док-ции'!F17=1,1,0)</f>
        <v>0</v>
      </c>
      <c r="C38" s="325" t="s">
        <v>32</v>
      </c>
      <c r="D38" s="230"/>
      <c r="E38" s="316">
        <f>'АВЗ АСУТП'!G38</f>
        <v>4</v>
      </c>
      <c r="F38" s="316">
        <f>'АВЗ АСУТП'!K38</f>
        <v>4</v>
      </c>
      <c r="G38" s="316">
        <f>'АВЗ АСУТП'!O38</f>
        <v>4</v>
      </c>
      <c r="H38" s="230">
        <f>'АВЗ АСУТП'!S38</f>
        <v>4</v>
      </c>
      <c r="I38" s="316">
        <f>'АВЗ АСУТП'!W38</f>
        <v>4</v>
      </c>
      <c r="J38" s="230">
        <f>'АВЗ АСУТП'!AA38</f>
        <v>4</v>
      </c>
      <c r="K38" s="230">
        <f>'АВЗ АСУТП'!AE38</f>
        <v>4</v>
      </c>
      <c r="L38" s="230">
        <f>'АВЗ АСУТП'!AI38</f>
        <v>4</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f>SUMPRODUCT(E38:L38,$E$2:$L$2) + D38</f>
        <v>4</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922"/>
      <c r="B39" s="1908"/>
      <c r="C39" s="18" t="s">
        <v>33</v>
      </c>
      <c r="D39" s="21"/>
      <c r="E39" s="316">
        <f>'АВЗ АСУТП'!G39</f>
        <v>5</v>
      </c>
      <c r="F39" s="316">
        <f>'АВЗ АСУТП'!K39</f>
        <v>5</v>
      </c>
      <c r="G39" s="316">
        <f>'АВЗ АСУТП'!O39</f>
        <v>5</v>
      </c>
      <c r="H39" s="230">
        <f>'АВЗ АСУТП'!S39</f>
        <v>5</v>
      </c>
      <c r="I39" s="316">
        <f>'АВЗ АСУТП'!W39</f>
        <v>5</v>
      </c>
      <c r="J39" s="230">
        <f>'АВЗ АСУТП'!AA39</f>
        <v>5</v>
      </c>
      <c r="K39" s="230">
        <f>'АВЗ АСУТП'!AE39</f>
        <v>5</v>
      </c>
      <c r="L39" s="230">
        <f>'АВЗ АСУТП'!AI39</f>
        <v>5</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f>SUMPRODUCT(E39:L39,$E$2:$L$2) + D39</f>
        <v>5</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922"/>
      <c r="B40" s="1908"/>
      <c r="C40" s="81" t="s">
        <v>34</v>
      </c>
      <c r="D40" s="77"/>
      <c r="E40" s="466">
        <f>'АВЗ АСУТП'!G40</f>
        <v>7</v>
      </c>
      <c r="F40" s="466">
        <f>'АВЗ АСУТП'!K40</f>
        <v>7</v>
      </c>
      <c r="G40" s="466">
        <f>'АВЗ АСУТП'!O40</f>
        <v>7</v>
      </c>
      <c r="H40" s="467">
        <f>'АВЗ АСУТП'!S40</f>
        <v>7</v>
      </c>
      <c r="I40" s="466">
        <f>'АВЗ АСУТП'!W40</f>
        <v>7</v>
      </c>
      <c r="J40" s="467">
        <f>'АВЗ АСУТП'!AA40</f>
        <v>7</v>
      </c>
      <c r="K40" s="467">
        <f>'АВЗ АСУТП'!AE40</f>
        <v>7</v>
      </c>
      <c r="L40" s="467">
        <f>'АВЗ АСУТП'!AI40</f>
        <v>7</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f>SUMPRODUCT(E40:L40,$E$2:$L$2) + D40</f>
        <v>7</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922" t="s">
        <v>14</v>
      </c>
      <c r="B42" s="1923">
        <f>IF('Тип разраб-ой док-ции'!F19=1,1,0)</f>
        <v>1</v>
      </c>
      <c r="C42" s="325" t="s">
        <v>32</v>
      </c>
      <c r="D42" s="230"/>
      <c r="E42" s="316">
        <f>'АВЗ АСУТП'!G42</f>
        <v>1.5</v>
      </c>
      <c r="F42" s="316">
        <f>'АВЗ АСУТП'!K42</f>
        <v>1.5</v>
      </c>
      <c r="G42" s="316">
        <f>'АВЗ АСУТП'!O42</f>
        <v>1.5</v>
      </c>
      <c r="H42" s="230">
        <f>'АВЗ АСУТП'!S42</f>
        <v>1.5</v>
      </c>
      <c r="I42" s="316">
        <f>'АВЗ АСУТП'!W42</f>
        <v>1.5</v>
      </c>
      <c r="J42" s="230">
        <f>'АВЗ АСУТП'!AA42</f>
        <v>1.5</v>
      </c>
      <c r="K42" s="230">
        <f>'АВЗ АСУТП'!AE42</f>
        <v>1.5</v>
      </c>
      <c r="L42" s="230">
        <f>'АВЗ АСУТП'!AI42</f>
        <v>1.5</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f t="shared" ref="CW42:CW86" si="63">SUMPRODUCT(E42:L42,$E$2:$L$2) + D42</f>
        <v>1.5</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922"/>
      <c r="B43" s="1908"/>
      <c r="C43" s="18" t="s">
        <v>33</v>
      </c>
      <c r="D43" s="21"/>
      <c r="E43" s="316">
        <f>'АВЗ АСУТП'!G43</f>
        <v>0.5</v>
      </c>
      <c r="F43" s="316">
        <f>'АВЗ АСУТП'!K43</f>
        <v>0.5</v>
      </c>
      <c r="G43" s="316">
        <f>'АВЗ АСУТП'!O43</f>
        <v>0.5</v>
      </c>
      <c r="H43" s="230">
        <f>'АВЗ АСУТП'!S43</f>
        <v>0.5</v>
      </c>
      <c r="I43" s="316">
        <f>'АВЗ АСУТП'!W43</f>
        <v>0.5</v>
      </c>
      <c r="J43" s="230">
        <f>'АВЗ АСУТП'!AA43</f>
        <v>0.5</v>
      </c>
      <c r="K43" s="230">
        <f>'АВЗ АСУТП'!AE43</f>
        <v>0.5</v>
      </c>
      <c r="L43" s="230">
        <f>'АВЗ АСУТП'!AI43</f>
        <v>0.5</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f t="shared" si="63"/>
        <v>0.5</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922"/>
      <c r="B44" s="1908"/>
      <c r="C44" s="18" t="s">
        <v>34</v>
      </c>
      <c r="D44" s="21"/>
      <c r="E44" s="316">
        <f>'АВЗ АСУТП'!G44</f>
        <v>0.5</v>
      </c>
      <c r="F44" s="316">
        <f>'АВЗ АСУТП'!K44</f>
        <v>0.5</v>
      </c>
      <c r="G44" s="316">
        <f>'АВЗ АСУТП'!O44</f>
        <v>0.5</v>
      </c>
      <c r="H44" s="230">
        <f>'АВЗ АСУТП'!S44</f>
        <v>0.5</v>
      </c>
      <c r="I44" s="316">
        <f>'АВЗ АСУТП'!W44</f>
        <v>0.5</v>
      </c>
      <c r="J44" s="230">
        <f>'АВЗ АСУТП'!AA44</f>
        <v>0.5</v>
      </c>
      <c r="K44" s="230">
        <f>'АВЗ АСУТП'!AE44</f>
        <v>0.5</v>
      </c>
      <c r="L44" s="230">
        <f>'АВЗ АСУТП'!AI44</f>
        <v>0.5</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f t="shared" si="63"/>
        <v>0.5</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919" t="s">
        <v>15</v>
      </c>
      <c r="B45" s="1913">
        <f>IF('Тип разраб-ой док-ции'!F20=1,1,0)</f>
        <v>1</v>
      </c>
      <c r="C45" s="469" t="s">
        <v>32</v>
      </c>
      <c r="D45" s="230"/>
      <c r="E45" s="316">
        <f>'АВЗ АСУТП'!G45</f>
        <v>3.5</v>
      </c>
      <c r="F45" s="316">
        <f>'АВЗ АСУТП'!K45</f>
        <v>3.5</v>
      </c>
      <c r="G45" s="316">
        <f>'АВЗ АСУТП'!O45</f>
        <v>3.5</v>
      </c>
      <c r="H45" s="230">
        <f>'АВЗ АСУТП'!S45</f>
        <v>3.5</v>
      </c>
      <c r="I45" s="316">
        <f>'АВЗ АСУТП'!W45</f>
        <v>3.5</v>
      </c>
      <c r="J45" s="230">
        <f>'АВЗ АСУТП'!AA45</f>
        <v>3.5</v>
      </c>
      <c r="K45" s="230">
        <f>'АВЗ АСУТП'!AE45</f>
        <v>3.5</v>
      </c>
      <c r="L45" s="230">
        <f>'АВЗ АСУТП'!AI45</f>
        <v>3.5</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f t="shared" si="63"/>
        <v>3.5</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919"/>
      <c r="B46" s="1913"/>
      <c r="C46" s="103" t="s">
        <v>33</v>
      </c>
      <c r="D46" s="21"/>
      <c r="E46" s="316">
        <f>'АВЗ АСУТП'!G46</f>
        <v>2.5</v>
      </c>
      <c r="F46" s="316">
        <f>'АВЗ АСУТП'!K46</f>
        <v>2.5</v>
      </c>
      <c r="G46" s="316">
        <f>'АВЗ АСУТП'!O46</f>
        <v>2.5</v>
      </c>
      <c r="H46" s="230">
        <f>'АВЗ АСУТП'!S46</f>
        <v>2.5</v>
      </c>
      <c r="I46" s="316">
        <f>'АВЗ АСУТП'!W46</f>
        <v>2.5</v>
      </c>
      <c r="J46" s="230">
        <f>'АВЗ АСУТП'!AA46</f>
        <v>2.5</v>
      </c>
      <c r="K46" s="230">
        <f>'АВЗ АСУТП'!AE46</f>
        <v>2.5</v>
      </c>
      <c r="L46" s="230">
        <f>'АВЗ АСУТП'!AI46</f>
        <v>2.5</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f t="shared" si="63"/>
        <v>2.5</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919"/>
      <c r="B47" s="1913"/>
      <c r="C47" s="103" t="s">
        <v>34</v>
      </c>
      <c r="D47" s="21"/>
      <c r="E47" s="316">
        <f>'АВЗ АСУТП'!G47</f>
        <v>4.5</v>
      </c>
      <c r="F47" s="316">
        <f>'АВЗ АСУТП'!K47</f>
        <v>4.5</v>
      </c>
      <c r="G47" s="316">
        <f>'АВЗ АСУТП'!O47</f>
        <v>4.5</v>
      </c>
      <c r="H47" s="230">
        <f>'АВЗ АСУТП'!S47</f>
        <v>4.5</v>
      </c>
      <c r="I47" s="316">
        <f>'АВЗ АСУТП'!W47</f>
        <v>4.5</v>
      </c>
      <c r="J47" s="230">
        <f>'АВЗ АСУТП'!AA47</f>
        <v>4.5</v>
      </c>
      <c r="K47" s="230">
        <f>'АВЗ АСУТП'!AE47</f>
        <v>4.5</v>
      </c>
      <c r="L47" s="230">
        <f>'АВЗ АСУТП'!AI47</f>
        <v>4.5</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f t="shared" si="63"/>
        <v>4.5</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919" t="s">
        <v>16</v>
      </c>
      <c r="B48" s="1913">
        <f>IF('Тип разраб-ой док-ции'!F21=1,1,0)</f>
        <v>0</v>
      </c>
      <c r="C48" s="103" t="s">
        <v>32</v>
      </c>
      <c r="D48" s="21"/>
      <c r="E48" s="316">
        <f>'АВЗ АСУТП'!G48</f>
        <v>0</v>
      </c>
      <c r="F48" s="316">
        <f>'АВЗ АСУТП'!K48</f>
        <v>0</v>
      </c>
      <c r="G48" s="316">
        <f>'АВЗ АСУТП'!O48</f>
        <v>0</v>
      </c>
      <c r="H48" s="230">
        <f>'АВЗ АСУТП'!S48</f>
        <v>0</v>
      </c>
      <c r="I48" s="316">
        <f>'АВЗ АСУТП'!W48</f>
        <v>0</v>
      </c>
      <c r="J48" s="230">
        <f>'АВЗ АСУТП'!AA48</f>
        <v>0</v>
      </c>
      <c r="K48" s="230">
        <f>'АВЗ АСУТП'!AE48</f>
        <v>0</v>
      </c>
      <c r="L48" s="230">
        <f>'АВЗ АСУТП'!AI48</f>
        <v>0</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f t="shared" si="63"/>
        <v>0</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919"/>
      <c r="B49" s="1913"/>
      <c r="C49" s="103" t="s">
        <v>33</v>
      </c>
      <c r="D49" s="21"/>
      <c r="E49" s="316">
        <f>'АВЗ АСУТП'!G49</f>
        <v>0.5</v>
      </c>
      <c r="F49" s="316">
        <f>'АВЗ АСУТП'!K49</f>
        <v>0.5</v>
      </c>
      <c r="G49" s="316">
        <f>'АВЗ АСУТП'!O49</f>
        <v>0.5</v>
      </c>
      <c r="H49" s="230">
        <f>'АВЗ АСУТП'!S49</f>
        <v>0.5</v>
      </c>
      <c r="I49" s="316">
        <f>'АВЗ АСУТП'!W49</f>
        <v>0.5</v>
      </c>
      <c r="J49" s="230">
        <f>'АВЗ АСУТП'!AA49</f>
        <v>0.5</v>
      </c>
      <c r="K49" s="230">
        <f>'АВЗ АСУТП'!AE49</f>
        <v>0.5</v>
      </c>
      <c r="L49" s="230">
        <f>'АВЗ АСУТП'!AI49</f>
        <v>0.5</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f t="shared" si="63"/>
        <v>0.5</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919"/>
      <c r="B50" s="1913"/>
      <c r="C50" s="103" t="s">
        <v>34</v>
      </c>
      <c r="D50" s="21"/>
      <c r="E50" s="316">
        <f>'АВЗ АСУТП'!G50</f>
        <v>0.5</v>
      </c>
      <c r="F50" s="316">
        <f>'АВЗ АСУТП'!K50</f>
        <v>0.5</v>
      </c>
      <c r="G50" s="316">
        <f>'АВЗ АСУТП'!O50</f>
        <v>0.5</v>
      </c>
      <c r="H50" s="230">
        <f>'АВЗ АСУТП'!S50</f>
        <v>0.5</v>
      </c>
      <c r="I50" s="316">
        <f>'АВЗ АСУТП'!W50</f>
        <v>0.5</v>
      </c>
      <c r="J50" s="230">
        <f>'АВЗ АСУТП'!AA50</f>
        <v>0.5</v>
      </c>
      <c r="K50" s="230">
        <f>'АВЗ АСУТП'!AE50</f>
        <v>0.5</v>
      </c>
      <c r="L50" s="230">
        <f>'АВЗ АСУТП'!AI50</f>
        <v>0.5</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f t="shared" si="63"/>
        <v>0.5</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919" t="s">
        <v>17</v>
      </c>
      <c r="B51" s="1913">
        <f>IF('Тип разраб-ой док-ции'!F22=1,1,0)</f>
        <v>0</v>
      </c>
      <c r="C51" s="103" t="s">
        <v>32</v>
      </c>
      <c r="D51" s="21"/>
      <c r="E51" s="316">
        <f>'АВЗ АСУТП'!G51</f>
        <v>0</v>
      </c>
      <c r="F51" s="316">
        <f>'АВЗ АСУТП'!K51</f>
        <v>0</v>
      </c>
      <c r="G51" s="316">
        <f>'АВЗ АСУТП'!O51</f>
        <v>0</v>
      </c>
      <c r="H51" s="230">
        <f>'АВЗ АСУТП'!S51</f>
        <v>0</v>
      </c>
      <c r="I51" s="316">
        <f>'АВЗ АСУТП'!W51</f>
        <v>0</v>
      </c>
      <c r="J51" s="230">
        <f>'АВЗ АСУТП'!AA51</f>
        <v>0</v>
      </c>
      <c r="K51" s="230">
        <f>'АВЗ АСУТП'!AE51</f>
        <v>0</v>
      </c>
      <c r="L51" s="230">
        <f>'АВЗ АСУТП'!AI51</f>
        <v>0</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f t="shared" si="63"/>
        <v>0</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919"/>
      <c r="B52" s="1913"/>
      <c r="C52" s="103" t="s">
        <v>33</v>
      </c>
      <c r="D52" s="21"/>
      <c r="E52" s="316">
        <f>'АВЗ АСУТП'!G52</f>
        <v>0.5</v>
      </c>
      <c r="F52" s="316">
        <f>'АВЗ АСУТП'!K52</f>
        <v>0.5</v>
      </c>
      <c r="G52" s="316">
        <f>'АВЗ АСУТП'!O52</f>
        <v>0.5</v>
      </c>
      <c r="H52" s="230">
        <f>'АВЗ АСУТП'!S52</f>
        <v>0.5</v>
      </c>
      <c r="I52" s="316">
        <f>'АВЗ АСУТП'!W52</f>
        <v>0.5</v>
      </c>
      <c r="J52" s="230">
        <f>'АВЗ АСУТП'!AA52</f>
        <v>0.5</v>
      </c>
      <c r="K52" s="230">
        <f>'АВЗ АСУТП'!AE52</f>
        <v>0.5</v>
      </c>
      <c r="L52" s="230">
        <f>'АВЗ АСУТП'!AI52</f>
        <v>0.5</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f t="shared" si="63"/>
        <v>0.5</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919"/>
      <c r="B53" s="1913"/>
      <c r="C53" s="103" t="s">
        <v>34</v>
      </c>
      <c r="D53" s="21"/>
      <c r="E53" s="316">
        <f>'АВЗ АСУТП'!G53</f>
        <v>0.5</v>
      </c>
      <c r="F53" s="316">
        <f>'АВЗ АСУТП'!K53</f>
        <v>0.5</v>
      </c>
      <c r="G53" s="316">
        <f>'АВЗ АСУТП'!O53</f>
        <v>0.5</v>
      </c>
      <c r="H53" s="230">
        <f>'АВЗ АСУТП'!S53</f>
        <v>0.5</v>
      </c>
      <c r="I53" s="316">
        <f>'АВЗ АСУТП'!W53</f>
        <v>0.5</v>
      </c>
      <c r="J53" s="230">
        <f>'АВЗ АСУТП'!AA53</f>
        <v>0.5</v>
      </c>
      <c r="K53" s="230">
        <f>'АВЗ АСУТП'!AE53</f>
        <v>0.5</v>
      </c>
      <c r="L53" s="230">
        <f>'АВЗ АСУТП'!AI53</f>
        <v>0.5</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f t="shared" si="63"/>
        <v>0.5</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919" t="s">
        <v>18</v>
      </c>
      <c r="B54" s="1913">
        <f>IF('Тип разраб-ой док-ции'!F23=1,1,0)</f>
        <v>0</v>
      </c>
      <c r="C54" s="103" t="s">
        <v>32</v>
      </c>
      <c r="D54" s="21"/>
      <c r="E54" s="316">
        <f>'АВЗ АСУТП'!G54</f>
        <v>0.25</v>
      </c>
      <c r="F54" s="316">
        <f>'АВЗ АСУТП'!K54</f>
        <v>0.25</v>
      </c>
      <c r="G54" s="316">
        <f>'АВЗ АСУТП'!O54</f>
        <v>0.25</v>
      </c>
      <c r="H54" s="230">
        <f>'АВЗ АСУТП'!S54</f>
        <v>0.25</v>
      </c>
      <c r="I54" s="316">
        <f>'АВЗ АСУТП'!W54</f>
        <v>0.25</v>
      </c>
      <c r="J54" s="230">
        <f>'АВЗ АСУТП'!AA54</f>
        <v>0.25</v>
      </c>
      <c r="K54" s="230">
        <f>'АВЗ АСУТП'!AE54</f>
        <v>0.25</v>
      </c>
      <c r="L54" s="230">
        <f>'АВЗ АСУТП'!AI54</f>
        <v>0.25</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f t="shared" si="63"/>
        <v>0.25</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919"/>
      <c r="B55" s="1913"/>
      <c r="C55" s="103" t="s">
        <v>33</v>
      </c>
      <c r="D55" s="21"/>
      <c r="E55" s="316">
        <f>'АВЗ АСУТП'!G55</f>
        <v>0.25</v>
      </c>
      <c r="F55" s="316">
        <f>'АВЗ АСУТП'!K55</f>
        <v>0.25</v>
      </c>
      <c r="G55" s="316">
        <f>'АВЗ АСУТП'!O55</f>
        <v>0.25</v>
      </c>
      <c r="H55" s="230">
        <f>'АВЗ АСУТП'!S55</f>
        <v>0.25</v>
      </c>
      <c r="I55" s="316">
        <f>'АВЗ АСУТП'!W55</f>
        <v>0.25</v>
      </c>
      <c r="J55" s="230">
        <f>'АВЗ АСУТП'!AA55</f>
        <v>0.25</v>
      </c>
      <c r="K55" s="230">
        <f>'АВЗ АСУТП'!AE55</f>
        <v>0.25</v>
      </c>
      <c r="L55" s="230">
        <f>'АВЗ АСУТП'!AI55</f>
        <v>0.25</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f t="shared" si="63"/>
        <v>0.25</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919"/>
      <c r="B56" s="1913"/>
      <c r="C56" s="103" t="s">
        <v>34</v>
      </c>
      <c r="D56" s="21"/>
      <c r="E56" s="316">
        <f>'АВЗ АСУТП'!G56</f>
        <v>0.25</v>
      </c>
      <c r="F56" s="316">
        <f>'АВЗ АСУТП'!K56</f>
        <v>0.25</v>
      </c>
      <c r="G56" s="316">
        <f>'АВЗ АСУТП'!O56</f>
        <v>0.25</v>
      </c>
      <c r="H56" s="230">
        <f>'АВЗ АСУТП'!S56</f>
        <v>0.25</v>
      </c>
      <c r="I56" s="316">
        <f>'АВЗ АСУТП'!W56</f>
        <v>0.25</v>
      </c>
      <c r="J56" s="230">
        <f>'АВЗ АСУТП'!AA56</f>
        <v>0.25</v>
      </c>
      <c r="K56" s="230">
        <f>'АВЗ АСУТП'!AE56</f>
        <v>0.25</v>
      </c>
      <c r="L56" s="230">
        <f>'АВЗ АСУТП'!AI56</f>
        <v>0.25</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f t="shared" si="63"/>
        <v>0.25</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919" t="s">
        <v>19</v>
      </c>
      <c r="B57" s="1913">
        <f>IF('Тип разраб-ой док-ции'!F24=1,1,0)</f>
        <v>0</v>
      </c>
      <c r="C57" s="103" t="s">
        <v>32</v>
      </c>
      <c r="D57" s="21"/>
      <c r="E57" s="316">
        <f>'АВЗ АСУТП'!G57</f>
        <v>0</v>
      </c>
      <c r="F57" s="316">
        <f>'АВЗ АСУТП'!K57</f>
        <v>0</v>
      </c>
      <c r="G57" s="316">
        <f>'АВЗ АСУТП'!O57</f>
        <v>0</v>
      </c>
      <c r="H57" s="230">
        <f>'АВЗ АСУТП'!S57</f>
        <v>0</v>
      </c>
      <c r="I57" s="316">
        <f>'АВЗ АСУТП'!W57</f>
        <v>0</v>
      </c>
      <c r="J57" s="230">
        <f>'АВЗ АСУТП'!AA57</f>
        <v>0</v>
      </c>
      <c r="K57" s="230">
        <f>'АВЗ АСУТП'!AE57</f>
        <v>0</v>
      </c>
      <c r="L57" s="230">
        <f>'АВЗ АСУТП'!AI57</f>
        <v>0</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f t="shared" si="63"/>
        <v>0</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919"/>
      <c r="B58" s="1913"/>
      <c r="C58" s="103" t="s">
        <v>33</v>
      </c>
      <c r="D58" s="21"/>
      <c r="E58" s="316">
        <f>'АВЗ АСУТП'!G58</f>
        <v>3</v>
      </c>
      <c r="F58" s="316">
        <f>'АВЗ АСУТП'!K58</f>
        <v>3</v>
      </c>
      <c r="G58" s="316">
        <f>'АВЗ АСУТП'!O58</f>
        <v>3</v>
      </c>
      <c r="H58" s="230">
        <f>'АВЗ АСУТП'!S58</f>
        <v>3</v>
      </c>
      <c r="I58" s="316">
        <f>'АВЗ АСУТП'!W58</f>
        <v>3</v>
      </c>
      <c r="J58" s="230">
        <f>'АВЗ АСУТП'!AA58</f>
        <v>3</v>
      </c>
      <c r="K58" s="230">
        <f>'АВЗ АСУТП'!AE58</f>
        <v>3</v>
      </c>
      <c r="L58" s="230">
        <f>'АВЗ АСУТП'!AI58</f>
        <v>3</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f t="shared" si="63"/>
        <v>3</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919"/>
      <c r="B59" s="1913"/>
      <c r="C59" s="103" t="s">
        <v>34</v>
      </c>
      <c r="D59" s="21"/>
      <c r="E59" s="316">
        <f>'АВЗ АСУТП'!G59</f>
        <v>5</v>
      </c>
      <c r="F59" s="316">
        <f>'АВЗ АСУТП'!K59</f>
        <v>5</v>
      </c>
      <c r="G59" s="316">
        <f>'АВЗ АСУТП'!O59</f>
        <v>5</v>
      </c>
      <c r="H59" s="230">
        <f>'АВЗ АСУТП'!S59</f>
        <v>5</v>
      </c>
      <c r="I59" s="316">
        <f>'АВЗ АСУТП'!W59</f>
        <v>5</v>
      </c>
      <c r="J59" s="230">
        <f>'АВЗ АСУТП'!AA59</f>
        <v>5</v>
      </c>
      <c r="K59" s="230">
        <f>'АВЗ АСУТП'!AE59</f>
        <v>5</v>
      </c>
      <c r="L59" s="230">
        <f>'АВЗ АСУТП'!AI59</f>
        <v>5</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f t="shared" si="63"/>
        <v>5</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919" t="s">
        <v>20</v>
      </c>
      <c r="B60" s="1913">
        <f>IF('Тип разраб-ой док-ции'!F25=1,1,0)</f>
        <v>1</v>
      </c>
      <c r="C60" s="103" t="s">
        <v>32</v>
      </c>
      <c r="D60" s="21"/>
      <c r="E60" s="316">
        <f>'АВЗ АСУТП'!G60</f>
        <v>7</v>
      </c>
      <c r="F60" s="316">
        <f>'АВЗ АСУТП'!K60</f>
        <v>7</v>
      </c>
      <c r="G60" s="316">
        <f>'АВЗ АСУТП'!O60</f>
        <v>7</v>
      </c>
      <c r="H60" s="230">
        <f>'АВЗ АСУТП'!S60</f>
        <v>7</v>
      </c>
      <c r="I60" s="316">
        <f>'АВЗ АСУТП'!W60</f>
        <v>7</v>
      </c>
      <c r="J60" s="230">
        <f>'АВЗ АСУТП'!AA60</f>
        <v>7</v>
      </c>
      <c r="K60" s="230">
        <f>'АВЗ АСУТП'!AE60</f>
        <v>7</v>
      </c>
      <c r="L60" s="230">
        <f>'АВЗ АСУТП'!AI60</f>
        <v>7</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f t="shared" si="63"/>
        <v>7</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919"/>
      <c r="B61" s="1913"/>
      <c r="C61" s="103" t="s">
        <v>33</v>
      </c>
      <c r="D61" s="21"/>
      <c r="E61" s="316">
        <f>'АВЗ АСУТП'!G61</f>
        <v>1.5</v>
      </c>
      <c r="F61" s="316">
        <f>'АВЗ АСУТП'!K61</f>
        <v>1.5</v>
      </c>
      <c r="G61" s="316">
        <f>'АВЗ АСУТП'!O61</f>
        <v>1.5</v>
      </c>
      <c r="H61" s="230">
        <f>'АВЗ АСУТП'!S61</f>
        <v>1.5</v>
      </c>
      <c r="I61" s="316">
        <f>'АВЗ АСУТП'!W61</f>
        <v>1.5</v>
      </c>
      <c r="J61" s="230">
        <f>'АВЗ АСУТП'!AA61</f>
        <v>1.5</v>
      </c>
      <c r="K61" s="230">
        <f>'АВЗ АСУТП'!AE61</f>
        <v>1.5</v>
      </c>
      <c r="L61" s="230">
        <f>'АВЗ АСУТП'!AI61</f>
        <v>1.5</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f t="shared" si="63"/>
        <v>1.5</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919"/>
      <c r="B62" s="1913"/>
      <c r="C62" s="103" t="s">
        <v>34</v>
      </c>
      <c r="D62" s="21"/>
      <c r="E62" s="316">
        <f>'АВЗ АСУТП'!G62</f>
        <v>2.5</v>
      </c>
      <c r="F62" s="316">
        <f>'АВЗ АСУТП'!K62</f>
        <v>2.5</v>
      </c>
      <c r="G62" s="316">
        <f>'АВЗ АСУТП'!O62</f>
        <v>2.5</v>
      </c>
      <c r="H62" s="230">
        <f>'АВЗ АСУТП'!S62</f>
        <v>2.5</v>
      </c>
      <c r="I62" s="316">
        <f>'АВЗ АСУТП'!W62</f>
        <v>2.5</v>
      </c>
      <c r="J62" s="230">
        <f>'АВЗ АСУТП'!AA62</f>
        <v>2.5</v>
      </c>
      <c r="K62" s="230">
        <f>'АВЗ АСУТП'!AE62</f>
        <v>2.5</v>
      </c>
      <c r="L62" s="230">
        <f>'АВЗ АСУТП'!AI62</f>
        <v>2.5</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f t="shared" si="63"/>
        <v>2.5</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919" t="s">
        <v>451</v>
      </c>
      <c r="B63" s="1913">
        <f>IF('Тип разраб-ой док-ции'!F26=1,1,0)</f>
        <v>1</v>
      </c>
      <c r="C63" s="103" t="s">
        <v>32</v>
      </c>
      <c r="D63" s="21"/>
      <c r="E63" s="316">
        <f>'АВЗ АСУТП'!G63</f>
        <v>0.25</v>
      </c>
      <c r="F63" s="316">
        <f>'АВЗ АСУТП'!K63</f>
        <v>0.25</v>
      </c>
      <c r="G63" s="316">
        <f>'АВЗ АСУТП'!O63</f>
        <v>0.25</v>
      </c>
      <c r="H63" s="230">
        <f>'АВЗ АСУТП'!S63</f>
        <v>0.25</v>
      </c>
      <c r="I63" s="316">
        <f>'АВЗ АСУТП'!W63</f>
        <v>0.25</v>
      </c>
      <c r="J63" s="230">
        <f>'АВЗ АСУТП'!AA63</f>
        <v>0.25</v>
      </c>
      <c r="K63" s="230">
        <f>'АВЗ АСУТП'!AE63</f>
        <v>0.25</v>
      </c>
      <c r="L63" s="230">
        <f>'АВЗ АСУТП'!AI63</f>
        <v>0.25</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f t="shared" si="63"/>
        <v>0.25</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919"/>
      <c r="B64" s="1913"/>
      <c r="C64" s="103" t="s">
        <v>33</v>
      </c>
      <c r="D64" s="21"/>
      <c r="E64" s="316">
        <f>'АВЗ АСУТП'!G64</f>
        <v>0</v>
      </c>
      <c r="F64" s="316">
        <f>'АВЗ АСУТП'!K64</f>
        <v>0</v>
      </c>
      <c r="G64" s="316">
        <f>'АВЗ АСУТП'!O64</f>
        <v>0</v>
      </c>
      <c r="H64" s="230">
        <f>'АВЗ АСУТП'!S64</f>
        <v>0</v>
      </c>
      <c r="I64" s="316">
        <f>'АВЗ АСУТП'!W64</f>
        <v>0</v>
      </c>
      <c r="J64" s="230">
        <f>'АВЗ АСУТП'!AA64</f>
        <v>0</v>
      </c>
      <c r="K64" s="230">
        <f>'АВЗ АСУТП'!AE64</f>
        <v>0</v>
      </c>
      <c r="L64" s="230">
        <f>'АВЗ АСУТП'!AI64</f>
        <v>0</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f t="shared" si="63"/>
        <v>0</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919"/>
      <c r="B65" s="1913"/>
      <c r="C65" s="103" t="s">
        <v>34</v>
      </c>
      <c r="D65" s="21"/>
      <c r="E65" s="316">
        <f>'АВЗ АСУТП'!G65</f>
        <v>0</v>
      </c>
      <c r="F65" s="316">
        <f>'АВЗ АСУТП'!K65</f>
        <v>0</v>
      </c>
      <c r="G65" s="316">
        <f>'АВЗ АСУТП'!O65</f>
        <v>0</v>
      </c>
      <c r="H65" s="230">
        <f>'АВЗ АСУТП'!S65</f>
        <v>0</v>
      </c>
      <c r="I65" s="316">
        <f>'АВЗ АСУТП'!W65</f>
        <v>0</v>
      </c>
      <c r="J65" s="230">
        <f>'АВЗ АСУТП'!AA65</f>
        <v>0</v>
      </c>
      <c r="K65" s="230">
        <f>'АВЗ АСУТП'!AE65</f>
        <v>0</v>
      </c>
      <c r="L65" s="230">
        <f>'АВЗ АСУТП'!AI65</f>
        <v>0</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f t="shared" si="63"/>
        <v>0</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919" t="s">
        <v>452</v>
      </c>
      <c r="B66" s="1913">
        <f>IF('Тип разраб-ой док-ции'!F27=1,1,0)</f>
        <v>1</v>
      </c>
      <c r="C66" s="103" t="s">
        <v>32</v>
      </c>
      <c r="D66" s="21"/>
      <c r="E66" s="316">
        <f>'АВЗ АСУТП'!G66</f>
        <v>0.25</v>
      </c>
      <c r="F66" s="316">
        <f>'АВЗ АСУТП'!K66</f>
        <v>0.25</v>
      </c>
      <c r="G66" s="316">
        <f>'АВЗ АСУТП'!O66</f>
        <v>0.25</v>
      </c>
      <c r="H66" s="230">
        <f>'АВЗ АСУТП'!S66</f>
        <v>0.25</v>
      </c>
      <c r="I66" s="316">
        <f>'АВЗ АСУТП'!W66</f>
        <v>0.25</v>
      </c>
      <c r="J66" s="230">
        <f>'АВЗ АСУТП'!AA66</f>
        <v>0.25</v>
      </c>
      <c r="K66" s="230">
        <f>'АВЗ АСУТП'!AE66</f>
        <v>0.25</v>
      </c>
      <c r="L66" s="230">
        <f>'АВЗ АСУТП'!AI66</f>
        <v>0.25</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f t="shared" si="63"/>
        <v>0.25</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919"/>
      <c r="B67" s="1913"/>
      <c r="C67" s="103" t="s">
        <v>33</v>
      </c>
      <c r="D67" s="21"/>
      <c r="E67" s="316">
        <f>'АВЗ АСУТП'!G67</f>
        <v>0.25</v>
      </c>
      <c r="F67" s="316">
        <f>'АВЗ АСУТП'!K67</f>
        <v>0.25</v>
      </c>
      <c r="G67" s="316">
        <f>'АВЗ АСУТП'!O67</f>
        <v>0.25</v>
      </c>
      <c r="H67" s="230">
        <f>'АВЗ АСУТП'!S67</f>
        <v>0.25</v>
      </c>
      <c r="I67" s="316">
        <f>'АВЗ АСУТП'!W67</f>
        <v>0.25</v>
      </c>
      <c r="J67" s="230">
        <f>'АВЗ АСУТП'!AA67</f>
        <v>0.25</v>
      </c>
      <c r="K67" s="230">
        <f>'АВЗ АСУТП'!AE67</f>
        <v>0.25</v>
      </c>
      <c r="L67" s="230">
        <f>'АВЗ АСУТП'!AI67</f>
        <v>0.25</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f t="shared" si="63"/>
        <v>0.25</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919"/>
      <c r="B68" s="1913"/>
      <c r="C68" s="103" t="s">
        <v>34</v>
      </c>
      <c r="D68" s="21"/>
      <c r="E68" s="316">
        <f>'АВЗ АСУТП'!G68</f>
        <v>0.25</v>
      </c>
      <c r="F68" s="316">
        <f>'АВЗ АСУТП'!K68</f>
        <v>0.25</v>
      </c>
      <c r="G68" s="316">
        <f>'АВЗ АСУТП'!O68</f>
        <v>0.25</v>
      </c>
      <c r="H68" s="230">
        <f>'АВЗ АСУТП'!S68</f>
        <v>0.25</v>
      </c>
      <c r="I68" s="316">
        <f>'АВЗ АСУТП'!W68</f>
        <v>0.25</v>
      </c>
      <c r="J68" s="230">
        <f>'АВЗ АСУТП'!AA68</f>
        <v>0.25</v>
      </c>
      <c r="K68" s="230">
        <f>'АВЗ АСУТП'!AE68</f>
        <v>0.25</v>
      </c>
      <c r="L68" s="230">
        <f>'АВЗ АСУТП'!AI68</f>
        <v>0.25</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f t="shared" si="63"/>
        <v>0.25</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919" t="s">
        <v>533</v>
      </c>
      <c r="B69" s="1913">
        <f>IF('Тип разраб-ой док-ции'!F28=1,1,0)</f>
        <v>1</v>
      </c>
      <c r="C69" s="103" t="s">
        <v>32</v>
      </c>
      <c r="D69" s="21"/>
      <c r="E69" s="316">
        <f>'АВЗ АСУТП'!G69</f>
        <v>2</v>
      </c>
      <c r="F69" s="316">
        <f>'АВЗ АСУТП'!K69</f>
        <v>2</v>
      </c>
      <c r="G69" s="316">
        <f>'АВЗ АСУТП'!O69</f>
        <v>2</v>
      </c>
      <c r="H69" s="230">
        <f>'АВЗ АСУТП'!S69</f>
        <v>2</v>
      </c>
      <c r="I69" s="316">
        <f>'АВЗ АСУТП'!W69</f>
        <v>2</v>
      </c>
      <c r="J69" s="230">
        <f>'АВЗ АСУТП'!AA69</f>
        <v>2</v>
      </c>
      <c r="K69" s="230">
        <f>'АВЗ АСУТП'!AE69</f>
        <v>2</v>
      </c>
      <c r="L69" s="230">
        <f>'АВЗ АСУТП'!AI69</f>
        <v>2</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f t="shared" si="63"/>
        <v>2</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919"/>
      <c r="B70" s="1913"/>
      <c r="C70" s="103" t="s">
        <v>33</v>
      </c>
      <c r="D70" s="21"/>
      <c r="E70" s="316">
        <f>'АВЗ АСУТП'!G70</f>
        <v>0</v>
      </c>
      <c r="F70" s="316">
        <f>'АВЗ АСУТП'!K70</f>
        <v>0</v>
      </c>
      <c r="G70" s="316">
        <f>'АВЗ АСУТП'!O70</f>
        <v>0</v>
      </c>
      <c r="H70" s="230">
        <f>'АВЗ АСУТП'!S70</f>
        <v>0</v>
      </c>
      <c r="I70" s="316">
        <f>'АВЗ АСУТП'!W70</f>
        <v>0</v>
      </c>
      <c r="J70" s="230">
        <f>'АВЗ АСУТП'!AA70</f>
        <v>0</v>
      </c>
      <c r="K70" s="230">
        <f>'АВЗ АСУТП'!AE70</f>
        <v>0</v>
      </c>
      <c r="L70" s="230">
        <f>'АВЗ АСУТП'!AI70</f>
        <v>0</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f t="shared" si="63"/>
        <v>0</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919"/>
      <c r="B71" s="1913"/>
      <c r="C71" s="103" t="s">
        <v>34</v>
      </c>
      <c r="D71" s="21"/>
      <c r="E71" s="316">
        <f>'АВЗ АСУТП'!G71</f>
        <v>0</v>
      </c>
      <c r="F71" s="316">
        <f>'АВЗ АСУТП'!K71</f>
        <v>0</v>
      </c>
      <c r="G71" s="316">
        <f>'АВЗ АСУТП'!O71</f>
        <v>0</v>
      </c>
      <c r="H71" s="230">
        <f>'АВЗ АСУТП'!S71</f>
        <v>0</v>
      </c>
      <c r="I71" s="316">
        <f>'АВЗ АСУТП'!W71</f>
        <v>0</v>
      </c>
      <c r="J71" s="230">
        <f>'АВЗ АСУТП'!AA71</f>
        <v>0</v>
      </c>
      <c r="K71" s="230">
        <f>'АВЗ АСУТП'!AE71</f>
        <v>0</v>
      </c>
      <c r="L71" s="230">
        <f>'АВЗ АСУТП'!AI71</f>
        <v>0</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f t="shared" si="63"/>
        <v>0</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919" t="s">
        <v>534</v>
      </c>
      <c r="B72" s="1913">
        <f>IF('Тип разраб-ой док-ции'!F29=1,1,0)</f>
        <v>1</v>
      </c>
      <c r="C72" s="103" t="s">
        <v>32</v>
      </c>
      <c r="D72" s="21"/>
      <c r="E72" s="316">
        <f>'АВЗ АСУТП'!G72</f>
        <v>2</v>
      </c>
      <c r="F72" s="316">
        <f>'АВЗ АСУТП'!K72</f>
        <v>2</v>
      </c>
      <c r="G72" s="316">
        <f>'АВЗ АСУТП'!O72</f>
        <v>2</v>
      </c>
      <c r="H72" s="230">
        <f>'АВЗ АСУТП'!S72</f>
        <v>2</v>
      </c>
      <c r="I72" s="316">
        <f>'АВЗ АСУТП'!W72</f>
        <v>2</v>
      </c>
      <c r="J72" s="230">
        <f>'АВЗ АСУТП'!AA72</f>
        <v>2</v>
      </c>
      <c r="K72" s="230">
        <f>'АВЗ АСУТП'!AE72</f>
        <v>2</v>
      </c>
      <c r="L72" s="230">
        <f>'АВЗ АСУТП'!AI72</f>
        <v>2</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f t="shared" si="63"/>
        <v>2</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919"/>
      <c r="B73" s="1913"/>
      <c r="C73" s="103" t="s">
        <v>33</v>
      </c>
      <c r="D73" s="21"/>
      <c r="E73" s="316">
        <f>'АВЗ АСУТП'!G73</f>
        <v>0</v>
      </c>
      <c r="F73" s="316">
        <f>'АВЗ АСУТП'!K73</f>
        <v>0</v>
      </c>
      <c r="G73" s="316">
        <f>'АВЗ АСУТП'!O73</f>
        <v>0</v>
      </c>
      <c r="H73" s="230">
        <f>'АВЗ АСУТП'!S73</f>
        <v>0</v>
      </c>
      <c r="I73" s="316">
        <f>'АВЗ АСУТП'!W73</f>
        <v>0</v>
      </c>
      <c r="J73" s="230">
        <f>'АВЗ АСУТП'!AA73</f>
        <v>0</v>
      </c>
      <c r="K73" s="230">
        <f>'АВЗ АСУТП'!AE73</f>
        <v>0</v>
      </c>
      <c r="L73" s="230">
        <f>'АВЗ АСУТП'!AI73</f>
        <v>0</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f t="shared" si="63"/>
        <v>0</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919"/>
      <c r="B74" s="1913"/>
      <c r="C74" s="103" t="s">
        <v>34</v>
      </c>
      <c r="D74" s="21"/>
      <c r="E74" s="316">
        <f>'АВЗ АСУТП'!G74</f>
        <v>0</v>
      </c>
      <c r="F74" s="316">
        <f>'АВЗ АСУТП'!K74</f>
        <v>0</v>
      </c>
      <c r="G74" s="316">
        <f>'АВЗ АСУТП'!O74</f>
        <v>0</v>
      </c>
      <c r="H74" s="230">
        <f>'АВЗ АСУТП'!S74</f>
        <v>0</v>
      </c>
      <c r="I74" s="316">
        <f>'АВЗ АСУТП'!W74</f>
        <v>0</v>
      </c>
      <c r="J74" s="230">
        <f>'АВЗ АСУТП'!AA74</f>
        <v>0</v>
      </c>
      <c r="K74" s="230">
        <f>'АВЗ АСУТП'!AE74</f>
        <v>0</v>
      </c>
      <c r="L74" s="230">
        <f>'АВЗ АСУТП'!AI74</f>
        <v>0</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f t="shared" si="63"/>
        <v>0</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919" t="s">
        <v>21</v>
      </c>
      <c r="B75" s="1913">
        <f>IF('Тип разраб-ой док-ции'!F30=1,1,0)</f>
        <v>0</v>
      </c>
      <c r="C75" s="103" t="s">
        <v>32</v>
      </c>
      <c r="D75" s="21"/>
      <c r="E75" s="316">
        <f>'АВЗ АСУТП'!G75</f>
        <v>0</v>
      </c>
      <c r="F75" s="316">
        <f>'АВЗ АСУТП'!K75</f>
        <v>0</v>
      </c>
      <c r="G75" s="316">
        <f>'АВЗ АСУТП'!O75</f>
        <v>0</v>
      </c>
      <c r="H75" s="230">
        <f>'АВЗ АСУТП'!S75</f>
        <v>0</v>
      </c>
      <c r="I75" s="316">
        <f>'АВЗ АСУТП'!W75</f>
        <v>0</v>
      </c>
      <c r="J75" s="230">
        <f>'АВЗ АСУТП'!AA75</f>
        <v>0</v>
      </c>
      <c r="K75" s="230">
        <f>'АВЗ АСУТП'!AE75</f>
        <v>0</v>
      </c>
      <c r="L75" s="230">
        <f>'АВЗ АСУТП'!AI75</f>
        <v>0</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f t="shared" si="63"/>
        <v>0</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919"/>
      <c r="B76" s="1913"/>
      <c r="C76" s="103" t="s">
        <v>33</v>
      </c>
      <c r="D76" s="21"/>
      <c r="E76" s="316">
        <f>'АВЗ АСУТП'!G76</f>
        <v>0</v>
      </c>
      <c r="F76" s="316">
        <f>'АВЗ АСУТП'!K76</f>
        <v>0</v>
      </c>
      <c r="G76" s="316">
        <f>'АВЗ АСУТП'!O76</f>
        <v>0</v>
      </c>
      <c r="H76" s="230">
        <f>'АВЗ АСУТП'!S76</f>
        <v>0</v>
      </c>
      <c r="I76" s="316">
        <f>'АВЗ АСУТП'!W76</f>
        <v>0</v>
      </c>
      <c r="J76" s="230">
        <f>'АВЗ АСУТП'!AA76</f>
        <v>0</v>
      </c>
      <c r="K76" s="230">
        <f>'АВЗ АСУТП'!AE76</f>
        <v>0</v>
      </c>
      <c r="L76" s="230">
        <f>'АВЗ АСУТП'!AI76</f>
        <v>0</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f t="shared" si="63"/>
        <v>0</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919"/>
      <c r="B77" s="1913"/>
      <c r="C77" s="103" t="s">
        <v>34</v>
      </c>
      <c r="D77" s="21"/>
      <c r="E77" s="316">
        <f>'АВЗ АСУТП'!G77</f>
        <v>0</v>
      </c>
      <c r="F77" s="316">
        <f>'АВЗ АСУТП'!K77</f>
        <v>0</v>
      </c>
      <c r="G77" s="316">
        <f>'АВЗ АСУТП'!O77</f>
        <v>0</v>
      </c>
      <c r="H77" s="230">
        <f>'АВЗ АСУТП'!S77</f>
        <v>0</v>
      </c>
      <c r="I77" s="316">
        <f>'АВЗ АСУТП'!W77</f>
        <v>0</v>
      </c>
      <c r="J77" s="230">
        <f>'АВЗ АСУТП'!AA77</f>
        <v>0</v>
      </c>
      <c r="K77" s="230">
        <f>'АВЗ АСУТП'!AE77</f>
        <v>0</v>
      </c>
      <c r="L77" s="230">
        <f>'АВЗ АСУТП'!AI77</f>
        <v>0</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f t="shared" si="63"/>
        <v>0</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919" t="s">
        <v>181</v>
      </c>
      <c r="B78" s="1913">
        <f>IF('Тип разраб-ой док-ции'!F31=1,1,0)</f>
        <v>0</v>
      </c>
      <c r="C78" s="103" t="s">
        <v>32</v>
      </c>
      <c r="D78" s="21"/>
      <c r="E78" s="316">
        <f>'АВЗ АСУТП'!G78</f>
        <v>0</v>
      </c>
      <c r="F78" s="316">
        <f>'АВЗ АСУТП'!K78</f>
        <v>0</v>
      </c>
      <c r="G78" s="316">
        <f>'АВЗ АСУТП'!O78</f>
        <v>0</v>
      </c>
      <c r="H78" s="230">
        <f>'АВЗ АСУТП'!S78</f>
        <v>0</v>
      </c>
      <c r="I78" s="316">
        <f>'АВЗ АСУТП'!W78</f>
        <v>0</v>
      </c>
      <c r="J78" s="230">
        <f>'АВЗ АСУТП'!AA78</f>
        <v>0</v>
      </c>
      <c r="K78" s="230">
        <f>'АВЗ АСУТП'!AE78</f>
        <v>0</v>
      </c>
      <c r="L78" s="230">
        <f>'АВЗ АСУТП'!AI78</f>
        <v>0</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f t="shared" si="63"/>
        <v>0</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919"/>
      <c r="B79" s="1913"/>
      <c r="C79" s="103" t="s">
        <v>33</v>
      </c>
      <c r="D79" s="21"/>
      <c r="E79" s="316">
        <f>'АВЗ АСУТП'!G79</f>
        <v>0.5</v>
      </c>
      <c r="F79" s="316">
        <f>'АВЗ АСУТП'!K79</f>
        <v>0.5</v>
      </c>
      <c r="G79" s="316">
        <f>'АВЗ АСУТП'!O79</f>
        <v>0.5</v>
      </c>
      <c r="H79" s="230">
        <f>'АВЗ АСУТП'!S79</f>
        <v>0.5</v>
      </c>
      <c r="I79" s="316">
        <f>'АВЗ АСУТП'!W79</f>
        <v>0.5</v>
      </c>
      <c r="J79" s="230">
        <f>'АВЗ АСУТП'!AA79</f>
        <v>0.5</v>
      </c>
      <c r="K79" s="230">
        <f>'АВЗ АСУТП'!AE79</f>
        <v>0.5</v>
      </c>
      <c r="L79" s="230">
        <f>'АВЗ АСУТП'!AI79</f>
        <v>0.5</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f t="shared" si="63"/>
        <v>0.5</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919"/>
      <c r="B80" s="1913"/>
      <c r="C80" s="103" t="s">
        <v>34</v>
      </c>
      <c r="D80" s="21"/>
      <c r="E80" s="316">
        <f>'АВЗ АСУТП'!G80</f>
        <v>0.5</v>
      </c>
      <c r="F80" s="316">
        <f>'АВЗ АСУТП'!K80</f>
        <v>0.5</v>
      </c>
      <c r="G80" s="316">
        <f>'АВЗ АСУТП'!O80</f>
        <v>0.5</v>
      </c>
      <c r="H80" s="230">
        <f>'АВЗ АСУТП'!S80</f>
        <v>0.5</v>
      </c>
      <c r="I80" s="316">
        <f>'АВЗ АСУТП'!W80</f>
        <v>0.5</v>
      </c>
      <c r="J80" s="230">
        <f>'АВЗ АСУТП'!AA80</f>
        <v>0.5</v>
      </c>
      <c r="K80" s="230">
        <f>'АВЗ АСУТП'!AE80</f>
        <v>0.5</v>
      </c>
      <c r="L80" s="230">
        <f>'АВЗ АСУТП'!AI80</f>
        <v>0.5</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f t="shared" si="63"/>
        <v>0.5</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919" t="s">
        <v>182</v>
      </c>
      <c r="B81" s="1913">
        <f>IF('Тип разраб-ой док-ции'!F32=1,1,0)</f>
        <v>0</v>
      </c>
      <c r="C81" s="103" t="s">
        <v>32</v>
      </c>
      <c r="D81" s="21"/>
      <c r="E81" s="316">
        <f>'АВЗ АСУТП'!G81</f>
        <v>0</v>
      </c>
      <c r="F81" s="316">
        <f>'АВЗ АСУТП'!K81</f>
        <v>0</v>
      </c>
      <c r="G81" s="316">
        <f>'АВЗ АСУТП'!O81</f>
        <v>0</v>
      </c>
      <c r="H81" s="230">
        <f>'АВЗ АСУТП'!S81</f>
        <v>0</v>
      </c>
      <c r="I81" s="316">
        <f>'АВЗ АСУТП'!W81</f>
        <v>0</v>
      </c>
      <c r="J81" s="230">
        <f>'АВЗ АСУТП'!AA81</f>
        <v>0</v>
      </c>
      <c r="K81" s="230">
        <f>'АВЗ АСУТП'!AE81</f>
        <v>0</v>
      </c>
      <c r="L81" s="230">
        <f>'АВЗ АСУТП'!AI81</f>
        <v>0</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f t="shared" si="63"/>
        <v>0</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919"/>
      <c r="B82" s="1913"/>
      <c r="C82" s="103" t="s">
        <v>33</v>
      </c>
      <c r="D82" s="21"/>
      <c r="E82" s="316">
        <f>'АВЗ АСУТП'!G82</f>
        <v>0.5</v>
      </c>
      <c r="F82" s="316">
        <f>'АВЗ АСУТП'!K82</f>
        <v>0.5</v>
      </c>
      <c r="G82" s="316">
        <f>'АВЗ АСУТП'!O82</f>
        <v>0.5</v>
      </c>
      <c r="H82" s="230">
        <f>'АВЗ АСУТП'!S82</f>
        <v>0.5</v>
      </c>
      <c r="I82" s="316">
        <f>'АВЗ АСУТП'!W82</f>
        <v>0.5</v>
      </c>
      <c r="J82" s="230">
        <f>'АВЗ АСУТП'!AA82</f>
        <v>0.5</v>
      </c>
      <c r="K82" s="230">
        <f>'АВЗ АСУТП'!AE82</f>
        <v>0.5</v>
      </c>
      <c r="L82" s="230">
        <f>'АВЗ АСУТП'!AI82</f>
        <v>0.5</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f t="shared" si="63"/>
        <v>0.5</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919"/>
      <c r="B83" s="1913"/>
      <c r="C83" s="103" t="s">
        <v>34</v>
      </c>
      <c r="D83" s="21"/>
      <c r="E83" s="316">
        <f>'АВЗ АСУТП'!G83</f>
        <v>0.5</v>
      </c>
      <c r="F83" s="316">
        <f>'АВЗ АСУТП'!K83</f>
        <v>0.5</v>
      </c>
      <c r="G83" s="316">
        <f>'АВЗ АСУТП'!O83</f>
        <v>0.5</v>
      </c>
      <c r="H83" s="230">
        <f>'АВЗ АСУТП'!S83</f>
        <v>0.5</v>
      </c>
      <c r="I83" s="316">
        <f>'АВЗ АСУТП'!W83</f>
        <v>0.5</v>
      </c>
      <c r="J83" s="230">
        <f>'АВЗ АСУТП'!AA83</f>
        <v>0.5</v>
      </c>
      <c r="K83" s="230">
        <f>'АВЗ АСУТП'!AE83</f>
        <v>0.5</v>
      </c>
      <c r="L83" s="230">
        <f>'АВЗ АСУТП'!AI83</f>
        <v>0.5</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f t="shared" si="63"/>
        <v>0.5</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922" t="s">
        <v>183</v>
      </c>
      <c r="B84" s="1908">
        <f>IF('Тип разраб-ой док-ции'!F33=1,1,0)</f>
        <v>0</v>
      </c>
      <c r="C84" s="103" t="s">
        <v>32</v>
      </c>
      <c r="D84" s="21"/>
      <c r="E84" s="316">
        <f>'АВЗ АСУТП'!G84</f>
        <v>0</v>
      </c>
      <c r="F84" s="316">
        <f>'АВЗ АСУТП'!K84</f>
        <v>0</v>
      </c>
      <c r="G84" s="316">
        <f>'АВЗ АСУТП'!O84</f>
        <v>0</v>
      </c>
      <c r="H84" s="230">
        <f>'АВЗ АСУТП'!S84</f>
        <v>0</v>
      </c>
      <c r="I84" s="316">
        <f>'АВЗ АСУТП'!W84</f>
        <v>0</v>
      </c>
      <c r="J84" s="230">
        <f>'АВЗ АСУТП'!AA84</f>
        <v>0</v>
      </c>
      <c r="K84" s="230">
        <f>'АВЗ АСУТП'!AE84</f>
        <v>0</v>
      </c>
      <c r="L84" s="230">
        <f>'АВЗ АСУТП'!AI84</f>
        <v>0</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f t="shared" si="63"/>
        <v>0</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922"/>
      <c r="B85" s="1908"/>
      <c r="C85" s="103" t="s">
        <v>33</v>
      </c>
      <c r="D85" s="21"/>
      <c r="E85" s="316">
        <f>'АВЗ АСУТП'!G85</f>
        <v>0.25</v>
      </c>
      <c r="F85" s="316">
        <f>'АВЗ АСУТП'!K85</f>
        <v>0.25</v>
      </c>
      <c r="G85" s="316">
        <f>'АВЗ АСУТП'!O85</f>
        <v>0.25</v>
      </c>
      <c r="H85" s="230">
        <f>'АВЗ АСУТП'!S85</f>
        <v>0.25</v>
      </c>
      <c r="I85" s="316">
        <f>'АВЗ АСУТП'!W85</f>
        <v>0.25</v>
      </c>
      <c r="J85" s="230">
        <f>'АВЗ АСУТП'!AA85</f>
        <v>0.25</v>
      </c>
      <c r="K85" s="230">
        <f>'АВЗ АСУТП'!AE85</f>
        <v>0.25</v>
      </c>
      <c r="L85" s="230">
        <f>'АВЗ АСУТП'!AI85</f>
        <v>0.25</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f t="shared" si="63"/>
        <v>0.25</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922"/>
      <c r="B86" s="1909"/>
      <c r="C86" s="470" t="s">
        <v>34</v>
      </c>
      <c r="D86" s="77"/>
      <c r="E86" s="466">
        <f>'АВЗ АСУТП'!G86</f>
        <v>0.25</v>
      </c>
      <c r="F86" s="466">
        <f>'АВЗ АСУТП'!K86</f>
        <v>0.25</v>
      </c>
      <c r="G86" s="466">
        <f>'АВЗ АСУТП'!O86</f>
        <v>0.25</v>
      </c>
      <c r="H86" s="467">
        <f>'АВЗ АСУТП'!S86</f>
        <v>0.25</v>
      </c>
      <c r="I86" s="466">
        <f>'АВЗ АСУТП'!W86</f>
        <v>0.25</v>
      </c>
      <c r="J86" s="467">
        <f>'АВЗ АСУТП'!AA86</f>
        <v>0.25</v>
      </c>
      <c r="K86" s="467">
        <f>'АВЗ АСУТП'!AE86</f>
        <v>0.25</v>
      </c>
      <c r="L86" s="467">
        <f>'АВЗ АСУТП'!AI86</f>
        <v>0.25</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f t="shared" si="63"/>
        <v>0.25</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922" t="s">
        <v>23</v>
      </c>
      <c r="B88" s="1923">
        <f>IF('Тип разраб-ой док-ции'!F35=1,1,0)</f>
        <v>0</v>
      </c>
      <c r="C88" s="325" t="s">
        <v>32</v>
      </c>
      <c r="D88" s="230"/>
      <c r="E88" s="316">
        <f>'АВЗ АСУТП'!G88</f>
        <v>0.25</v>
      </c>
      <c r="F88" s="316">
        <f>'АВЗ АСУТП'!K88</f>
        <v>0.25</v>
      </c>
      <c r="G88" s="316">
        <f>'АВЗ АСУТП'!O88</f>
        <v>0.25</v>
      </c>
      <c r="H88" s="230">
        <f>'АВЗ АСУТП'!S88</f>
        <v>0.25</v>
      </c>
      <c r="I88" s="316">
        <f>'АВЗ АСУТП'!W88</f>
        <v>0.25</v>
      </c>
      <c r="J88" s="230">
        <f>'АВЗ АСУТП'!AA88</f>
        <v>0.25</v>
      </c>
      <c r="K88" s="230">
        <f>'АВЗ АСУТП'!AE88</f>
        <v>0.25</v>
      </c>
      <c r="L88" s="230">
        <f>'АВЗ АСУТП'!AI88</f>
        <v>0.25</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f t="shared" ref="CW88:CW105" si="94">SUMPRODUCT(E88:L88,$E$2:$L$2) + D88</f>
        <v>0.25</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922"/>
      <c r="B89" s="1908"/>
      <c r="C89" s="18" t="s">
        <v>33</v>
      </c>
      <c r="D89" s="21"/>
      <c r="E89" s="316">
        <f>'АВЗ АСУТП'!G89</f>
        <v>0</v>
      </c>
      <c r="F89" s="316">
        <f>'АВЗ АСУТП'!K89</f>
        <v>0</v>
      </c>
      <c r="G89" s="316">
        <f>'АВЗ АСУТП'!O89</f>
        <v>0</v>
      </c>
      <c r="H89" s="230">
        <f>'АВЗ АСУТП'!S89</f>
        <v>0</v>
      </c>
      <c r="I89" s="316">
        <f>'АВЗ АСУТП'!W89</f>
        <v>0</v>
      </c>
      <c r="J89" s="230">
        <f>'АВЗ АСУТП'!AA89</f>
        <v>0</v>
      </c>
      <c r="K89" s="230">
        <f>'АВЗ АСУТП'!AE89</f>
        <v>0</v>
      </c>
      <c r="L89" s="230">
        <f>'АВЗ АСУТП'!AI89</f>
        <v>0</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f t="shared" si="94"/>
        <v>0</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922"/>
      <c r="B90" s="1924"/>
      <c r="C90" s="18" t="s">
        <v>34</v>
      </c>
      <c r="D90" s="21"/>
      <c r="E90" s="316">
        <f>'АВЗ АСУТП'!G90</f>
        <v>0</v>
      </c>
      <c r="F90" s="316">
        <f>'АВЗ АСУТП'!K90</f>
        <v>0</v>
      </c>
      <c r="G90" s="316">
        <f>'АВЗ АСУТП'!O90</f>
        <v>0</v>
      </c>
      <c r="H90" s="230">
        <f>'АВЗ АСУТП'!S90</f>
        <v>0</v>
      </c>
      <c r="I90" s="316">
        <f>'АВЗ АСУТП'!W90</f>
        <v>0</v>
      </c>
      <c r="J90" s="230">
        <f>'АВЗ АСУТП'!AA90</f>
        <v>0</v>
      </c>
      <c r="K90" s="230">
        <f>'АВЗ АСУТП'!AE90</f>
        <v>0</v>
      </c>
      <c r="L90" s="230">
        <f>'АВЗ АСУТП'!AI90</f>
        <v>0</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f t="shared" si="94"/>
        <v>0</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919" t="s">
        <v>24</v>
      </c>
      <c r="B91" s="1908">
        <f>IF('Тип разраб-ой док-ции'!F36=1,1,0)</f>
        <v>1</v>
      </c>
      <c r="C91" s="18" t="s">
        <v>32</v>
      </c>
      <c r="D91" s="21"/>
      <c r="E91" s="316">
        <f>'АВЗ АСУТП'!G91</f>
        <v>10</v>
      </c>
      <c r="F91" s="316">
        <f>'АВЗ АСУТП'!K91</f>
        <v>10</v>
      </c>
      <c r="G91" s="316">
        <f>'АВЗ АСУТП'!O91</f>
        <v>10</v>
      </c>
      <c r="H91" s="230">
        <f>'АВЗ АСУТП'!S91</f>
        <v>10</v>
      </c>
      <c r="I91" s="316">
        <f>'АВЗ АСУТП'!W91</f>
        <v>10</v>
      </c>
      <c r="J91" s="230">
        <f>'АВЗ АСУТП'!AA91</f>
        <v>10</v>
      </c>
      <c r="K91" s="230">
        <f>'АВЗ АСУТП'!AE91</f>
        <v>10</v>
      </c>
      <c r="L91" s="230">
        <f>'АВЗ АСУТП'!AI91</f>
        <v>10</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f t="shared" si="94"/>
        <v>10</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919"/>
      <c r="B92" s="1908"/>
      <c r="C92" s="18" t="s">
        <v>33</v>
      </c>
      <c r="D92" s="21"/>
      <c r="E92" s="316">
        <f>'АВЗ АСУТП'!G92</f>
        <v>1.5</v>
      </c>
      <c r="F92" s="316">
        <f>'АВЗ АСУТП'!K92</f>
        <v>1.5</v>
      </c>
      <c r="G92" s="316">
        <f>'АВЗ АСУТП'!O92</f>
        <v>1.5</v>
      </c>
      <c r="H92" s="230">
        <f>'АВЗ АСУТП'!S92</f>
        <v>1.5</v>
      </c>
      <c r="I92" s="316">
        <f>'АВЗ АСУТП'!W92</f>
        <v>1.5</v>
      </c>
      <c r="J92" s="230">
        <f>'АВЗ АСУТП'!AA92</f>
        <v>1.5</v>
      </c>
      <c r="K92" s="230">
        <f>'АВЗ АСУТП'!AE92</f>
        <v>1.5</v>
      </c>
      <c r="L92" s="230">
        <f>'АВЗ АСУТП'!AI92</f>
        <v>1.5</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f t="shared" si="94"/>
        <v>1.5</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919"/>
      <c r="B93" s="1924"/>
      <c r="C93" s="18" t="s">
        <v>34</v>
      </c>
      <c r="D93" s="21"/>
      <c r="E93" s="316">
        <f>'АВЗ АСУТП'!G93</f>
        <v>2.5</v>
      </c>
      <c r="F93" s="316">
        <f>'АВЗ АСУТП'!K93</f>
        <v>2.5</v>
      </c>
      <c r="G93" s="316">
        <f>'АВЗ АСУТП'!O93</f>
        <v>2.5</v>
      </c>
      <c r="H93" s="230">
        <f>'АВЗ АСУТП'!S93</f>
        <v>2.5</v>
      </c>
      <c r="I93" s="316">
        <f>'АВЗ АСУТП'!W93</f>
        <v>2.5</v>
      </c>
      <c r="J93" s="230">
        <f>'АВЗ АСУТП'!AA93</f>
        <v>2.5</v>
      </c>
      <c r="K93" s="230">
        <f>'АВЗ АСУТП'!AE93</f>
        <v>2.5</v>
      </c>
      <c r="L93" s="230">
        <f>'АВЗ АСУТП'!AI93</f>
        <v>2.5</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f t="shared" si="94"/>
        <v>2.5</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919" t="s">
        <v>25</v>
      </c>
      <c r="B94" s="1908">
        <f>IF('Тип разраб-ой док-ции'!F37=1,1,0)</f>
        <v>1</v>
      </c>
      <c r="C94" s="18" t="s">
        <v>32</v>
      </c>
      <c r="D94" s="21"/>
      <c r="E94" s="316">
        <f>'АВЗ АСУТП'!G94</f>
        <v>6</v>
      </c>
      <c r="F94" s="316">
        <f>'АВЗ АСУТП'!K94</f>
        <v>6</v>
      </c>
      <c r="G94" s="316">
        <f>'АВЗ АСУТП'!O94</f>
        <v>6</v>
      </c>
      <c r="H94" s="230">
        <f>'АВЗ АСУТП'!S94</f>
        <v>6</v>
      </c>
      <c r="I94" s="316">
        <f>'АВЗ АСУТП'!W94</f>
        <v>6</v>
      </c>
      <c r="J94" s="230">
        <f>'АВЗ АСУТП'!AA94</f>
        <v>6</v>
      </c>
      <c r="K94" s="230">
        <f>'АВЗ АСУТП'!AE94</f>
        <v>6</v>
      </c>
      <c r="L94" s="230">
        <f>'АВЗ АСУТП'!AI94</f>
        <v>6</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f t="shared" si="94"/>
        <v>6</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919"/>
      <c r="B95" s="1908"/>
      <c r="C95" s="18" t="s">
        <v>33</v>
      </c>
      <c r="D95" s="21"/>
      <c r="E95" s="316">
        <f>'АВЗ АСУТП'!G95</f>
        <v>1.5</v>
      </c>
      <c r="F95" s="316">
        <f>'АВЗ АСУТП'!K95</f>
        <v>1.5</v>
      </c>
      <c r="G95" s="316">
        <f>'АВЗ АСУТП'!O95</f>
        <v>1.5</v>
      </c>
      <c r="H95" s="230">
        <f>'АВЗ АСУТП'!S95</f>
        <v>1.5</v>
      </c>
      <c r="I95" s="316">
        <f>'АВЗ АСУТП'!W95</f>
        <v>1.5</v>
      </c>
      <c r="J95" s="230">
        <f>'АВЗ АСУТП'!AA95</f>
        <v>1.5</v>
      </c>
      <c r="K95" s="230">
        <f>'АВЗ АСУТП'!AE95</f>
        <v>1.5</v>
      </c>
      <c r="L95" s="230">
        <f>'АВЗ АСУТП'!AI95</f>
        <v>1.5</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f t="shared" si="94"/>
        <v>1.5</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919"/>
      <c r="B96" s="1924"/>
      <c r="C96" s="18" t="s">
        <v>34</v>
      </c>
      <c r="D96" s="21"/>
      <c r="E96" s="316">
        <f>'АВЗ АСУТП'!G96</f>
        <v>2.5</v>
      </c>
      <c r="F96" s="316">
        <f>'АВЗ АСУТП'!K96</f>
        <v>2.5</v>
      </c>
      <c r="G96" s="316">
        <f>'АВЗ АСУТП'!O96</f>
        <v>2.5</v>
      </c>
      <c r="H96" s="230">
        <f>'АВЗ АСУТП'!S96</f>
        <v>2.5</v>
      </c>
      <c r="I96" s="316">
        <f>'АВЗ АСУТП'!W96</f>
        <v>2.5</v>
      </c>
      <c r="J96" s="230">
        <f>'АВЗ АСУТП'!AA96</f>
        <v>2.5</v>
      </c>
      <c r="K96" s="230">
        <f>'АВЗ АСУТП'!AE96</f>
        <v>2.5</v>
      </c>
      <c r="L96" s="230">
        <f>'АВЗ АСУТП'!AI96</f>
        <v>2.5</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f t="shared" si="94"/>
        <v>2.5</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919" t="s">
        <v>26</v>
      </c>
      <c r="B97" s="1908">
        <f>IF('Тип разраб-ой док-ции'!F38=1,1,0)</f>
        <v>0</v>
      </c>
      <c r="C97" s="18" t="s">
        <v>32</v>
      </c>
      <c r="D97" s="21"/>
      <c r="E97" s="316">
        <f>'АВЗ АСУТП'!G97</f>
        <v>6</v>
      </c>
      <c r="F97" s="316">
        <f>'АВЗ АСУТП'!K97</f>
        <v>6</v>
      </c>
      <c r="G97" s="316">
        <f>'АВЗ АСУТП'!O97</f>
        <v>6</v>
      </c>
      <c r="H97" s="230">
        <f>'АВЗ АСУТП'!S97</f>
        <v>6</v>
      </c>
      <c r="I97" s="316">
        <f>'АВЗ АСУТП'!W97</f>
        <v>6</v>
      </c>
      <c r="J97" s="230">
        <f>'АВЗ АСУТП'!AA97</f>
        <v>6</v>
      </c>
      <c r="K97" s="230">
        <f>'АВЗ АСУТП'!AE97</f>
        <v>6</v>
      </c>
      <c r="L97" s="230">
        <f>'АВЗ АСУТП'!AI97</f>
        <v>6</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f t="shared" si="94"/>
        <v>6</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919"/>
      <c r="B98" s="1908"/>
      <c r="C98" s="18" t="s">
        <v>33</v>
      </c>
      <c r="D98" s="21"/>
      <c r="E98" s="316">
        <f>'АВЗ АСУТП'!G98</f>
        <v>1</v>
      </c>
      <c r="F98" s="316">
        <f>'АВЗ АСУТП'!K98</f>
        <v>1</v>
      </c>
      <c r="G98" s="316">
        <f>'АВЗ АСУТП'!O98</f>
        <v>1</v>
      </c>
      <c r="H98" s="230">
        <f>'АВЗ АСУТП'!S98</f>
        <v>1</v>
      </c>
      <c r="I98" s="316">
        <f>'АВЗ АСУТП'!W98</f>
        <v>1</v>
      </c>
      <c r="J98" s="230">
        <f>'АВЗ АСУТП'!AA98</f>
        <v>1</v>
      </c>
      <c r="K98" s="230">
        <f>'АВЗ АСУТП'!AE98</f>
        <v>1</v>
      </c>
      <c r="L98" s="230">
        <f>'АВЗ АСУТП'!AI98</f>
        <v>1</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f t="shared" si="94"/>
        <v>1</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919"/>
      <c r="B99" s="1924"/>
      <c r="C99" s="18" t="s">
        <v>34</v>
      </c>
      <c r="D99" s="21"/>
      <c r="E99" s="316">
        <f>'АВЗ АСУТП'!G99</f>
        <v>2</v>
      </c>
      <c r="F99" s="316">
        <f>'АВЗ АСУТП'!K99</f>
        <v>2</v>
      </c>
      <c r="G99" s="316">
        <f>'АВЗ АСУТП'!O99</f>
        <v>2</v>
      </c>
      <c r="H99" s="230">
        <f>'АВЗ АСУТП'!S99</f>
        <v>2</v>
      </c>
      <c r="I99" s="316">
        <f>'АВЗ АСУТП'!W99</f>
        <v>2</v>
      </c>
      <c r="J99" s="230">
        <f>'АВЗ АСУТП'!AA99</f>
        <v>2</v>
      </c>
      <c r="K99" s="230">
        <f>'АВЗ АСУТП'!AE99</f>
        <v>2</v>
      </c>
      <c r="L99" s="230">
        <f>'АВЗ АСУТП'!AI99</f>
        <v>2</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f t="shared" si="94"/>
        <v>2</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919" t="s">
        <v>27</v>
      </c>
      <c r="B100" s="1908">
        <f>IF('Тип разраб-ой док-ции'!F39=1,1,0)</f>
        <v>0</v>
      </c>
      <c r="C100" s="18" t="s">
        <v>32</v>
      </c>
      <c r="D100" s="21"/>
      <c r="E100" s="316">
        <f>'АВЗ АСУТП'!G100</f>
        <v>2</v>
      </c>
      <c r="F100" s="316">
        <f>'АВЗ АСУТП'!K100</f>
        <v>2</v>
      </c>
      <c r="G100" s="316">
        <f>'АВЗ АСУТП'!O100</f>
        <v>2</v>
      </c>
      <c r="H100" s="230">
        <f>'АВЗ АСУТП'!S100</f>
        <v>2</v>
      </c>
      <c r="I100" s="316">
        <f>'АВЗ АСУТП'!W100</f>
        <v>2</v>
      </c>
      <c r="J100" s="230">
        <f>'АВЗ АСУТП'!AA100</f>
        <v>2</v>
      </c>
      <c r="K100" s="230">
        <f>'АВЗ АСУТП'!AE100</f>
        <v>2</v>
      </c>
      <c r="L100" s="230">
        <f>'АВЗ АСУТП'!AI100</f>
        <v>2</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f t="shared" si="94"/>
        <v>2</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919"/>
      <c r="B101" s="1908"/>
      <c r="C101" s="18" t="s">
        <v>33</v>
      </c>
      <c r="D101" s="21"/>
      <c r="E101" s="316">
        <f>'АВЗ АСУТП'!G101</f>
        <v>1</v>
      </c>
      <c r="F101" s="316">
        <f>'АВЗ АСУТП'!K101</f>
        <v>1</v>
      </c>
      <c r="G101" s="316">
        <f>'АВЗ АСУТП'!O101</f>
        <v>1</v>
      </c>
      <c r="H101" s="230">
        <f>'АВЗ АСУТП'!S101</f>
        <v>1</v>
      </c>
      <c r="I101" s="316">
        <f>'АВЗ АСУТП'!W101</f>
        <v>1</v>
      </c>
      <c r="J101" s="230">
        <f>'АВЗ АСУТП'!AA101</f>
        <v>1</v>
      </c>
      <c r="K101" s="230">
        <f>'АВЗ АСУТП'!AE101</f>
        <v>1</v>
      </c>
      <c r="L101" s="230">
        <f>'АВЗ АСУТП'!AI101</f>
        <v>1</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f t="shared" si="94"/>
        <v>1</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919"/>
      <c r="B102" s="1924"/>
      <c r="C102" s="18" t="s">
        <v>34</v>
      </c>
      <c r="D102" s="21"/>
      <c r="E102" s="316">
        <f>'АВЗ АСУТП'!G102</f>
        <v>2</v>
      </c>
      <c r="F102" s="316">
        <f>'АВЗ АСУТП'!K102</f>
        <v>2</v>
      </c>
      <c r="G102" s="316">
        <f>'АВЗ АСУТП'!O102</f>
        <v>2</v>
      </c>
      <c r="H102" s="230">
        <f>'АВЗ АСУТП'!S102</f>
        <v>2</v>
      </c>
      <c r="I102" s="316">
        <f>'АВЗ АСУТП'!W102</f>
        <v>2</v>
      </c>
      <c r="J102" s="230">
        <f>'АВЗ АСУТП'!AA102</f>
        <v>2</v>
      </c>
      <c r="K102" s="230">
        <f>'АВЗ АСУТП'!AE102</f>
        <v>2</v>
      </c>
      <c r="L102" s="230">
        <f>'АВЗ АСУТП'!AI102</f>
        <v>2</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f t="shared" si="94"/>
        <v>2</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922" t="s">
        <v>28</v>
      </c>
      <c r="B103" s="1908">
        <f>IF('Тип разраб-ой док-ции'!F40=1,1,0)</f>
        <v>0</v>
      </c>
      <c r="C103" s="18" t="s">
        <v>32</v>
      </c>
      <c r="D103" s="21"/>
      <c r="E103" s="316">
        <f>'АВЗ АСУТП'!G103</f>
        <v>3</v>
      </c>
      <c r="F103" s="316">
        <f>'АВЗ АСУТП'!K103</f>
        <v>3</v>
      </c>
      <c r="G103" s="316">
        <f>'АВЗ АСУТП'!O103</f>
        <v>3</v>
      </c>
      <c r="H103" s="230">
        <f>'АВЗ АСУТП'!S103</f>
        <v>3</v>
      </c>
      <c r="I103" s="316">
        <f>'АВЗ АСУТП'!W103</f>
        <v>3</v>
      </c>
      <c r="J103" s="230">
        <f>'АВЗ АСУТП'!AA103</f>
        <v>3</v>
      </c>
      <c r="K103" s="230">
        <f>'АВЗ АСУТП'!AE103</f>
        <v>3</v>
      </c>
      <c r="L103" s="230">
        <f>'АВЗ АСУТП'!AI103</f>
        <v>3</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f t="shared" si="94"/>
        <v>3</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922"/>
      <c r="B104" s="1908"/>
      <c r="C104" s="18" t="s">
        <v>33</v>
      </c>
      <c r="D104" s="21"/>
      <c r="E104" s="316">
        <f>'АВЗ АСУТП'!G104</f>
        <v>1</v>
      </c>
      <c r="F104" s="316">
        <f>'АВЗ АСУТП'!K104</f>
        <v>1</v>
      </c>
      <c r="G104" s="316">
        <f>'АВЗ АСУТП'!O104</f>
        <v>1</v>
      </c>
      <c r="H104" s="230">
        <f>'АВЗ АСУТП'!S104</f>
        <v>1</v>
      </c>
      <c r="I104" s="316">
        <f>'АВЗ АСУТП'!W104</f>
        <v>1</v>
      </c>
      <c r="J104" s="230">
        <f>'АВЗ АСУТП'!AA104</f>
        <v>1</v>
      </c>
      <c r="K104" s="230">
        <f>'АВЗ АСУТП'!AE104</f>
        <v>1</v>
      </c>
      <c r="L104" s="230">
        <f>'АВЗ АСУТП'!AI104</f>
        <v>1</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f t="shared" si="94"/>
        <v>1</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922"/>
      <c r="B105" s="1909"/>
      <c r="C105" s="81" t="s">
        <v>34</v>
      </c>
      <c r="D105" s="77"/>
      <c r="E105" s="466">
        <f>'АВЗ АСУТП'!G105</f>
        <v>2</v>
      </c>
      <c r="F105" s="466">
        <f>'АВЗ АСУТП'!K105</f>
        <v>2</v>
      </c>
      <c r="G105" s="466">
        <f>'АВЗ АСУТП'!O105</f>
        <v>2</v>
      </c>
      <c r="H105" s="467">
        <f>'АВЗ АСУТП'!S105</f>
        <v>2</v>
      </c>
      <c r="I105" s="466">
        <f>'АВЗ АСУТП'!W105</f>
        <v>2</v>
      </c>
      <c r="J105" s="467">
        <f>'АВЗ АСУТП'!AA105</f>
        <v>2</v>
      </c>
      <c r="K105" s="467">
        <f>'АВЗ АСУТП'!AE105</f>
        <v>2</v>
      </c>
      <c r="L105" s="467">
        <f>'АВЗ АСУТП'!AI105</f>
        <v>2</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f t="shared" si="94"/>
        <v>2</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921" t="s">
        <v>447</v>
      </c>
      <c r="B107" s="1926" t="s">
        <v>75</v>
      </c>
      <c r="C107" s="471" t="s">
        <v>32</v>
      </c>
      <c r="D107" s="106"/>
      <c r="E107" s="683">
        <f>$B$8*E8+$B$31*E31+$B$42*E42</f>
        <v>3.5</v>
      </c>
      <c r="F107" s="854">
        <f t="shared" ref="F107:BK107" si="124">$B$8*F8+$B$31*F31+$B$42*F42</f>
        <v>3.5</v>
      </c>
      <c r="G107" s="683">
        <f t="shared" si="124"/>
        <v>3.5</v>
      </c>
      <c r="H107" s="854">
        <f t="shared" si="124"/>
        <v>3.5</v>
      </c>
      <c r="I107" s="683">
        <f t="shared" si="124"/>
        <v>3.5</v>
      </c>
      <c r="J107" s="854">
        <f t="shared" si="124"/>
        <v>3.5</v>
      </c>
      <c r="K107" s="683">
        <f t="shared" si="124"/>
        <v>3.5</v>
      </c>
      <c r="L107" s="854">
        <f t="shared" si="124"/>
        <v>3.5</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922"/>
      <c r="B108" s="1908"/>
      <c r="C108" s="18" t="s">
        <v>33</v>
      </c>
      <c r="D108" s="22"/>
      <c r="E108" s="619">
        <f>$B$8*E9+$B$31*E32+$B$42*E43</f>
        <v>0.75</v>
      </c>
      <c r="F108" s="807">
        <f t="shared" ref="F108:BK108" si="129">$B$8*F9+$B$31*F32+$B$42*F43</f>
        <v>0.75</v>
      </c>
      <c r="G108" s="619">
        <f t="shared" si="129"/>
        <v>0.75</v>
      </c>
      <c r="H108" s="807">
        <f t="shared" si="129"/>
        <v>0.75</v>
      </c>
      <c r="I108" s="619">
        <f t="shared" si="129"/>
        <v>0.75</v>
      </c>
      <c r="J108" s="807">
        <f t="shared" si="129"/>
        <v>0.75</v>
      </c>
      <c r="K108" s="619">
        <f t="shared" si="129"/>
        <v>0.75</v>
      </c>
      <c r="L108" s="807">
        <f t="shared" si="129"/>
        <v>0.75</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922"/>
      <c r="B109" s="1924"/>
      <c r="C109" s="18" t="s">
        <v>34</v>
      </c>
      <c r="D109" s="22"/>
      <c r="E109" s="619">
        <f>$B$8*E10+$B$31*E33+$B$42*E44</f>
        <v>0.75</v>
      </c>
      <c r="F109" s="807">
        <f t="shared" ref="F109:BK109" si="133">$B$8*F10+$B$31*F33+$B$42*F44</f>
        <v>0.75</v>
      </c>
      <c r="G109" s="619">
        <f t="shared" si="133"/>
        <v>0.75</v>
      </c>
      <c r="H109" s="807">
        <f t="shared" si="133"/>
        <v>0.75</v>
      </c>
      <c r="I109" s="619">
        <f t="shared" si="133"/>
        <v>0.75</v>
      </c>
      <c r="J109" s="807">
        <f t="shared" si="133"/>
        <v>0.75</v>
      </c>
      <c r="K109" s="619">
        <f t="shared" si="133"/>
        <v>0.75</v>
      </c>
      <c r="L109" s="807">
        <f t="shared" si="133"/>
        <v>0.75</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905" t="s">
        <v>1</v>
      </c>
      <c r="B110" s="1925" t="s">
        <v>75</v>
      </c>
      <c r="C110" s="18" t="s">
        <v>32</v>
      </c>
      <c r="D110" s="22"/>
      <c r="E110" s="619">
        <f>$B$5*E5+$B$12*E12+$B$31*E31+$B$34*E34</f>
        <v>2.5</v>
      </c>
      <c r="F110" s="807">
        <f t="shared" ref="F110:BK111" si="137">$B$5*F5+$B$12*F12+$B$31*F31+$B$34*F34</f>
        <v>2.5</v>
      </c>
      <c r="G110" s="619">
        <f t="shared" si="137"/>
        <v>2.5</v>
      </c>
      <c r="H110" s="807">
        <f t="shared" si="137"/>
        <v>2.5</v>
      </c>
      <c r="I110" s="619">
        <f t="shared" si="137"/>
        <v>2.5</v>
      </c>
      <c r="J110" s="807">
        <f t="shared" si="137"/>
        <v>2.5</v>
      </c>
      <c r="K110" s="619">
        <f t="shared" si="137"/>
        <v>2.5</v>
      </c>
      <c r="L110" s="807">
        <f t="shared" si="137"/>
        <v>2.5</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905"/>
      <c r="B111" s="1908"/>
      <c r="C111" s="18" t="s">
        <v>33</v>
      </c>
      <c r="D111" s="22"/>
      <c r="E111" s="230">
        <f t="shared" ref="E111:T112" si="142">$B$5*E6+$B$12*E13+$B$31*E32+$B$34*E35</f>
        <v>1.75</v>
      </c>
      <c r="F111" s="474">
        <f t="shared" si="142"/>
        <v>1.75</v>
      </c>
      <c r="G111" s="230">
        <f t="shared" si="142"/>
        <v>1.75</v>
      </c>
      <c r="H111" s="474">
        <f t="shared" si="142"/>
        <v>1.75</v>
      </c>
      <c r="I111" s="230">
        <f t="shared" si="142"/>
        <v>1.75</v>
      </c>
      <c r="J111" s="474">
        <f t="shared" si="142"/>
        <v>1.75</v>
      </c>
      <c r="K111" s="230">
        <f t="shared" si="142"/>
        <v>1.75</v>
      </c>
      <c r="L111" s="474">
        <f t="shared" si="142"/>
        <v>1.75</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905"/>
      <c r="B112" s="1924"/>
      <c r="C112" s="18" t="s">
        <v>34</v>
      </c>
      <c r="D112" s="22"/>
      <c r="E112" s="467">
        <f t="shared" si="142"/>
        <v>2.25</v>
      </c>
      <c r="F112" s="855">
        <f t="shared" ref="F112:BK112" si="145">$B$5*F7+$B$12*F14+$B$31*F33+$B$34*F36</f>
        <v>2.25</v>
      </c>
      <c r="G112" s="467">
        <f t="shared" si="145"/>
        <v>2.25</v>
      </c>
      <c r="H112" s="855">
        <f t="shared" si="145"/>
        <v>2.25</v>
      </c>
      <c r="I112" s="467">
        <f t="shared" si="145"/>
        <v>2.25</v>
      </c>
      <c r="J112" s="855">
        <f t="shared" si="145"/>
        <v>2.25</v>
      </c>
      <c r="K112" s="467">
        <f t="shared" si="145"/>
        <v>2.25</v>
      </c>
      <c r="L112" s="855">
        <f t="shared" si="145"/>
        <v>2.25</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905" t="s">
        <v>11</v>
      </c>
      <c r="B113" s="1925" t="s">
        <v>75</v>
      </c>
      <c r="C113" s="18" t="s">
        <v>32</v>
      </c>
      <c r="D113" s="817"/>
      <c r="E113" s="619">
        <f>$B$5*E5+$B$16*E16+$B$22*E22+$B$25*E25+$B$28*E28+$B$31*E31+$B$34*E34+$B$42*E42+$B$45*E45+$B$63*E63+$B$66*E66+$B$69*E69+$B$72*E72+$B$91*E91+$B$94*E94+$B$60*E60</f>
        <v>40.75</v>
      </c>
      <c r="F113" s="619">
        <f t="shared" ref="F113:BK114" si="148">$B$5*F5+$B$16*F16+$B$22*F22+$B$25*F25+$B$28*F28+$B$31*F31+$B$34*F34+$B$42*F42+$B$45*F45+$B$63*F63+$B$66*F66+$B$69*F69+$B$72*F72+$B$91*F91+$B$94*F94+$B$60*F60</f>
        <v>40.75</v>
      </c>
      <c r="G113" s="619">
        <f t="shared" si="148"/>
        <v>40.75</v>
      </c>
      <c r="H113" s="619">
        <f t="shared" si="148"/>
        <v>40.75</v>
      </c>
      <c r="I113" s="619">
        <f t="shared" si="148"/>
        <v>40.75</v>
      </c>
      <c r="J113" s="619">
        <f t="shared" si="148"/>
        <v>40.75</v>
      </c>
      <c r="K113" s="619">
        <f t="shared" si="148"/>
        <v>40.75</v>
      </c>
      <c r="L113" s="619">
        <f t="shared" si="148"/>
        <v>40.75</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905"/>
      <c r="B114" s="1908"/>
      <c r="C114" s="18" t="s">
        <v>33</v>
      </c>
      <c r="D114" s="817"/>
      <c r="E114" s="619">
        <f t="shared" ref="E114:T114" si="153">$B$5*E6+$B$16*E17+$B$22*E23+$B$25*E26+$B$28*E29+$B$31*E32+$B$34*E35+$B$42*E43+$B$45*E46+$B$63*E64+$B$66*E67+$B$69*E70+$B$72*E73+$B$91*E92+$B$94*E95+$B$60*E61</f>
        <v>17</v>
      </c>
      <c r="F114" s="619">
        <f t="shared" si="153"/>
        <v>17</v>
      </c>
      <c r="G114" s="619">
        <f t="shared" si="153"/>
        <v>17</v>
      </c>
      <c r="H114" s="619">
        <f t="shared" si="153"/>
        <v>17</v>
      </c>
      <c r="I114" s="619">
        <f t="shared" si="153"/>
        <v>17</v>
      </c>
      <c r="J114" s="619">
        <f t="shared" si="153"/>
        <v>17</v>
      </c>
      <c r="K114" s="619">
        <f t="shared" si="153"/>
        <v>17</v>
      </c>
      <c r="L114" s="619">
        <f t="shared" si="153"/>
        <v>17</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905"/>
      <c r="B115" s="1924"/>
      <c r="C115" s="18" t="s">
        <v>34</v>
      </c>
      <c r="D115" s="817"/>
      <c r="E115" s="619">
        <f>$B$5*E7+$B$16*E18+$B$22*E24+$B$25*E27+$B$28*E30+$B$31*E33+$B$34*E36+$B$42*E44+$B$45*E47+$B$63*E65+$B$66*E68+$B$69*E71+$B$72*E74+$B$91*E93+$B$94*E96+$B$60*E62</f>
        <v>27.5</v>
      </c>
      <c r="F115" s="619">
        <f t="shared" ref="F115:BK115" si="156">$B$5*F7+$B$16*F18+$B$22*F24+$B$25*F27+$B$28*F30+$B$31*F33+$B$34*F36+$B$42*F44+$B$45*F47+$B$63*F65+$B$66*F68+$B$69*F71+$B$72*F74+$B$91*F93+$B$94*F96+$B$60*F62</f>
        <v>27.5</v>
      </c>
      <c r="G115" s="619">
        <f t="shared" si="156"/>
        <v>27.5</v>
      </c>
      <c r="H115" s="619">
        <f t="shared" si="156"/>
        <v>27.5</v>
      </c>
      <c r="I115" s="619">
        <f t="shared" si="156"/>
        <v>27.5</v>
      </c>
      <c r="J115" s="619">
        <f t="shared" si="156"/>
        <v>27.5</v>
      </c>
      <c r="K115" s="619">
        <f t="shared" si="156"/>
        <v>27.5</v>
      </c>
      <c r="L115" s="619">
        <f t="shared" si="156"/>
        <v>27.5</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904" t="s">
        <v>3</v>
      </c>
      <c r="B116" s="1907" t="s">
        <v>75</v>
      </c>
      <c r="C116" s="325" t="s">
        <v>32</v>
      </c>
      <c r="D116" s="324"/>
      <c r="E116" s="230">
        <f t="shared" ref="E116:F118" si="159">$B$5*E5+$B$16*E16+$B$22*E22+$B$25*E25+$B$28*E28+$B$31*E31+$B$34*E34+$B$42*E42</f>
        <v>9.75</v>
      </c>
      <c r="F116" s="230">
        <f t="shared" si="159"/>
        <v>9.75</v>
      </c>
      <c r="G116" s="230">
        <f t="shared" ref="G116:BR116" si="160">$B$5*G5+$B$16*G16+$B$22*G22+$B$25*G25+$B$28*G28+$B$31*G31+$B$34*G34+$B$42*G42</f>
        <v>9.75</v>
      </c>
      <c r="H116" s="230">
        <f t="shared" si="160"/>
        <v>9.75</v>
      </c>
      <c r="I116" s="230">
        <f t="shared" si="160"/>
        <v>9.75</v>
      </c>
      <c r="J116" s="230">
        <f t="shared" si="160"/>
        <v>9.75</v>
      </c>
      <c r="K116" s="230">
        <f t="shared" si="160"/>
        <v>9.75</v>
      </c>
      <c r="L116" s="230">
        <f t="shared" si="160"/>
        <v>9.75</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905"/>
      <c r="B117" s="1908"/>
      <c r="C117" s="18" t="s">
        <v>33</v>
      </c>
      <c r="D117" s="817"/>
      <c r="E117" s="230">
        <f t="shared" si="159"/>
        <v>9.75</v>
      </c>
      <c r="F117" s="230">
        <f t="shared" si="159"/>
        <v>9.75</v>
      </c>
      <c r="G117" s="230">
        <f t="shared" ref="G117:BR117" si="163">$B$5*G6+$B$16*G17+$B$22*G23+$B$25*G26+$B$28*G29+$B$31*G32+$B$34*G35+$B$42*G43</f>
        <v>9.75</v>
      </c>
      <c r="H117" s="230">
        <f t="shared" si="163"/>
        <v>9.75</v>
      </c>
      <c r="I117" s="230">
        <f t="shared" si="163"/>
        <v>9.75</v>
      </c>
      <c r="J117" s="230">
        <f t="shared" si="163"/>
        <v>9.75</v>
      </c>
      <c r="K117" s="230">
        <f t="shared" si="163"/>
        <v>9.75</v>
      </c>
      <c r="L117" s="230">
        <f t="shared" si="163"/>
        <v>9.75</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906"/>
      <c r="B118" s="1909"/>
      <c r="C118" s="80" t="s">
        <v>34</v>
      </c>
      <c r="D118" s="818"/>
      <c r="E118" s="778">
        <f t="shared" si="159"/>
        <v>15.25</v>
      </c>
      <c r="F118" s="778">
        <f t="shared" si="159"/>
        <v>15.25</v>
      </c>
      <c r="G118" s="778">
        <f t="shared" ref="G118:BR118" si="165">$B$5*G7+$B$16*G18+$B$22*G24+$B$25*G27+$B$28*G30+$B$31*G33+$B$34*G36+$B$42*G44</f>
        <v>15.25</v>
      </c>
      <c r="H118" s="778">
        <f t="shared" si="165"/>
        <v>15.25</v>
      </c>
      <c r="I118" s="778">
        <f t="shared" si="165"/>
        <v>15.25</v>
      </c>
      <c r="J118" s="778">
        <f t="shared" si="165"/>
        <v>15.25</v>
      </c>
      <c r="K118" s="778">
        <f t="shared" si="165"/>
        <v>15.25</v>
      </c>
      <c r="L118" s="778">
        <f t="shared" si="165"/>
        <v>15.25</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AI202"/>
  <sheetViews>
    <sheetView tabSelected="1" zoomScale="85" zoomScaleNormal="85" workbookViewId="0">
      <pane ySplit="1" topLeftCell="A77" activePane="bottomLeft" state="frozen"/>
      <selection activeCell="B1" sqref="B1"/>
      <selection pane="bottomLeft" activeCell="D104" sqref="D104:F105"/>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 min="8" max="8" width="34.42578125" bestFit="1" customWidth="1"/>
    <col min="9" max="9" width="31.28515625" bestFit="1" customWidth="1"/>
    <col min="10" max="10" width="35.7109375" bestFit="1" customWidth="1"/>
    <col min="11" max="11" width="8" bestFit="1" customWidth="1"/>
    <col min="12" max="12" width="34.42578125" bestFit="1" customWidth="1"/>
    <col min="13" max="13" width="31.28515625" bestFit="1" customWidth="1"/>
    <col min="14" max="14" width="35.7109375" bestFit="1" customWidth="1"/>
    <col min="15" max="15" width="9.28515625" customWidth="1"/>
    <col min="16" max="16" width="34.42578125" bestFit="1" customWidth="1"/>
    <col min="17" max="17" width="31.28515625" bestFit="1" customWidth="1"/>
    <col min="18" max="18" width="35.7109375" bestFit="1" customWidth="1"/>
    <col min="20" max="20" width="34.42578125" bestFit="1" customWidth="1"/>
    <col min="21" max="21" width="31.28515625" bestFit="1" customWidth="1"/>
    <col min="22" max="22" width="35.7109375" bestFit="1" customWidth="1"/>
    <col min="23" max="23" width="9.7109375" customWidth="1"/>
    <col min="24" max="24" width="34.42578125" bestFit="1" customWidth="1"/>
    <col min="25" max="25" width="31.28515625" bestFit="1" customWidth="1"/>
    <col min="26" max="26" width="35.7109375" bestFit="1" customWidth="1"/>
    <col min="27" max="27" width="8" bestFit="1" customWidth="1"/>
    <col min="28" max="28" width="34.42578125" bestFit="1" customWidth="1"/>
    <col min="29" max="29" width="31.28515625" bestFit="1" customWidth="1"/>
    <col min="30" max="30" width="35.7109375" bestFit="1" customWidth="1"/>
    <col min="31" max="31" width="8" bestFit="1" customWidth="1"/>
    <col min="32" max="32" width="34.42578125" bestFit="1" customWidth="1"/>
    <col min="33" max="33" width="31.28515625" bestFit="1" customWidth="1"/>
    <col min="34" max="34" width="35.7109375" bestFit="1" customWidth="1"/>
    <col min="35" max="35" width="7.5703125" bestFit="1" customWidth="1"/>
  </cols>
  <sheetData>
    <row r="1" spans="1:35" ht="15" customHeight="1" thickBot="1" x14ac:dyDescent="0.3">
      <c r="A1" s="465" t="s">
        <v>91</v>
      </c>
      <c r="B1" s="35"/>
      <c r="C1" s="43"/>
      <c r="D1" s="1930" t="s">
        <v>349</v>
      </c>
      <c r="E1" s="1931"/>
      <c r="F1" s="1931"/>
      <c r="G1" s="1932"/>
      <c r="H1" s="1930" t="s">
        <v>347</v>
      </c>
      <c r="I1" s="1931"/>
      <c r="J1" s="1931"/>
      <c r="K1" s="1932"/>
      <c r="L1" s="1934" t="s">
        <v>348</v>
      </c>
      <c r="M1" s="1934"/>
      <c r="N1" s="1934"/>
      <c r="O1" s="1934"/>
      <c r="P1" s="1930" t="s">
        <v>350</v>
      </c>
      <c r="Q1" s="1931"/>
      <c r="R1" s="1931"/>
      <c r="S1" s="1932"/>
      <c r="T1" s="1930" t="s">
        <v>351</v>
      </c>
      <c r="U1" s="1931"/>
      <c r="V1" s="1931"/>
      <c r="W1" s="1932"/>
      <c r="X1" s="1930" t="s">
        <v>352</v>
      </c>
      <c r="Y1" s="1931"/>
      <c r="Z1" s="1931"/>
      <c r="AA1" s="1932"/>
      <c r="AB1" s="1930" t="s">
        <v>353</v>
      </c>
      <c r="AC1" s="1931"/>
      <c r="AD1" s="1931"/>
      <c r="AE1" s="1932"/>
      <c r="AF1" s="1930" t="s">
        <v>354</v>
      </c>
      <c r="AG1" s="1931"/>
      <c r="AH1" s="1931"/>
      <c r="AI1" s="1932"/>
    </row>
    <row r="2" spans="1:35" ht="15.75" x14ac:dyDescent="0.25">
      <c r="B2" s="41" t="s">
        <v>37</v>
      </c>
      <c r="C2" s="1940" t="s">
        <v>35</v>
      </c>
      <c r="D2" s="439" t="s">
        <v>549</v>
      </c>
      <c r="E2" s="191" t="s">
        <v>1771</v>
      </c>
      <c r="F2" s="191" t="s">
        <v>1710</v>
      </c>
      <c r="G2" s="1933" t="s">
        <v>38</v>
      </c>
      <c r="H2" s="835" t="s">
        <v>549</v>
      </c>
      <c r="I2" s="717" t="s">
        <v>1771</v>
      </c>
      <c r="J2" s="717" t="s">
        <v>1710</v>
      </c>
      <c r="K2" s="1933" t="s">
        <v>38</v>
      </c>
      <c r="L2" s="835" t="s">
        <v>549</v>
      </c>
      <c r="M2" s="717" t="s">
        <v>1771</v>
      </c>
      <c r="N2" s="717" t="s">
        <v>1710</v>
      </c>
      <c r="O2" s="1933" t="s">
        <v>38</v>
      </c>
      <c r="P2" s="835" t="s">
        <v>549</v>
      </c>
      <c r="Q2" s="717" t="s">
        <v>1771</v>
      </c>
      <c r="R2" s="717" t="s">
        <v>1710</v>
      </c>
      <c r="S2" s="1933" t="s">
        <v>38</v>
      </c>
      <c r="T2" s="835" t="s">
        <v>549</v>
      </c>
      <c r="U2" s="717" t="s">
        <v>1771</v>
      </c>
      <c r="V2" s="717" t="s">
        <v>1710</v>
      </c>
      <c r="W2" s="1933" t="s">
        <v>38</v>
      </c>
      <c r="X2" s="835" t="s">
        <v>549</v>
      </c>
      <c r="Y2" s="717" t="s">
        <v>1771</v>
      </c>
      <c r="Z2" s="717" t="s">
        <v>1710</v>
      </c>
      <c r="AA2" s="1933" t="s">
        <v>38</v>
      </c>
      <c r="AB2" s="835" t="s">
        <v>549</v>
      </c>
      <c r="AC2" s="717" t="s">
        <v>1771</v>
      </c>
      <c r="AD2" s="717" t="s">
        <v>1710</v>
      </c>
      <c r="AE2" s="1933" t="s">
        <v>38</v>
      </c>
      <c r="AF2" s="835" t="s">
        <v>549</v>
      </c>
      <c r="AG2" s="717" t="s">
        <v>1771</v>
      </c>
      <c r="AH2" s="717" t="s">
        <v>1710</v>
      </c>
      <c r="AI2" s="1933" t="s">
        <v>38</v>
      </c>
    </row>
    <row r="3" spans="1:35" ht="16.5" thickBot="1" x14ac:dyDescent="0.3">
      <c r="A3" s="12" t="s">
        <v>36</v>
      </c>
      <c r="B3" s="42">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c r="P3" s="37">
        <f>INDEX(ТрЗ_ОП!$P$11:$P$102,MATCH(P2,ТрЗ_ОП!$O$11:$O$102,0))</f>
        <v>0</v>
      </c>
      <c r="Q3" s="37">
        <f>INDEX(ТрЗ_ОП!$P$11:$P$102,MATCH(Q2,ТрЗ_ОП!$O$11:$O$102,0))</f>
        <v>0</v>
      </c>
      <c r="R3" s="37">
        <f>INDEX(ТрЗ_ОП!$P$11:$P$102,MATCH(R2,ТрЗ_ОП!$O$11:$O$102,0))</f>
        <v>0</v>
      </c>
      <c r="S3" s="1933"/>
      <c r="T3" s="37">
        <f>INDEX(ТрЗ_ОП!$P$11:$P$102,MATCH(T2,ТрЗ_ОП!$O$11:$O$102,0))</f>
        <v>0</v>
      </c>
      <c r="U3" s="37">
        <f>INDEX(ТрЗ_ОП!$P$11:$P$102,MATCH(U2,ТрЗ_ОП!$O$11:$O$102,0))</f>
        <v>0</v>
      </c>
      <c r="V3" s="37">
        <f>INDEX(ТрЗ_ОП!$P$11:$P$102,MATCH(V2,ТрЗ_ОП!$O$11:$O$102,0))</f>
        <v>0</v>
      </c>
      <c r="W3" s="1933"/>
      <c r="X3" s="37">
        <f>INDEX(ТрЗ_ОП!$P$11:$P$102,MATCH(X2,ТрЗ_ОП!$O$11:$O$102,0))</f>
        <v>0</v>
      </c>
      <c r="Y3" s="37">
        <f>INDEX(ТрЗ_ОП!$P$11:$P$102,MATCH(Y2,ТрЗ_ОП!$O$11:$O$102,0))</f>
        <v>0</v>
      </c>
      <c r="Z3" s="37">
        <f>INDEX(ТрЗ_ОП!$P$11:$P$102,MATCH(Z2,ТрЗ_ОП!$O$11:$O$102,0))</f>
        <v>0</v>
      </c>
      <c r="AA3" s="1933"/>
      <c r="AB3" s="37">
        <f>INDEX(ТрЗ_ОП!$P$11:$P$102,MATCH(AB2,ТрЗ_ОП!$O$11:$O$102,0))</f>
        <v>0</v>
      </c>
      <c r="AC3" s="37">
        <f>INDEX(ТрЗ_ОП!$P$11:$P$102,MATCH(AC2,ТрЗ_ОП!$O$11:$O$102,0))</f>
        <v>0</v>
      </c>
      <c r="AD3" s="37">
        <f>INDEX(ТрЗ_ОП!$P$11:$P$102,MATCH(AD2,ТрЗ_ОП!$O$11:$O$102,0))</f>
        <v>0</v>
      </c>
      <c r="AE3" s="1933"/>
      <c r="AF3" s="37">
        <f>INDEX(ТрЗ_ОП!$P$11:$P$102,MATCH(AF2,ТрЗ_ОП!$O$11:$O$102,0))</f>
        <v>0</v>
      </c>
      <c r="AG3" s="37">
        <f>INDEX(ТрЗ_ОП!$P$11:$P$102,MATCH(AG2,ТрЗ_ОП!$O$11:$O$102,0))</f>
        <v>0</v>
      </c>
      <c r="AH3" s="37">
        <f>INDEX(ТрЗ_ОП!$P$11:$P$102,MATCH(AH2,ТрЗ_ОП!$O$11:$O$102,0))</f>
        <v>0</v>
      </c>
      <c r="AI3" s="1933"/>
    </row>
    <row r="4" spans="1:35" ht="16.5" thickBot="1" x14ac:dyDescent="0.3">
      <c r="A4" s="326" t="s">
        <v>448</v>
      </c>
      <c r="B4" s="327"/>
      <c r="C4" s="329"/>
      <c r="D4" s="329"/>
      <c r="E4" s="329"/>
      <c r="F4" s="327"/>
      <c r="G4" s="327"/>
      <c r="H4" s="329"/>
      <c r="I4" s="329"/>
      <c r="J4" s="327"/>
      <c r="K4" s="327"/>
      <c r="L4" s="329"/>
      <c r="M4" s="329"/>
      <c r="N4" s="327"/>
      <c r="O4" s="327"/>
      <c r="P4" s="329"/>
      <c r="Q4" s="329"/>
      <c r="R4" s="327"/>
      <c r="S4" s="327"/>
      <c r="T4" s="329"/>
      <c r="U4" s="329"/>
      <c r="V4" s="327"/>
      <c r="W4" s="327"/>
      <c r="X4" s="329"/>
      <c r="Y4" s="329"/>
      <c r="Z4" s="327"/>
      <c r="AA4" s="327"/>
      <c r="AB4" s="329"/>
      <c r="AC4" s="329"/>
      <c r="AD4" s="327"/>
      <c r="AE4" s="327"/>
      <c r="AF4" s="329"/>
      <c r="AG4" s="329"/>
      <c r="AH4" s="327"/>
      <c r="AI4" s="396"/>
    </row>
    <row r="5" spans="1:35" x14ac:dyDescent="0.25">
      <c r="A5" s="1942" t="s">
        <v>0</v>
      </c>
      <c r="B5" s="1718" t="s">
        <v>32</v>
      </c>
      <c r="C5" s="324"/>
      <c r="D5" s="1697">
        <v>0.5</v>
      </c>
      <c r="E5" s="1697">
        <v>0.5</v>
      </c>
      <c r="F5" s="1697">
        <v>1.75</v>
      </c>
      <c r="G5" s="1698">
        <f t="shared" ref="G5:G10" si="0" xml:space="preserve"> SUM(D5:F5) + $C5</f>
        <v>2.75</v>
      </c>
      <c r="H5" s="1697">
        <v>0.5</v>
      </c>
      <c r="I5" s="1697">
        <v>0.5</v>
      </c>
      <c r="J5" s="1697">
        <v>1.75</v>
      </c>
      <c r="K5" s="1698">
        <f xml:space="preserve"> SUM(H5:J5) + $C5</f>
        <v>2.75</v>
      </c>
      <c r="L5" s="1697">
        <v>0.5</v>
      </c>
      <c r="M5" s="1697">
        <v>0.5</v>
      </c>
      <c r="N5" s="1697">
        <v>1.75</v>
      </c>
      <c r="O5" s="1698">
        <f t="shared" ref="O5:O10" si="1" xml:space="preserve"> SUM(L5:N5) + $C5</f>
        <v>2.75</v>
      </c>
      <c r="P5" s="1697">
        <v>0.5</v>
      </c>
      <c r="Q5" s="1697">
        <v>0.5</v>
      </c>
      <c r="R5" s="1697">
        <v>1.75</v>
      </c>
      <c r="S5" s="1698">
        <f t="shared" ref="S5:S10" si="2" xml:space="preserve"> SUM(P5:R5) + $C5</f>
        <v>2.75</v>
      </c>
      <c r="T5" s="1697">
        <v>0.5</v>
      </c>
      <c r="U5" s="1697">
        <v>0.5</v>
      </c>
      <c r="V5" s="1697">
        <v>1.75</v>
      </c>
      <c r="W5" s="1698">
        <f t="shared" ref="W5:W10" si="3" xml:space="preserve"> SUM(T5:V5) + $C5</f>
        <v>2.75</v>
      </c>
      <c r="X5" s="1697">
        <v>0.5</v>
      </c>
      <c r="Y5" s="1697">
        <v>0.5</v>
      </c>
      <c r="Z5" s="1697">
        <v>1.75</v>
      </c>
      <c r="AA5" s="1698">
        <f t="shared" ref="AA5:AA10" si="4" xml:space="preserve"> SUM(X5:Z5) + $C5</f>
        <v>2.75</v>
      </c>
      <c r="AB5" s="1697">
        <v>0.5</v>
      </c>
      <c r="AC5" s="1697">
        <v>0.5</v>
      </c>
      <c r="AD5" s="1697">
        <v>1.75</v>
      </c>
      <c r="AE5" s="1698">
        <f t="shared" ref="AE5:AE10" si="5" xml:space="preserve"> SUM(AB5:AD5) + $C5</f>
        <v>2.75</v>
      </c>
      <c r="AF5" s="1697">
        <v>0.5</v>
      </c>
      <c r="AG5" s="1697">
        <v>0.5</v>
      </c>
      <c r="AH5" s="1697">
        <v>1.75</v>
      </c>
      <c r="AI5" s="1698">
        <f t="shared" ref="AI5:AI10" si="6" xml:space="preserve"> SUM(AF5:AH5) + $C5</f>
        <v>2.75</v>
      </c>
    </row>
    <row r="6" spans="1:35" x14ac:dyDescent="0.25">
      <c r="A6" s="1942"/>
      <c r="B6" s="19" t="s">
        <v>33</v>
      </c>
      <c r="C6" s="22"/>
      <c r="D6" s="2328">
        <v>0.5</v>
      </c>
      <c r="E6" s="2328">
        <v>0.25</v>
      </c>
      <c r="F6" s="2328">
        <f>IF(F$3=1,D6+E6+2,0)</f>
        <v>0</v>
      </c>
      <c r="G6" s="21">
        <f t="shared" si="0"/>
        <v>0.75</v>
      </c>
      <c r="H6" s="813">
        <v>0.5</v>
      </c>
      <c r="I6" s="813">
        <v>0.25</v>
      </c>
      <c r="J6" s="630">
        <f>IF(J$3=1,H6+I6+2,0)</f>
        <v>0</v>
      </c>
      <c r="K6" s="21">
        <f xml:space="preserve"> SUM(H6:J6) + $C6</f>
        <v>0.75</v>
      </c>
      <c r="L6" s="813">
        <v>0.5</v>
      </c>
      <c r="M6" s="813">
        <v>0.25</v>
      </c>
      <c r="N6" s="630">
        <f>IF(N$3=1,L6+M6+2,0)</f>
        <v>0</v>
      </c>
      <c r="O6" s="21">
        <f t="shared" si="1"/>
        <v>0.75</v>
      </c>
      <c r="P6" s="813">
        <v>0.5</v>
      </c>
      <c r="Q6" s="813">
        <v>0.25</v>
      </c>
      <c r="R6" s="630">
        <f>IF(R$3=1,P6+Q6+2,0)</f>
        <v>0</v>
      </c>
      <c r="S6" s="21">
        <f t="shared" si="2"/>
        <v>0.75</v>
      </c>
      <c r="T6" s="813">
        <v>0.5</v>
      </c>
      <c r="U6" s="813">
        <v>0.25</v>
      </c>
      <c r="V6" s="630">
        <f>IF(V$3=1,T6+U6+2,0)</f>
        <v>0</v>
      </c>
      <c r="W6" s="21">
        <f t="shared" si="3"/>
        <v>0.75</v>
      </c>
      <c r="X6" s="813">
        <v>0.5</v>
      </c>
      <c r="Y6" s="813">
        <v>0.25</v>
      </c>
      <c r="Z6" s="630">
        <f>IF(Z$3=1,X6+Y6+2,0)</f>
        <v>0</v>
      </c>
      <c r="AA6" s="21">
        <f t="shared" si="4"/>
        <v>0.75</v>
      </c>
      <c r="AB6" s="813">
        <v>0.5</v>
      </c>
      <c r="AC6" s="813">
        <v>0.25</v>
      </c>
      <c r="AD6" s="630">
        <f>IF(AD$3=1,AB6+AC6+2,0)</f>
        <v>0</v>
      </c>
      <c r="AE6" s="21">
        <f t="shared" si="5"/>
        <v>0.75</v>
      </c>
      <c r="AF6" s="813">
        <v>0.5</v>
      </c>
      <c r="AG6" s="813">
        <v>0.25</v>
      </c>
      <c r="AH6" s="630">
        <f>IF(AH$3=1,AF6+AG6+2,0)</f>
        <v>0</v>
      </c>
      <c r="AI6" s="21">
        <f t="shared" si="6"/>
        <v>0.75</v>
      </c>
    </row>
    <row r="7" spans="1:35" x14ac:dyDescent="0.25">
      <c r="A7" s="1942"/>
      <c r="B7" s="13" t="s">
        <v>34</v>
      </c>
      <c r="C7" s="22"/>
      <c r="D7" s="2328">
        <v>1</v>
      </c>
      <c r="E7" s="2328">
        <v>0.5</v>
      </c>
      <c r="F7" s="2328">
        <f>IF(F$3=1,D7+E7+4,0)</f>
        <v>0</v>
      </c>
      <c r="G7" s="21">
        <f t="shared" si="0"/>
        <v>1.5</v>
      </c>
      <c r="H7" s="813">
        <v>1</v>
      </c>
      <c r="I7" s="813">
        <v>0.5</v>
      </c>
      <c r="J7" s="630">
        <f>IF(J$3=1,H7+I7+4,0)</f>
        <v>0</v>
      </c>
      <c r="K7" s="21">
        <f xml:space="preserve"> SUM(H7:J7) + $C7</f>
        <v>1.5</v>
      </c>
      <c r="L7" s="813">
        <v>1</v>
      </c>
      <c r="M7" s="813">
        <v>0.5</v>
      </c>
      <c r="N7" s="630">
        <f>IF(N$3=1,L7+M7+4,0)</f>
        <v>0</v>
      </c>
      <c r="O7" s="21">
        <f t="shared" si="1"/>
        <v>1.5</v>
      </c>
      <c r="P7" s="813">
        <v>1</v>
      </c>
      <c r="Q7" s="813">
        <v>0.5</v>
      </c>
      <c r="R7" s="630">
        <f>IF(R$3=1,P7+Q7+4,0)</f>
        <v>0</v>
      </c>
      <c r="S7" s="21">
        <f t="shared" si="2"/>
        <v>1.5</v>
      </c>
      <c r="T7" s="813">
        <v>1</v>
      </c>
      <c r="U7" s="813">
        <v>0.5</v>
      </c>
      <c r="V7" s="630">
        <f>IF(V$3=1,T7+U7+4,0)</f>
        <v>0</v>
      </c>
      <c r="W7" s="21">
        <f t="shared" si="3"/>
        <v>1.5</v>
      </c>
      <c r="X7" s="813">
        <v>1</v>
      </c>
      <c r="Y7" s="813">
        <v>0.5</v>
      </c>
      <c r="Z7" s="630">
        <f>IF(Z$3=1,X7+Y7+4,0)</f>
        <v>0</v>
      </c>
      <c r="AA7" s="21">
        <f t="shared" si="4"/>
        <v>1.5</v>
      </c>
      <c r="AB7" s="813">
        <v>1</v>
      </c>
      <c r="AC7" s="813">
        <v>0.5</v>
      </c>
      <c r="AD7" s="630">
        <f>IF(AD$3=1,AB7+AC7+4,0)</f>
        <v>0</v>
      </c>
      <c r="AE7" s="21">
        <f t="shared" si="5"/>
        <v>1.5</v>
      </c>
      <c r="AF7" s="813">
        <v>1</v>
      </c>
      <c r="AG7" s="813">
        <v>0.5</v>
      </c>
      <c r="AH7" s="630">
        <f>IF(AH$3=1,AF7+AG7+4,0)</f>
        <v>0</v>
      </c>
      <c r="AI7" s="21">
        <f t="shared" si="6"/>
        <v>1.5</v>
      </c>
    </row>
    <row r="8" spans="1:35" x14ac:dyDescent="0.25">
      <c r="A8" s="1936" t="s">
        <v>449</v>
      </c>
      <c r="B8" s="1719" t="s">
        <v>32</v>
      </c>
      <c r="C8" s="22"/>
      <c r="D8" s="1697">
        <v>0.5</v>
      </c>
      <c r="E8" s="1697">
        <v>0.5</v>
      </c>
      <c r="F8" s="1697">
        <v>1.75</v>
      </c>
      <c r="G8" s="1699">
        <f t="shared" si="0"/>
        <v>2.75</v>
      </c>
      <c r="H8" s="1697">
        <v>0.5</v>
      </c>
      <c r="I8" s="1697">
        <v>0.5</v>
      </c>
      <c r="J8" s="1697">
        <v>1.75</v>
      </c>
      <c r="K8" s="1699">
        <f xml:space="preserve"> SUM(H8:J8) + $C8</f>
        <v>2.75</v>
      </c>
      <c r="L8" s="1697">
        <v>0.5</v>
      </c>
      <c r="M8" s="1697">
        <v>0.5</v>
      </c>
      <c r="N8" s="1697">
        <v>1.75</v>
      </c>
      <c r="O8" s="1699">
        <f t="shared" si="1"/>
        <v>2.75</v>
      </c>
      <c r="P8" s="1697">
        <v>0.5</v>
      </c>
      <c r="Q8" s="1697">
        <v>0.5</v>
      </c>
      <c r="R8" s="1697">
        <v>1.75</v>
      </c>
      <c r="S8" s="1699">
        <f t="shared" si="2"/>
        <v>2.75</v>
      </c>
      <c r="T8" s="1697">
        <v>0.5</v>
      </c>
      <c r="U8" s="1697">
        <v>0.5</v>
      </c>
      <c r="V8" s="1697">
        <v>1.75</v>
      </c>
      <c r="W8" s="1699">
        <f t="shared" si="3"/>
        <v>2.75</v>
      </c>
      <c r="X8" s="1697">
        <v>0.5</v>
      </c>
      <c r="Y8" s="1697">
        <v>0.5</v>
      </c>
      <c r="Z8" s="1697">
        <v>1.75</v>
      </c>
      <c r="AA8" s="1699">
        <f t="shared" si="4"/>
        <v>2.75</v>
      </c>
      <c r="AB8" s="1697">
        <v>0.5</v>
      </c>
      <c r="AC8" s="1697">
        <v>0.5</v>
      </c>
      <c r="AD8" s="1697">
        <v>1.75</v>
      </c>
      <c r="AE8" s="1699">
        <f t="shared" si="5"/>
        <v>2.75</v>
      </c>
      <c r="AF8" s="1697">
        <v>0.5</v>
      </c>
      <c r="AG8" s="1697">
        <v>0.5</v>
      </c>
      <c r="AH8" s="1697">
        <v>1.75</v>
      </c>
      <c r="AI8" s="1699">
        <f t="shared" si="6"/>
        <v>2.75</v>
      </c>
    </row>
    <row r="9" spans="1:35" x14ac:dyDescent="0.25">
      <c r="A9" s="1937"/>
      <c r="B9" s="19" t="s">
        <v>33</v>
      </c>
      <c r="C9" s="22"/>
      <c r="D9" s="2328">
        <v>0.5</v>
      </c>
      <c r="E9" s="2328">
        <v>0.25</v>
      </c>
      <c r="F9" s="2328">
        <f>IF(F$3=1,D9+E9+2,0)</f>
        <v>0</v>
      </c>
      <c r="G9" s="21">
        <f t="shared" si="0"/>
        <v>0.75</v>
      </c>
      <c r="H9" s="813">
        <v>0.5</v>
      </c>
      <c r="I9" s="813">
        <v>0.25</v>
      </c>
      <c r="J9" s="630">
        <f>IF(J$3=1,H9+I9+2,0)</f>
        <v>0</v>
      </c>
      <c r="K9" s="21">
        <f t="shared" ref="K9:K93" si="7" xml:space="preserve"> SUM(H9:J9) + $C9</f>
        <v>0.75</v>
      </c>
      <c r="L9" s="813">
        <v>0.5</v>
      </c>
      <c r="M9" s="813">
        <v>0.25</v>
      </c>
      <c r="N9" s="630">
        <f>IF(N$3=1,L9+M9+2,0)</f>
        <v>0</v>
      </c>
      <c r="O9" s="21">
        <f t="shared" si="1"/>
        <v>0.75</v>
      </c>
      <c r="P9" s="813">
        <v>0.5</v>
      </c>
      <c r="Q9" s="813">
        <v>0.25</v>
      </c>
      <c r="R9" s="630">
        <f>IF(R$3=1,P9+Q9+2,0)</f>
        <v>0</v>
      </c>
      <c r="S9" s="21">
        <f t="shared" si="2"/>
        <v>0.75</v>
      </c>
      <c r="T9" s="813">
        <v>0.5</v>
      </c>
      <c r="U9" s="813">
        <v>0.25</v>
      </c>
      <c r="V9" s="630">
        <f>IF(V$3=1,T9+U9+2,0)</f>
        <v>0</v>
      </c>
      <c r="W9" s="21">
        <f t="shared" si="3"/>
        <v>0.75</v>
      </c>
      <c r="X9" s="813">
        <v>0.5</v>
      </c>
      <c r="Y9" s="813">
        <v>0.25</v>
      </c>
      <c r="Z9" s="630">
        <f>IF(Z$3=1,X9+Y9+2,0)</f>
        <v>0</v>
      </c>
      <c r="AA9" s="21">
        <f t="shared" si="4"/>
        <v>0.75</v>
      </c>
      <c r="AB9" s="813">
        <v>0.5</v>
      </c>
      <c r="AC9" s="813">
        <v>0.25</v>
      </c>
      <c r="AD9" s="630">
        <f>IF(AD$3=1,AB9+AC9+2,0)</f>
        <v>0</v>
      </c>
      <c r="AE9" s="21">
        <f t="shared" si="5"/>
        <v>0.75</v>
      </c>
      <c r="AF9" s="813">
        <v>0.5</v>
      </c>
      <c r="AG9" s="813">
        <v>0.25</v>
      </c>
      <c r="AH9" s="630">
        <f>IF(AH$3=1,AF9+AG9+2,0)</f>
        <v>0</v>
      </c>
      <c r="AI9" s="21">
        <f t="shared" si="6"/>
        <v>0.75</v>
      </c>
    </row>
    <row r="10" spans="1:35" ht="15.75" thickBot="1" x14ac:dyDescent="0.3">
      <c r="A10" s="1937"/>
      <c r="B10" s="13" t="s">
        <v>34</v>
      </c>
      <c r="C10" s="34"/>
      <c r="D10" s="2328">
        <v>1</v>
      </c>
      <c r="E10" s="2328">
        <v>0.5</v>
      </c>
      <c r="F10" s="2328">
        <f>IF(F$3=1,D10+E10+4,0)</f>
        <v>0</v>
      </c>
      <c r="G10" s="77">
        <f t="shared" si="0"/>
        <v>1.5</v>
      </c>
      <c r="H10" s="813">
        <v>1</v>
      </c>
      <c r="I10" s="813">
        <v>0.5</v>
      </c>
      <c r="J10" s="630">
        <f>IF(J$3=1,H10+I10+4,0)</f>
        <v>0</v>
      </c>
      <c r="K10" s="77">
        <f t="shared" si="7"/>
        <v>1.5</v>
      </c>
      <c r="L10" s="813">
        <v>1</v>
      </c>
      <c r="M10" s="813">
        <v>0.5</v>
      </c>
      <c r="N10" s="630">
        <f>IF(N$3=1,L10+M10+4,0)</f>
        <v>0</v>
      </c>
      <c r="O10" s="77">
        <f t="shared" si="1"/>
        <v>1.5</v>
      </c>
      <c r="P10" s="813">
        <v>1</v>
      </c>
      <c r="Q10" s="813">
        <v>0.5</v>
      </c>
      <c r="R10" s="630">
        <f>IF(R$3=1,P10+Q10+4,0)</f>
        <v>0</v>
      </c>
      <c r="S10" s="77">
        <f t="shared" si="2"/>
        <v>1.5</v>
      </c>
      <c r="T10" s="813">
        <v>1</v>
      </c>
      <c r="U10" s="813">
        <v>0.5</v>
      </c>
      <c r="V10" s="630">
        <f>IF(V$3=1,T10+U10+4,0)</f>
        <v>0</v>
      </c>
      <c r="W10" s="77">
        <f t="shared" si="3"/>
        <v>1.5</v>
      </c>
      <c r="X10" s="813">
        <v>1</v>
      </c>
      <c r="Y10" s="813">
        <v>0.5</v>
      </c>
      <c r="Z10" s="630">
        <f>IF(Z$3=1,X10+Y10+4,0)</f>
        <v>0</v>
      </c>
      <c r="AA10" s="77">
        <f t="shared" si="4"/>
        <v>1.5</v>
      </c>
      <c r="AB10" s="813">
        <v>1</v>
      </c>
      <c r="AC10" s="813">
        <v>0.5</v>
      </c>
      <c r="AD10" s="630">
        <f>IF(AD$3=1,AB10+AC10+4,0)</f>
        <v>0</v>
      </c>
      <c r="AE10" s="77">
        <f t="shared" si="5"/>
        <v>1.5</v>
      </c>
      <c r="AF10" s="813">
        <v>1</v>
      </c>
      <c r="AG10" s="813">
        <v>0.5</v>
      </c>
      <c r="AH10" s="630">
        <f>IF(AH$3=1,AF10+AG10+4,0)</f>
        <v>0</v>
      </c>
      <c r="AI10" s="77">
        <f t="shared" si="6"/>
        <v>1.5</v>
      </c>
    </row>
    <row r="11" spans="1:35" ht="16.5" thickBot="1" x14ac:dyDescent="0.3">
      <c r="A11" s="326" t="s">
        <v>1</v>
      </c>
      <c r="B11" s="327"/>
      <c r="C11" s="329"/>
      <c r="D11" s="329"/>
      <c r="E11" s="329"/>
      <c r="F11" s="327"/>
      <c r="G11" s="327"/>
      <c r="H11" s="329"/>
      <c r="I11" s="329"/>
      <c r="J11" s="327"/>
      <c r="K11" s="327"/>
      <c r="L11" s="329"/>
      <c r="M11" s="329"/>
      <c r="N11" s="327"/>
      <c r="O11" s="327"/>
      <c r="P11" s="329"/>
      <c r="Q11" s="329"/>
      <c r="R11" s="327"/>
      <c r="S11" s="327"/>
      <c r="T11" s="329"/>
      <c r="U11" s="329"/>
      <c r="V11" s="327"/>
      <c r="W11" s="327"/>
      <c r="X11" s="329"/>
      <c r="Y11" s="329"/>
      <c r="Z11" s="327"/>
      <c r="AA11" s="327"/>
      <c r="AB11" s="329"/>
      <c r="AC11" s="329"/>
      <c r="AD11" s="327"/>
      <c r="AE11" s="327"/>
      <c r="AF11" s="329"/>
      <c r="AG11" s="329"/>
      <c r="AH11" s="327"/>
      <c r="AI11" s="396"/>
    </row>
    <row r="12" spans="1:35" ht="14.45" customHeight="1" x14ac:dyDescent="0.25">
      <c r="A12" s="1936" t="s">
        <v>2</v>
      </c>
      <c r="B12" s="1718" t="s">
        <v>32</v>
      </c>
      <c r="C12" s="324"/>
      <c r="D12" s="1700">
        <f>1+D31+D34</f>
        <v>3.5</v>
      </c>
      <c r="E12" s="1701">
        <f>IF($E$3&gt;1,2,1)</f>
        <v>1</v>
      </c>
      <c r="F12" s="1702">
        <f>0.5*$F$3</f>
        <v>0</v>
      </c>
      <c r="G12" s="1698">
        <f xml:space="preserve"> SUM(D12:F12) + $C12</f>
        <v>4.5</v>
      </c>
      <c r="H12" s="1700">
        <f>1+H31+H34</f>
        <v>3.5</v>
      </c>
      <c r="I12" s="1701">
        <f>IF($E$3&gt;1,2,1)</f>
        <v>1</v>
      </c>
      <c r="J12" s="1702">
        <f>0.5*$F$3</f>
        <v>0</v>
      </c>
      <c r="K12" s="1698">
        <f t="shared" si="7"/>
        <v>4.5</v>
      </c>
      <c r="L12" s="1700">
        <f>1+L31+L34</f>
        <v>3.5</v>
      </c>
      <c r="M12" s="1701">
        <f>IF($E$3&gt;1,2,1)</f>
        <v>1</v>
      </c>
      <c r="N12" s="1702">
        <f>0.5*$F$3</f>
        <v>0</v>
      </c>
      <c r="O12" s="1698">
        <f xml:space="preserve"> SUM(L12:N12) + $C12</f>
        <v>4.5</v>
      </c>
      <c r="P12" s="1700">
        <f>1+P31+P34</f>
        <v>3.5</v>
      </c>
      <c r="Q12" s="1701">
        <f>IF($E$3&gt;1,2,1)</f>
        <v>1</v>
      </c>
      <c r="R12" s="1702">
        <f>0.5*$F$3</f>
        <v>0</v>
      </c>
      <c r="S12" s="1698">
        <f xml:space="preserve"> SUM(P12:R12) + $C12</f>
        <v>4.5</v>
      </c>
      <c r="T12" s="1700">
        <f>1+T31+T34</f>
        <v>3.5</v>
      </c>
      <c r="U12" s="1701">
        <f>IF($E$3&gt;1,2,1)</f>
        <v>1</v>
      </c>
      <c r="V12" s="1702">
        <f>0.5*$F$3</f>
        <v>0</v>
      </c>
      <c r="W12" s="1698">
        <f xml:space="preserve"> SUM(T12:V12) + $C12</f>
        <v>4.5</v>
      </c>
      <c r="X12" s="1700">
        <f>1+X31+X34</f>
        <v>3.5</v>
      </c>
      <c r="Y12" s="1701">
        <f>IF($E$3&gt;1,2,1)</f>
        <v>1</v>
      </c>
      <c r="Z12" s="1702">
        <f>0.5*$F$3</f>
        <v>0</v>
      </c>
      <c r="AA12" s="1698">
        <f xml:space="preserve"> SUM(X12:Z12) + $C12</f>
        <v>4.5</v>
      </c>
      <c r="AB12" s="1700">
        <f>1+AB31+AB34</f>
        <v>3.5</v>
      </c>
      <c r="AC12" s="1701">
        <f>IF($E$3&gt;1,2,1)</f>
        <v>1</v>
      </c>
      <c r="AD12" s="1702">
        <f>0.5*$F$3</f>
        <v>0</v>
      </c>
      <c r="AE12" s="1698">
        <f xml:space="preserve"> SUM(AB12:AD12) + $C12</f>
        <v>4.5</v>
      </c>
      <c r="AF12" s="1700">
        <f>1+AF31+AF34</f>
        <v>3.5</v>
      </c>
      <c r="AG12" s="1701">
        <f>IF($E$3&gt;1,2,1)</f>
        <v>1</v>
      </c>
      <c r="AH12" s="1702">
        <f>0.5*$F$3</f>
        <v>0</v>
      </c>
      <c r="AI12" s="1698">
        <f xml:space="preserve"> SUM(AF12:AH12) + $C12</f>
        <v>4.5</v>
      </c>
    </row>
    <row r="13" spans="1:35" ht="14.45" customHeight="1" x14ac:dyDescent="0.25">
      <c r="A13" s="1937"/>
      <c r="B13" s="19" t="s">
        <v>33</v>
      </c>
      <c r="C13" s="22"/>
      <c r="D13" s="2329">
        <v>1</v>
      </c>
      <c r="E13" s="2330">
        <f>IF(E$3&gt;1,0.5*E$3,1)</f>
        <v>1</v>
      </c>
      <c r="F13" s="2328">
        <f>IF(F$3=1,D13+E13+10,0)</f>
        <v>0</v>
      </c>
      <c r="G13" s="21">
        <f xml:space="preserve"> SUM(D13:F13) + $C13</f>
        <v>2</v>
      </c>
      <c r="H13" s="485">
        <v>1</v>
      </c>
      <c r="I13" s="478">
        <f>IF(I$3&gt;1,0.5*I$3,1)</f>
        <v>1</v>
      </c>
      <c r="J13" s="630">
        <f>IF(J$3=1,H13+I13+10,0)</f>
        <v>0</v>
      </c>
      <c r="K13" s="21">
        <f t="shared" si="7"/>
        <v>2</v>
      </c>
      <c r="L13" s="485">
        <v>1</v>
      </c>
      <c r="M13" s="478">
        <f>IF(M$3&gt;1,0.5*M$3,1)</f>
        <v>1</v>
      </c>
      <c r="N13" s="630">
        <f>IF(N$3=1,L13+M13+10,0)</f>
        <v>0</v>
      </c>
      <c r="O13" s="21">
        <f xml:space="preserve"> SUM(L13:N13) + $C13</f>
        <v>2</v>
      </c>
      <c r="P13" s="485">
        <v>1</v>
      </c>
      <c r="Q13" s="478">
        <f>IF(Q$3&gt;1,0.5*Q$3,1)</f>
        <v>1</v>
      </c>
      <c r="R13" s="630">
        <f>IF(R$3=1,P13+Q13+10,0)</f>
        <v>0</v>
      </c>
      <c r="S13" s="21">
        <f xml:space="preserve"> SUM(P13:R13) + $C13</f>
        <v>2</v>
      </c>
      <c r="T13" s="485">
        <v>1</v>
      </c>
      <c r="U13" s="478">
        <f>IF(U$3&gt;1,0.5*U$3,1)</f>
        <v>1</v>
      </c>
      <c r="V13" s="630">
        <f>IF(V$3=1,T13+U13+10,0)</f>
        <v>0</v>
      </c>
      <c r="W13" s="21">
        <f xml:space="preserve"> SUM(T13:V13) + $C13</f>
        <v>2</v>
      </c>
      <c r="X13" s="485">
        <v>1</v>
      </c>
      <c r="Y13" s="478">
        <f>IF(Y$3&gt;1,0.5*Y$3,1)</f>
        <v>1</v>
      </c>
      <c r="Z13" s="630">
        <f>IF(Z$3=1,X13+Y13+10,0)</f>
        <v>0</v>
      </c>
      <c r="AA13" s="21">
        <f xml:space="preserve"> SUM(X13:Z13) + $C13</f>
        <v>2</v>
      </c>
      <c r="AB13" s="485">
        <v>1</v>
      </c>
      <c r="AC13" s="478">
        <f>IF(AC$3&gt;1,0.5*AC$3,1)</f>
        <v>1</v>
      </c>
      <c r="AD13" s="630">
        <f>IF(AD$3=1,AB13+AC13+10,0)</f>
        <v>0</v>
      </c>
      <c r="AE13" s="21">
        <f xml:space="preserve"> SUM(AB13:AD13) + $C13</f>
        <v>2</v>
      </c>
      <c r="AF13" s="485">
        <v>1</v>
      </c>
      <c r="AG13" s="478">
        <f>IF(AG$3&gt;1,0.5*AG$3,1)</f>
        <v>1</v>
      </c>
      <c r="AH13" s="630">
        <f>IF(AH$3=1,AF13+AG13+10,0)</f>
        <v>0</v>
      </c>
      <c r="AI13" s="21">
        <f xml:space="preserve"> SUM(AF13:AH13) + $C13</f>
        <v>2</v>
      </c>
    </row>
    <row r="14" spans="1:35" ht="15" customHeight="1" thickBot="1" x14ac:dyDescent="0.3">
      <c r="A14" s="1937"/>
      <c r="B14" s="13" t="s">
        <v>34</v>
      </c>
      <c r="C14" s="34"/>
      <c r="D14" s="2329">
        <v>2</v>
      </c>
      <c r="E14" s="2330">
        <f>IF(E$3&gt;1,0.5*E$3,1)</f>
        <v>1</v>
      </c>
      <c r="F14" s="2328">
        <f>IF(F$3=1,D14+E14+16,0)</f>
        <v>0</v>
      </c>
      <c r="G14" s="77">
        <f xml:space="preserve"> SUM(D14:F14) + $C14</f>
        <v>3</v>
      </c>
      <c r="H14" s="485">
        <v>2</v>
      </c>
      <c r="I14" s="478">
        <f>IF(I$3&gt;1,0.5*I$3,1)</f>
        <v>1</v>
      </c>
      <c r="J14" s="630">
        <f>IF(J$3=1,H14+I14+16,0)</f>
        <v>0</v>
      </c>
      <c r="K14" s="77">
        <f t="shared" si="7"/>
        <v>3</v>
      </c>
      <c r="L14" s="485">
        <v>2</v>
      </c>
      <c r="M14" s="478">
        <f>IF(M$3&gt;1,0.5*M$3,1)</f>
        <v>1</v>
      </c>
      <c r="N14" s="630">
        <f>IF(N$3=1,L14+M14+16,0)</f>
        <v>0</v>
      </c>
      <c r="O14" s="77">
        <f xml:space="preserve"> SUM(L14:N14) + $C14</f>
        <v>3</v>
      </c>
      <c r="P14" s="485">
        <v>2</v>
      </c>
      <c r="Q14" s="478">
        <f>IF(Q$3&gt;1,0.5*Q$3,1)</f>
        <v>1</v>
      </c>
      <c r="R14" s="630">
        <f>IF(R$3=1,P14+Q14+16,0)</f>
        <v>0</v>
      </c>
      <c r="S14" s="77">
        <f xml:space="preserve"> SUM(P14:R14) + $C14</f>
        <v>3</v>
      </c>
      <c r="T14" s="485">
        <v>2</v>
      </c>
      <c r="U14" s="478">
        <f>IF(U$3&gt;1,0.5*U$3,1)</f>
        <v>1</v>
      </c>
      <c r="V14" s="630">
        <f>IF(V$3=1,T14+U14+16,0)</f>
        <v>0</v>
      </c>
      <c r="W14" s="77">
        <f xml:space="preserve"> SUM(T14:V14) + $C14</f>
        <v>3</v>
      </c>
      <c r="X14" s="485">
        <v>2</v>
      </c>
      <c r="Y14" s="478">
        <f>IF(Y$3&gt;1,0.5*Y$3,1)</f>
        <v>1</v>
      </c>
      <c r="Z14" s="630">
        <f>IF(Z$3=1,X14+Y14+16,0)</f>
        <v>0</v>
      </c>
      <c r="AA14" s="77">
        <f xml:space="preserve"> SUM(X14:Z14) + $C14</f>
        <v>3</v>
      </c>
      <c r="AB14" s="485">
        <v>2</v>
      </c>
      <c r="AC14" s="478">
        <f>IF(AC$3&gt;1,0.5*AC$3,1)</f>
        <v>1</v>
      </c>
      <c r="AD14" s="630">
        <f>IF(AD$3=1,AB14+AC14+16,0)</f>
        <v>0</v>
      </c>
      <c r="AE14" s="77">
        <f xml:space="preserve"> SUM(AB14:AD14) + $C14</f>
        <v>3</v>
      </c>
      <c r="AF14" s="485">
        <v>2</v>
      </c>
      <c r="AG14" s="478">
        <f>IF(AG$3&gt;1,0.5*AG$3,1)</f>
        <v>1</v>
      </c>
      <c r="AH14" s="630">
        <f>IF(AH$3=1,AF14+AG14+16,0)</f>
        <v>0</v>
      </c>
      <c r="AI14" s="77">
        <f xml:space="preserve"> SUM(AF14:AH14) + $C14</f>
        <v>3</v>
      </c>
    </row>
    <row r="15" spans="1:35"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c r="AB15" s="329"/>
      <c r="AC15" s="329"/>
      <c r="AD15" s="327"/>
      <c r="AE15" s="327"/>
      <c r="AF15" s="329"/>
      <c r="AG15" s="329"/>
      <c r="AH15" s="327"/>
      <c r="AI15" s="396"/>
    </row>
    <row r="16" spans="1:35" x14ac:dyDescent="0.25">
      <c r="A16" s="1939" t="s">
        <v>4</v>
      </c>
      <c r="B16" s="1720" t="s">
        <v>32</v>
      </c>
      <c r="C16" s="324"/>
      <c r="D16" s="1703">
        <v>0.25</v>
      </c>
      <c r="E16" s="1704">
        <v>0</v>
      </c>
      <c r="F16" s="1705">
        <v>0</v>
      </c>
      <c r="G16" s="1706">
        <f t="shared" ref="G16:G36" si="8" xml:space="preserve"> SUM(D16:F16) + $C16</f>
        <v>0.25</v>
      </c>
      <c r="H16" s="1703">
        <v>0.25</v>
      </c>
      <c r="I16" s="1704">
        <v>0</v>
      </c>
      <c r="J16" s="1705">
        <v>0</v>
      </c>
      <c r="K16" s="1706">
        <f t="shared" si="7"/>
        <v>0.25</v>
      </c>
      <c r="L16" s="1703">
        <v>0.25</v>
      </c>
      <c r="M16" s="1704">
        <v>0</v>
      </c>
      <c r="N16" s="1705">
        <v>0</v>
      </c>
      <c r="O16" s="1706">
        <f t="shared" ref="O16:O36" si="9" xml:space="preserve"> SUM(L16:N16) + $C16</f>
        <v>0.25</v>
      </c>
      <c r="P16" s="1703">
        <v>0.25</v>
      </c>
      <c r="Q16" s="1704">
        <v>0</v>
      </c>
      <c r="R16" s="1705">
        <v>0</v>
      </c>
      <c r="S16" s="1706">
        <f t="shared" ref="S16:S36" si="10" xml:space="preserve"> SUM(P16:R16) + $C16</f>
        <v>0.25</v>
      </c>
      <c r="T16" s="1703">
        <v>0.25</v>
      </c>
      <c r="U16" s="1704">
        <v>0</v>
      </c>
      <c r="V16" s="1705">
        <v>0</v>
      </c>
      <c r="W16" s="1706">
        <f t="shared" ref="W16:W36" si="11" xml:space="preserve"> SUM(T16:V16) + $C16</f>
        <v>0.25</v>
      </c>
      <c r="X16" s="1703">
        <v>0.25</v>
      </c>
      <c r="Y16" s="1704">
        <v>0</v>
      </c>
      <c r="Z16" s="1705">
        <v>0</v>
      </c>
      <c r="AA16" s="1706">
        <f t="shared" ref="AA16:AA36" si="12" xml:space="preserve"> SUM(X16:Z16) + $C16</f>
        <v>0.25</v>
      </c>
      <c r="AB16" s="1703">
        <v>0.25</v>
      </c>
      <c r="AC16" s="1704">
        <v>0</v>
      </c>
      <c r="AD16" s="1705">
        <v>0</v>
      </c>
      <c r="AE16" s="1706">
        <f t="shared" ref="AE16:AE36" si="13" xml:space="preserve"> SUM(AB16:AD16) + $C16</f>
        <v>0.25</v>
      </c>
      <c r="AF16" s="1703">
        <v>0.25</v>
      </c>
      <c r="AG16" s="1704">
        <v>0</v>
      </c>
      <c r="AH16" s="1705">
        <v>0</v>
      </c>
      <c r="AI16" s="1706">
        <f t="shared" ref="AI16:AI36" si="14" xml:space="preserve"> SUM(AF16:AH16) + $C16</f>
        <v>0.25</v>
      </c>
    </row>
    <row r="17" spans="1:35" x14ac:dyDescent="0.25">
      <c r="A17" s="1938"/>
      <c r="B17" s="18" t="s">
        <v>33</v>
      </c>
      <c r="C17" s="22"/>
      <c r="D17" s="2331" t="s">
        <v>1772</v>
      </c>
      <c r="E17" s="2331" t="s">
        <v>1772</v>
      </c>
      <c r="F17" s="2331" t="s">
        <v>1772</v>
      </c>
      <c r="G17" s="21">
        <f t="shared" si="8"/>
        <v>0</v>
      </c>
      <c r="H17" s="482" t="s">
        <v>1772</v>
      </c>
      <c r="I17" s="482" t="s">
        <v>1772</v>
      </c>
      <c r="J17" s="482" t="s">
        <v>1772</v>
      </c>
      <c r="K17" s="21">
        <f t="shared" si="7"/>
        <v>0</v>
      </c>
      <c r="L17" s="482" t="s">
        <v>1772</v>
      </c>
      <c r="M17" s="482" t="s">
        <v>1772</v>
      </c>
      <c r="N17" s="482" t="s">
        <v>1772</v>
      </c>
      <c r="O17" s="21">
        <f t="shared" si="9"/>
        <v>0</v>
      </c>
      <c r="P17" s="482" t="s">
        <v>1772</v>
      </c>
      <c r="Q17" s="482" t="s">
        <v>1772</v>
      </c>
      <c r="R17" s="482" t="s">
        <v>1772</v>
      </c>
      <c r="S17" s="21">
        <f t="shared" si="10"/>
        <v>0</v>
      </c>
      <c r="T17" s="482" t="s">
        <v>1772</v>
      </c>
      <c r="U17" s="482" t="s">
        <v>1772</v>
      </c>
      <c r="V17" s="482" t="s">
        <v>1772</v>
      </c>
      <c r="W17" s="21">
        <f t="shared" si="11"/>
        <v>0</v>
      </c>
      <c r="X17" s="482" t="s">
        <v>1772</v>
      </c>
      <c r="Y17" s="482" t="s">
        <v>1772</v>
      </c>
      <c r="Z17" s="482" t="s">
        <v>1772</v>
      </c>
      <c r="AA17" s="21">
        <f t="shared" si="12"/>
        <v>0</v>
      </c>
      <c r="AB17" s="482" t="s">
        <v>1772</v>
      </c>
      <c r="AC17" s="482" t="s">
        <v>1772</v>
      </c>
      <c r="AD17" s="482" t="s">
        <v>1772</v>
      </c>
      <c r="AE17" s="21">
        <f t="shared" si="13"/>
        <v>0</v>
      </c>
      <c r="AF17" s="482" t="s">
        <v>1772</v>
      </c>
      <c r="AG17" s="482" t="s">
        <v>1772</v>
      </c>
      <c r="AH17" s="482" t="s">
        <v>1772</v>
      </c>
      <c r="AI17" s="21">
        <f t="shared" si="14"/>
        <v>0</v>
      </c>
    </row>
    <row r="18" spans="1:35" x14ac:dyDescent="0.25">
      <c r="A18" s="1938"/>
      <c r="B18" s="18" t="s">
        <v>34</v>
      </c>
      <c r="C18" s="22"/>
      <c r="D18" s="2331" t="s">
        <v>1772</v>
      </c>
      <c r="E18" s="2331" t="s">
        <v>1772</v>
      </c>
      <c r="F18" s="2331" t="s">
        <v>1772</v>
      </c>
      <c r="G18" s="21">
        <f t="shared" si="8"/>
        <v>0</v>
      </c>
      <c r="H18" s="482" t="s">
        <v>1772</v>
      </c>
      <c r="I18" s="482" t="s">
        <v>1772</v>
      </c>
      <c r="J18" s="482" t="s">
        <v>1772</v>
      </c>
      <c r="K18" s="21">
        <f t="shared" si="7"/>
        <v>0</v>
      </c>
      <c r="L18" s="482" t="s">
        <v>1772</v>
      </c>
      <c r="M18" s="482" t="s">
        <v>1772</v>
      </c>
      <c r="N18" s="482" t="s">
        <v>1772</v>
      </c>
      <c r="O18" s="21">
        <f t="shared" si="9"/>
        <v>0</v>
      </c>
      <c r="P18" s="482" t="s">
        <v>1772</v>
      </c>
      <c r="Q18" s="482" t="s">
        <v>1772</v>
      </c>
      <c r="R18" s="482" t="s">
        <v>1772</v>
      </c>
      <c r="S18" s="21">
        <f t="shared" si="10"/>
        <v>0</v>
      </c>
      <c r="T18" s="482" t="s">
        <v>1772</v>
      </c>
      <c r="U18" s="482" t="s">
        <v>1772</v>
      </c>
      <c r="V18" s="482" t="s">
        <v>1772</v>
      </c>
      <c r="W18" s="21">
        <f t="shared" si="11"/>
        <v>0</v>
      </c>
      <c r="X18" s="482" t="s">
        <v>1772</v>
      </c>
      <c r="Y18" s="482" t="s">
        <v>1772</v>
      </c>
      <c r="Z18" s="482" t="s">
        <v>1772</v>
      </c>
      <c r="AA18" s="21">
        <f t="shared" si="12"/>
        <v>0</v>
      </c>
      <c r="AB18" s="482" t="s">
        <v>1772</v>
      </c>
      <c r="AC18" s="482" t="s">
        <v>1772</v>
      </c>
      <c r="AD18" s="482" t="s">
        <v>1772</v>
      </c>
      <c r="AE18" s="21">
        <f t="shared" si="13"/>
        <v>0</v>
      </c>
      <c r="AF18" s="482" t="s">
        <v>1772</v>
      </c>
      <c r="AG18" s="482" t="s">
        <v>1772</v>
      </c>
      <c r="AH18" s="482" t="s">
        <v>1772</v>
      </c>
      <c r="AI18" s="21">
        <f t="shared" si="14"/>
        <v>0</v>
      </c>
    </row>
    <row r="19" spans="1:35" x14ac:dyDescent="0.25">
      <c r="A19" s="1938" t="s">
        <v>5</v>
      </c>
      <c r="B19" s="1721" t="s">
        <v>32</v>
      </c>
      <c r="C19" s="22"/>
      <c r="D19" s="1707">
        <f>IF($D$3&gt;1,1.5,1)</f>
        <v>1</v>
      </c>
      <c r="E19" s="1708">
        <f>IF($E$3&gt;1,1,0.5)</f>
        <v>0.5</v>
      </c>
      <c r="F19" s="1709">
        <v>0</v>
      </c>
      <c r="G19" s="1699">
        <f t="shared" si="8"/>
        <v>1.5</v>
      </c>
      <c r="H19" s="1707">
        <f>IF($D$3&gt;1,1.5,1)</f>
        <v>1</v>
      </c>
      <c r="I19" s="1708">
        <f>IF($E$3&gt;1,1,0.5)</f>
        <v>0.5</v>
      </c>
      <c r="J19" s="1709">
        <v>0</v>
      </c>
      <c r="K19" s="1699">
        <f t="shared" si="7"/>
        <v>1.5</v>
      </c>
      <c r="L19" s="1707">
        <f>IF($D$3&gt;1,1.5,1)</f>
        <v>1</v>
      </c>
      <c r="M19" s="1708">
        <f>IF($E$3&gt;1,1,0.5)</f>
        <v>0.5</v>
      </c>
      <c r="N19" s="1709">
        <v>0</v>
      </c>
      <c r="O19" s="1699">
        <f t="shared" si="9"/>
        <v>1.5</v>
      </c>
      <c r="P19" s="1707">
        <f>IF($D$3&gt;1,1.5,1)</f>
        <v>1</v>
      </c>
      <c r="Q19" s="1708">
        <f>IF($E$3&gt;1,1,0.5)</f>
        <v>0.5</v>
      </c>
      <c r="R19" s="1709">
        <v>0</v>
      </c>
      <c r="S19" s="1699">
        <f t="shared" si="10"/>
        <v>1.5</v>
      </c>
      <c r="T19" s="1707">
        <f>IF($D$3&gt;1,1.5,1)</f>
        <v>1</v>
      </c>
      <c r="U19" s="1708">
        <f>IF($E$3&gt;1,1,0.5)</f>
        <v>0.5</v>
      </c>
      <c r="V19" s="1709">
        <v>0</v>
      </c>
      <c r="W19" s="1699">
        <f t="shared" si="11"/>
        <v>1.5</v>
      </c>
      <c r="X19" s="1707">
        <f>IF($D$3&gt;1,1.5,1)</f>
        <v>1</v>
      </c>
      <c r="Y19" s="1708">
        <f>IF($E$3&gt;1,1,0.5)</f>
        <v>0.5</v>
      </c>
      <c r="Z19" s="1709">
        <v>0</v>
      </c>
      <c r="AA19" s="1699">
        <f t="shared" si="12"/>
        <v>1.5</v>
      </c>
      <c r="AB19" s="1707">
        <f>IF($D$3&gt;1,1.5,1)</f>
        <v>1</v>
      </c>
      <c r="AC19" s="1708">
        <f>IF($E$3&gt;1,1,0.5)</f>
        <v>0.5</v>
      </c>
      <c r="AD19" s="1709">
        <v>0</v>
      </c>
      <c r="AE19" s="1699">
        <f t="shared" si="13"/>
        <v>1.5</v>
      </c>
      <c r="AF19" s="1707">
        <f>IF($D$3&gt;1,1.5,1)</f>
        <v>1</v>
      </c>
      <c r="AG19" s="1708">
        <f>IF($E$3&gt;1,1,0.5)</f>
        <v>0.5</v>
      </c>
      <c r="AH19" s="1709">
        <v>0</v>
      </c>
      <c r="AI19" s="1699">
        <f t="shared" si="14"/>
        <v>1.5</v>
      </c>
    </row>
    <row r="20" spans="1:35" x14ac:dyDescent="0.25">
      <c r="A20" s="1938"/>
      <c r="B20" s="19" t="s">
        <v>33</v>
      </c>
      <c r="C20" s="22"/>
      <c r="D20" s="2331">
        <f>IF(D$3&gt;1,0.25*D$3,0.5)</f>
        <v>0.5</v>
      </c>
      <c r="E20" s="2332">
        <v>0</v>
      </c>
      <c r="F20" s="2332">
        <v>0</v>
      </c>
      <c r="G20" s="21">
        <f t="shared" si="8"/>
        <v>0.5</v>
      </c>
      <c r="H20" s="493">
        <f>IF(H$3&gt;1,0.25*H$3,0.5)</f>
        <v>0.5</v>
      </c>
      <c r="I20" s="484">
        <v>0</v>
      </c>
      <c r="J20" s="484">
        <v>0</v>
      </c>
      <c r="K20" s="21">
        <f t="shared" si="7"/>
        <v>0.5</v>
      </c>
      <c r="L20" s="493">
        <f>IF(L$3&gt;1,0.25*L$3,0.5)</f>
        <v>0.5</v>
      </c>
      <c r="M20" s="484">
        <v>0</v>
      </c>
      <c r="N20" s="484">
        <v>0</v>
      </c>
      <c r="O20" s="21">
        <f t="shared" si="9"/>
        <v>0.5</v>
      </c>
      <c r="P20" s="493">
        <f>IF(P$3&gt;1,0.25*P$3,0.5)</f>
        <v>0.5</v>
      </c>
      <c r="Q20" s="484">
        <v>0</v>
      </c>
      <c r="R20" s="484">
        <v>0</v>
      </c>
      <c r="S20" s="21">
        <f t="shared" si="10"/>
        <v>0.5</v>
      </c>
      <c r="T20" s="493">
        <f>IF(T$3&gt;1,0.25*T$3,0.5)</f>
        <v>0.5</v>
      </c>
      <c r="U20" s="484">
        <v>0</v>
      </c>
      <c r="V20" s="484">
        <v>0</v>
      </c>
      <c r="W20" s="21">
        <f t="shared" si="11"/>
        <v>0.5</v>
      </c>
      <c r="X20" s="493">
        <f>IF(X$3&gt;1,0.25*X$3,0.5)</f>
        <v>0.5</v>
      </c>
      <c r="Y20" s="484">
        <v>0</v>
      </c>
      <c r="Z20" s="484">
        <v>0</v>
      </c>
      <c r="AA20" s="21">
        <f t="shared" si="12"/>
        <v>0.5</v>
      </c>
      <c r="AB20" s="493">
        <f>IF(AB$3&gt;1,0.25*AB$3,0.5)</f>
        <v>0.5</v>
      </c>
      <c r="AC20" s="484">
        <v>0</v>
      </c>
      <c r="AD20" s="484">
        <v>0</v>
      </c>
      <c r="AE20" s="21">
        <f t="shared" si="13"/>
        <v>0.5</v>
      </c>
      <c r="AF20" s="493">
        <f>IF(AF$3&gt;1,0.25*AF$3,0.5)</f>
        <v>0.5</v>
      </c>
      <c r="AG20" s="484">
        <v>0</v>
      </c>
      <c r="AH20" s="484">
        <v>0</v>
      </c>
      <c r="AI20" s="21">
        <f t="shared" si="14"/>
        <v>0.5</v>
      </c>
    </row>
    <row r="21" spans="1:35" x14ac:dyDescent="0.25">
      <c r="A21" s="1938"/>
      <c r="B21" s="19" t="s">
        <v>34</v>
      </c>
      <c r="C21" s="22"/>
      <c r="D21" s="2331">
        <f>IF(D$3&gt;1,0.25*D$3,0.5)</f>
        <v>0.5</v>
      </c>
      <c r="E21" s="2332">
        <v>0</v>
      </c>
      <c r="F21" s="2332">
        <v>0</v>
      </c>
      <c r="G21" s="21">
        <f t="shared" si="8"/>
        <v>0.5</v>
      </c>
      <c r="H21" s="493">
        <f>IF(H$3&gt;1,0.25*H$3,0.5)</f>
        <v>0.5</v>
      </c>
      <c r="I21" s="484">
        <v>0</v>
      </c>
      <c r="J21" s="484">
        <v>0</v>
      </c>
      <c r="K21" s="21">
        <f t="shared" si="7"/>
        <v>0.5</v>
      </c>
      <c r="L21" s="493">
        <f>IF(L$3&gt;1,0.25*L$3,0.5)</f>
        <v>0.5</v>
      </c>
      <c r="M21" s="484">
        <v>0</v>
      </c>
      <c r="N21" s="484">
        <v>0</v>
      </c>
      <c r="O21" s="21">
        <f t="shared" si="9"/>
        <v>0.5</v>
      </c>
      <c r="P21" s="493">
        <f>IF(P$3&gt;1,0.25*P$3,0.5)</f>
        <v>0.5</v>
      </c>
      <c r="Q21" s="484">
        <v>0</v>
      </c>
      <c r="R21" s="484">
        <v>0</v>
      </c>
      <c r="S21" s="21">
        <f t="shared" si="10"/>
        <v>0.5</v>
      </c>
      <c r="T21" s="493">
        <f>IF(T$3&gt;1,0.25*T$3,0.5)</f>
        <v>0.5</v>
      </c>
      <c r="U21" s="484">
        <v>0</v>
      </c>
      <c r="V21" s="484">
        <v>0</v>
      </c>
      <c r="W21" s="21">
        <f t="shared" si="11"/>
        <v>0.5</v>
      </c>
      <c r="X21" s="493">
        <f>IF(X$3&gt;1,0.25*X$3,0.5)</f>
        <v>0.5</v>
      </c>
      <c r="Y21" s="484">
        <v>0</v>
      </c>
      <c r="Z21" s="484">
        <v>0</v>
      </c>
      <c r="AA21" s="21">
        <f t="shared" si="12"/>
        <v>0.5</v>
      </c>
      <c r="AB21" s="493">
        <f>IF(AB$3&gt;1,0.25*AB$3,0.5)</f>
        <v>0.5</v>
      </c>
      <c r="AC21" s="484">
        <v>0</v>
      </c>
      <c r="AD21" s="484">
        <v>0</v>
      </c>
      <c r="AE21" s="21">
        <f t="shared" si="13"/>
        <v>0.5</v>
      </c>
      <c r="AF21" s="493">
        <f>IF(AF$3&gt;1,0.25*AF$3,0.5)</f>
        <v>0.5</v>
      </c>
      <c r="AG21" s="484">
        <v>0</v>
      </c>
      <c r="AH21" s="484">
        <v>0</v>
      </c>
      <c r="AI21" s="21">
        <f t="shared" si="14"/>
        <v>0.5</v>
      </c>
    </row>
    <row r="22" spans="1:35" x14ac:dyDescent="0.25">
      <c r="A22" s="1938" t="s">
        <v>6</v>
      </c>
      <c r="B22" s="1721" t="s">
        <v>32</v>
      </c>
      <c r="C22" s="22"/>
      <c r="D22" s="1700">
        <v>2</v>
      </c>
      <c r="E22" s="1701">
        <f>IF($E$3&gt;1,2,1)</f>
        <v>1</v>
      </c>
      <c r="F22" s="1702">
        <f>0.5*$F$3</f>
        <v>0</v>
      </c>
      <c r="G22" s="1699">
        <f t="shared" si="8"/>
        <v>3</v>
      </c>
      <c r="H22" s="1700">
        <v>2</v>
      </c>
      <c r="I22" s="1701">
        <f>IF($E$3&gt;1,2,1)</f>
        <v>1</v>
      </c>
      <c r="J22" s="1702">
        <f>0.5*$F$3</f>
        <v>0</v>
      </c>
      <c r="K22" s="1699">
        <f t="shared" si="7"/>
        <v>3</v>
      </c>
      <c r="L22" s="1700">
        <v>2</v>
      </c>
      <c r="M22" s="1701">
        <f>IF($E$3&gt;1,2,1)</f>
        <v>1</v>
      </c>
      <c r="N22" s="1702">
        <f>0.5*$F$3</f>
        <v>0</v>
      </c>
      <c r="O22" s="1699">
        <f t="shared" si="9"/>
        <v>3</v>
      </c>
      <c r="P22" s="1700">
        <v>2</v>
      </c>
      <c r="Q22" s="1701">
        <f>IF($E$3&gt;1,2,1)</f>
        <v>1</v>
      </c>
      <c r="R22" s="1702">
        <f>0.5*$F$3</f>
        <v>0</v>
      </c>
      <c r="S22" s="1699">
        <f t="shared" si="10"/>
        <v>3</v>
      </c>
      <c r="T22" s="1700">
        <v>2</v>
      </c>
      <c r="U22" s="1701">
        <f>IF($E$3&gt;1,2,1)</f>
        <v>1</v>
      </c>
      <c r="V22" s="1702">
        <f>0.5*$F$3</f>
        <v>0</v>
      </c>
      <c r="W22" s="1699">
        <f t="shared" si="11"/>
        <v>3</v>
      </c>
      <c r="X22" s="1700">
        <v>2</v>
      </c>
      <c r="Y22" s="1701">
        <f>IF($E$3&gt;1,2,1)</f>
        <v>1</v>
      </c>
      <c r="Z22" s="1702">
        <f>0.5*$F$3</f>
        <v>0</v>
      </c>
      <c r="AA22" s="1699">
        <f t="shared" si="12"/>
        <v>3</v>
      </c>
      <c r="AB22" s="1700">
        <v>2</v>
      </c>
      <c r="AC22" s="1701">
        <f>IF($E$3&gt;1,2,1)</f>
        <v>1</v>
      </c>
      <c r="AD22" s="1702">
        <f>0.5*$F$3</f>
        <v>0</v>
      </c>
      <c r="AE22" s="1699">
        <f t="shared" si="13"/>
        <v>3</v>
      </c>
      <c r="AF22" s="1700">
        <v>2</v>
      </c>
      <c r="AG22" s="1701">
        <f>IF($E$3&gt;1,2,1)</f>
        <v>1</v>
      </c>
      <c r="AH22" s="1702">
        <f>0.5*$F$3</f>
        <v>0</v>
      </c>
      <c r="AI22" s="1699">
        <f t="shared" si="14"/>
        <v>3</v>
      </c>
    </row>
    <row r="23" spans="1:35" x14ac:dyDescent="0.25">
      <c r="A23" s="1938"/>
      <c r="B23" s="19" t="s">
        <v>33</v>
      </c>
      <c r="C23" s="22"/>
      <c r="D23" s="2329">
        <v>2</v>
      </c>
      <c r="E23" s="2330">
        <f>IF(E$3&gt;1,0.5*E$3,1)</f>
        <v>1</v>
      </c>
      <c r="F23" s="2328">
        <f>IF(F$3=1,D23+E23+10,0)</f>
        <v>0</v>
      </c>
      <c r="G23" s="21">
        <f t="shared" si="8"/>
        <v>3</v>
      </c>
      <c r="H23" s="485">
        <v>2</v>
      </c>
      <c r="I23" s="478">
        <f>IF(I$3&gt;1,0.5*I$3,1)</f>
        <v>1</v>
      </c>
      <c r="J23" s="630">
        <f>IF(J$3=1,H23+I23+10,0)</f>
        <v>0</v>
      </c>
      <c r="K23" s="21">
        <f t="shared" si="7"/>
        <v>3</v>
      </c>
      <c r="L23" s="485">
        <v>2</v>
      </c>
      <c r="M23" s="478">
        <f>IF(M$3&gt;1,0.5*M$3,1)</f>
        <v>1</v>
      </c>
      <c r="N23" s="630">
        <f>IF(N$3=1,L23+M23+10,0)</f>
        <v>0</v>
      </c>
      <c r="O23" s="21">
        <f t="shared" si="9"/>
        <v>3</v>
      </c>
      <c r="P23" s="485">
        <v>2</v>
      </c>
      <c r="Q23" s="478">
        <f>IF(Q$3&gt;1,0.5*Q$3,1)</f>
        <v>1</v>
      </c>
      <c r="R23" s="630">
        <f>IF(R$3=1,P23+Q23+10,0)</f>
        <v>0</v>
      </c>
      <c r="S23" s="21">
        <f t="shared" si="10"/>
        <v>3</v>
      </c>
      <c r="T23" s="485">
        <v>2</v>
      </c>
      <c r="U23" s="478">
        <f>IF(U$3&gt;1,0.5*U$3,1)</f>
        <v>1</v>
      </c>
      <c r="V23" s="630">
        <f>IF(V$3=1,T23+U23+10,0)</f>
        <v>0</v>
      </c>
      <c r="W23" s="21">
        <f t="shared" si="11"/>
        <v>3</v>
      </c>
      <c r="X23" s="485">
        <v>2</v>
      </c>
      <c r="Y23" s="478">
        <f>IF(Y$3&gt;1,0.5*Y$3,1)</f>
        <v>1</v>
      </c>
      <c r="Z23" s="630">
        <f>IF(Z$3=1,X23+Y23+10,0)</f>
        <v>0</v>
      </c>
      <c r="AA23" s="21">
        <f t="shared" si="12"/>
        <v>3</v>
      </c>
      <c r="AB23" s="485">
        <v>2</v>
      </c>
      <c r="AC23" s="478">
        <f>IF(AC$3&gt;1,0.5*AC$3,1)</f>
        <v>1</v>
      </c>
      <c r="AD23" s="630">
        <f>IF(AD$3=1,AB23+AC23+10,0)</f>
        <v>0</v>
      </c>
      <c r="AE23" s="21">
        <f t="shared" si="13"/>
        <v>3</v>
      </c>
      <c r="AF23" s="485">
        <v>2</v>
      </c>
      <c r="AG23" s="478">
        <f>IF(AG$3&gt;1,0.5*AG$3,1)</f>
        <v>1</v>
      </c>
      <c r="AH23" s="630">
        <f>IF(AH$3=1,AF23+AG23+10,0)</f>
        <v>0</v>
      </c>
      <c r="AI23" s="21">
        <f t="shared" si="14"/>
        <v>3</v>
      </c>
    </row>
    <row r="24" spans="1:35" x14ac:dyDescent="0.25">
      <c r="A24" s="1938"/>
      <c r="B24" s="19" t="s">
        <v>34</v>
      </c>
      <c r="C24" s="22"/>
      <c r="D24" s="2329">
        <v>4</v>
      </c>
      <c r="E24" s="2330">
        <f>IF(E$3&gt;1,0.5*E$3,1)</f>
        <v>1</v>
      </c>
      <c r="F24" s="2328">
        <f>IF(F$3=1,D24+E24+16,0)</f>
        <v>0</v>
      </c>
      <c r="G24" s="21">
        <f t="shared" si="8"/>
        <v>5</v>
      </c>
      <c r="H24" s="485">
        <v>4</v>
      </c>
      <c r="I24" s="478">
        <f>IF(I$3&gt;1,0.5*I$3,1)</f>
        <v>1</v>
      </c>
      <c r="J24" s="630">
        <f>IF(J$3=1,H24+I24+16,0)</f>
        <v>0</v>
      </c>
      <c r="K24" s="21">
        <f t="shared" si="7"/>
        <v>5</v>
      </c>
      <c r="L24" s="485">
        <v>4</v>
      </c>
      <c r="M24" s="478">
        <f>IF(M$3&gt;1,0.5*M$3,1)</f>
        <v>1</v>
      </c>
      <c r="N24" s="630">
        <f>IF(N$3=1,L24+M24+16,0)</f>
        <v>0</v>
      </c>
      <c r="O24" s="21">
        <f t="shared" si="9"/>
        <v>5</v>
      </c>
      <c r="P24" s="485">
        <v>4</v>
      </c>
      <c r="Q24" s="478">
        <f>IF(Q$3&gt;1,0.5*Q$3,1)</f>
        <v>1</v>
      </c>
      <c r="R24" s="630">
        <f>IF(R$3=1,P24+Q24+16,0)</f>
        <v>0</v>
      </c>
      <c r="S24" s="21">
        <f t="shared" si="10"/>
        <v>5</v>
      </c>
      <c r="T24" s="485">
        <v>4</v>
      </c>
      <c r="U24" s="478">
        <f>IF(U$3&gt;1,0.5*U$3,1)</f>
        <v>1</v>
      </c>
      <c r="V24" s="630">
        <f>IF(V$3=1,T24+U24+16,0)</f>
        <v>0</v>
      </c>
      <c r="W24" s="21">
        <f t="shared" si="11"/>
        <v>5</v>
      </c>
      <c r="X24" s="485">
        <v>4</v>
      </c>
      <c r="Y24" s="478">
        <f>IF(Y$3&gt;1,0.5*Y$3,1)</f>
        <v>1</v>
      </c>
      <c r="Z24" s="630">
        <f>IF(Z$3=1,X24+Y24+16,0)</f>
        <v>0</v>
      </c>
      <c r="AA24" s="21">
        <f t="shared" si="12"/>
        <v>5</v>
      </c>
      <c r="AB24" s="485">
        <v>4</v>
      </c>
      <c r="AC24" s="478">
        <f>IF(AC$3&gt;1,0.5*AC$3,1)</f>
        <v>1</v>
      </c>
      <c r="AD24" s="630">
        <f>IF(AD$3=1,AB24+AC24+16,0)</f>
        <v>0</v>
      </c>
      <c r="AE24" s="21">
        <f t="shared" si="13"/>
        <v>5</v>
      </c>
      <c r="AF24" s="485">
        <v>4</v>
      </c>
      <c r="AG24" s="478">
        <f>IF(AG$3&gt;1,0.5*AG$3,1)</f>
        <v>1</v>
      </c>
      <c r="AH24" s="630">
        <f>IF(AH$3=1,AF24+AG24+16,0)</f>
        <v>0</v>
      </c>
      <c r="AI24" s="21">
        <f t="shared" si="14"/>
        <v>5</v>
      </c>
    </row>
    <row r="25" spans="1:35" x14ac:dyDescent="0.25">
      <c r="A25" s="1938" t="s">
        <v>7</v>
      </c>
      <c r="B25" s="1721" t="s">
        <v>32</v>
      </c>
      <c r="C25" s="22"/>
      <c r="D25" s="1700">
        <v>1</v>
      </c>
      <c r="E25" s="1701">
        <v>0</v>
      </c>
      <c r="F25" s="1702">
        <v>0</v>
      </c>
      <c r="G25" s="1699">
        <f t="shared" si="8"/>
        <v>1</v>
      </c>
      <c r="H25" s="1700">
        <v>1</v>
      </c>
      <c r="I25" s="1701">
        <v>0</v>
      </c>
      <c r="J25" s="1702">
        <v>0</v>
      </c>
      <c r="K25" s="1699">
        <f t="shared" si="7"/>
        <v>1</v>
      </c>
      <c r="L25" s="1700">
        <v>1</v>
      </c>
      <c r="M25" s="1701">
        <v>0</v>
      </c>
      <c r="N25" s="1702">
        <v>0</v>
      </c>
      <c r="O25" s="1699">
        <f t="shared" si="9"/>
        <v>1</v>
      </c>
      <c r="P25" s="1700">
        <v>1</v>
      </c>
      <c r="Q25" s="1701">
        <v>0</v>
      </c>
      <c r="R25" s="1702">
        <v>0</v>
      </c>
      <c r="S25" s="1699">
        <f t="shared" si="10"/>
        <v>1</v>
      </c>
      <c r="T25" s="1700">
        <v>1</v>
      </c>
      <c r="U25" s="1701">
        <v>0</v>
      </c>
      <c r="V25" s="1702">
        <v>0</v>
      </c>
      <c r="W25" s="1699">
        <f t="shared" si="11"/>
        <v>1</v>
      </c>
      <c r="X25" s="1700">
        <v>1</v>
      </c>
      <c r="Y25" s="1701">
        <v>0</v>
      </c>
      <c r="Z25" s="1702">
        <v>0</v>
      </c>
      <c r="AA25" s="1699">
        <f t="shared" si="12"/>
        <v>1</v>
      </c>
      <c r="AB25" s="1700">
        <v>1</v>
      </c>
      <c r="AC25" s="1701">
        <v>0</v>
      </c>
      <c r="AD25" s="1702">
        <v>0</v>
      </c>
      <c r="AE25" s="1699">
        <f t="shared" si="13"/>
        <v>1</v>
      </c>
      <c r="AF25" s="1700">
        <v>1</v>
      </c>
      <c r="AG25" s="1701">
        <v>0</v>
      </c>
      <c r="AH25" s="1702">
        <v>0</v>
      </c>
      <c r="AI25" s="1699">
        <f t="shared" si="14"/>
        <v>1</v>
      </c>
    </row>
    <row r="26" spans="1:35" x14ac:dyDescent="0.25">
      <c r="A26" s="1938"/>
      <c r="B26" s="19" t="s">
        <v>33</v>
      </c>
      <c r="C26" s="22"/>
      <c r="D26" s="2329">
        <v>1</v>
      </c>
      <c r="E26" s="2330">
        <v>0</v>
      </c>
      <c r="F26" s="2331">
        <f>IF(F$3=1,D$3+0.5,0)</f>
        <v>0</v>
      </c>
      <c r="G26" s="21">
        <f t="shared" si="8"/>
        <v>1</v>
      </c>
      <c r="H26" s="485">
        <v>1</v>
      </c>
      <c r="I26" s="486">
        <v>0</v>
      </c>
      <c r="J26" s="493">
        <f>IF(J$3=1,H$3+0.5,0)</f>
        <v>0</v>
      </c>
      <c r="K26" s="21">
        <f t="shared" si="7"/>
        <v>1</v>
      </c>
      <c r="L26" s="485">
        <v>1</v>
      </c>
      <c r="M26" s="486">
        <v>0</v>
      </c>
      <c r="N26" s="493">
        <f>IF(N$3=1,L$3+0.5,0)</f>
        <v>0</v>
      </c>
      <c r="O26" s="21">
        <f t="shared" si="9"/>
        <v>1</v>
      </c>
      <c r="P26" s="485">
        <v>1</v>
      </c>
      <c r="Q26" s="486">
        <v>0</v>
      </c>
      <c r="R26" s="493">
        <f>IF(R$3=1,P$3+0.5,0)</f>
        <v>0</v>
      </c>
      <c r="S26" s="21">
        <f t="shared" si="10"/>
        <v>1</v>
      </c>
      <c r="T26" s="485">
        <v>1</v>
      </c>
      <c r="U26" s="486">
        <v>0</v>
      </c>
      <c r="V26" s="493">
        <f>IF(V$3=1,T$3+0.5,0)</f>
        <v>0</v>
      </c>
      <c r="W26" s="21">
        <f t="shared" si="11"/>
        <v>1</v>
      </c>
      <c r="X26" s="485">
        <v>1</v>
      </c>
      <c r="Y26" s="486">
        <v>0</v>
      </c>
      <c r="Z26" s="493">
        <f>IF(Z$3=1,X$3+0.5,0)</f>
        <v>0</v>
      </c>
      <c r="AA26" s="21">
        <f t="shared" si="12"/>
        <v>1</v>
      </c>
      <c r="AB26" s="485">
        <v>1</v>
      </c>
      <c r="AC26" s="486">
        <v>0</v>
      </c>
      <c r="AD26" s="493">
        <f>IF(AD$3=1,AB$3+0.5,0)</f>
        <v>0</v>
      </c>
      <c r="AE26" s="21">
        <f t="shared" si="13"/>
        <v>1</v>
      </c>
      <c r="AF26" s="485">
        <v>1</v>
      </c>
      <c r="AG26" s="486">
        <v>0</v>
      </c>
      <c r="AH26" s="493">
        <f>IF(AH$3=1,AF$3+0.5,0)</f>
        <v>0</v>
      </c>
      <c r="AI26" s="21">
        <f t="shared" si="14"/>
        <v>1</v>
      </c>
    </row>
    <row r="27" spans="1:35" x14ac:dyDescent="0.25">
      <c r="A27" s="1938"/>
      <c r="B27" s="19" t="s">
        <v>34</v>
      </c>
      <c r="C27" s="22"/>
      <c r="D27" s="2329">
        <v>2</v>
      </c>
      <c r="E27" s="2330">
        <v>0</v>
      </c>
      <c r="F27" s="2331">
        <f>IF(F$3=1,D$3+1,0)</f>
        <v>0</v>
      </c>
      <c r="G27" s="21">
        <f t="shared" si="8"/>
        <v>2</v>
      </c>
      <c r="H27" s="485">
        <v>2</v>
      </c>
      <c r="I27" s="486">
        <v>0</v>
      </c>
      <c r="J27" s="493">
        <f>IF(J$3=1,H$3+1,0)</f>
        <v>0</v>
      </c>
      <c r="K27" s="21">
        <f t="shared" si="7"/>
        <v>2</v>
      </c>
      <c r="L27" s="485">
        <v>2</v>
      </c>
      <c r="M27" s="486">
        <v>0</v>
      </c>
      <c r="N27" s="493">
        <f>IF(N$3=1,L$3+1,0)</f>
        <v>0</v>
      </c>
      <c r="O27" s="21">
        <f t="shared" si="9"/>
        <v>2</v>
      </c>
      <c r="P27" s="485">
        <v>2</v>
      </c>
      <c r="Q27" s="486">
        <v>0</v>
      </c>
      <c r="R27" s="493">
        <f>IF(R$3=1,P$3+1,0)</f>
        <v>0</v>
      </c>
      <c r="S27" s="21">
        <f t="shared" si="10"/>
        <v>2</v>
      </c>
      <c r="T27" s="485">
        <v>2</v>
      </c>
      <c r="U27" s="486">
        <v>0</v>
      </c>
      <c r="V27" s="493">
        <f>IF(V$3=1,T$3+1,0)</f>
        <v>0</v>
      </c>
      <c r="W27" s="21">
        <f t="shared" si="11"/>
        <v>2</v>
      </c>
      <c r="X27" s="485">
        <v>2</v>
      </c>
      <c r="Y27" s="486">
        <v>0</v>
      </c>
      <c r="Z27" s="493">
        <f>IF(Z$3=1,X$3+1,0)</f>
        <v>0</v>
      </c>
      <c r="AA27" s="21">
        <f t="shared" si="12"/>
        <v>2</v>
      </c>
      <c r="AB27" s="485">
        <v>2</v>
      </c>
      <c r="AC27" s="486">
        <v>0</v>
      </c>
      <c r="AD27" s="493">
        <f>IF(AD$3=1,AB$3+1,0)</f>
        <v>0</v>
      </c>
      <c r="AE27" s="21">
        <f t="shared" si="13"/>
        <v>2</v>
      </c>
      <c r="AF27" s="485">
        <v>2</v>
      </c>
      <c r="AG27" s="486">
        <v>0</v>
      </c>
      <c r="AH27" s="493">
        <f>IF(AH$3=1,AF$3+1,0)</f>
        <v>0</v>
      </c>
      <c r="AI27" s="21">
        <f t="shared" si="14"/>
        <v>2</v>
      </c>
    </row>
    <row r="28" spans="1:35" x14ac:dyDescent="0.25">
      <c r="A28" s="1938" t="s">
        <v>8</v>
      </c>
      <c r="B28" s="1721" t="s">
        <v>32</v>
      </c>
      <c r="C28" s="22"/>
      <c r="D28" s="1707">
        <v>1</v>
      </c>
      <c r="E28" s="1708">
        <f>IF($E$3&gt;1,1,0.5)</f>
        <v>0.5</v>
      </c>
      <c r="F28" s="1709">
        <v>0</v>
      </c>
      <c r="G28" s="1699">
        <f t="shared" si="8"/>
        <v>1.5</v>
      </c>
      <c r="H28" s="1707">
        <v>1</v>
      </c>
      <c r="I28" s="1708">
        <f>IF($E$3&gt;1,1,0.5)</f>
        <v>0.5</v>
      </c>
      <c r="J28" s="1709">
        <v>0</v>
      </c>
      <c r="K28" s="1699">
        <f t="shared" si="7"/>
        <v>1.5</v>
      </c>
      <c r="L28" s="1707">
        <v>1</v>
      </c>
      <c r="M28" s="1708">
        <f>IF($E$3&gt;1,1,0.5)</f>
        <v>0.5</v>
      </c>
      <c r="N28" s="1709">
        <v>0</v>
      </c>
      <c r="O28" s="1699">
        <f t="shared" si="9"/>
        <v>1.5</v>
      </c>
      <c r="P28" s="1707">
        <v>1</v>
      </c>
      <c r="Q28" s="1708">
        <f>IF($E$3&gt;1,1,0.5)</f>
        <v>0.5</v>
      </c>
      <c r="R28" s="1709">
        <v>0</v>
      </c>
      <c r="S28" s="1699">
        <f t="shared" si="10"/>
        <v>1.5</v>
      </c>
      <c r="T28" s="1707">
        <v>1</v>
      </c>
      <c r="U28" s="1708">
        <f>IF($E$3&gt;1,1,0.5)</f>
        <v>0.5</v>
      </c>
      <c r="V28" s="1709">
        <v>0</v>
      </c>
      <c r="W28" s="1699">
        <f t="shared" si="11"/>
        <v>1.5</v>
      </c>
      <c r="X28" s="1707">
        <v>1</v>
      </c>
      <c r="Y28" s="1708">
        <f>IF($E$3&gt;1,1,0.5)</f>
        <v>0.5</v>
      </c>
      <c r="Z28" s="1709">
        <v>0</v>
      </c>
      <c r="AA28" s="1699">
        <f t="shared" si="12"/>
        <v>1.5</v>
      </c>
      <c r="AB28" s="1707">
        <v>1</v>
      </c>
      <c r="AC28" s="1708">
        <f>IF($E$3&gt;1,1,0.5)</f>
        <v>0.5</v>
      </c>
      <c r="AD28" s="1709">
        <v>0</v>
      </c>
      <c r="AE28" s="1699">
        <f t="shared" si="13"/>
        <v>1.5</v>
      </c>
      <c r="AF28" s="1707">
        <v>1</v>
      </c>
      <c r="AG28" s="1708">
        <f>IF($E$3&gt;1,1,0.5)</f>
        <v>0.5</v>
      </c>
      <c r="AH28" s="1709">
        <v>0</v>
      </c>
      <c r="AI28" s="1699">
        <f t="shared" si="14"/>
        <v>1.5</v>
      </c>
    </row>
    <row r="29" spans="1:35" x14ac:dyDescent="0.25">
      <c r="A29" s="1938"/>
      <c r="B29" s="19" t="s">
        <v>33</v>
      </c>
      <c r="C29" s="22"/>
      <c r="D29" s="2331">
        <v>2</v>
      </c>
      <c r="E29" s="2330">
        <f>IF(E$3&gt;1,0.75*E$3,1.5)</f>
        <v>1.5</v>
      </c>
      <c r="F29" s="2328">
        <f>IF(F$3=1,D29+E29+2,0)</f>
        <v>0</v>
      </c>
      <c r="G29" s="21">
        <f t="shared" si="8"/>
        <v>3.5</v>
      </c>
      <c r="H29" s="482">
        <v>2</v>
      </c>
      <c r="I29" s="478">
        <f>IF(I$3&gt;1,0.75*I$3,1.5)</f>
        <v>1.5</v>
      </c>
      <c r="J29" s="630">
        <f>IF(J$3=1,H29+I29+2,0)</f>
        <v>0</v>
      </c>
      <c r="K29" s="21">
        <f t="shared" si="7"/>
        <v>3.5</v>
      </c>
      <c r="L29" s="482">
        <v>2</v>
      </c>
      <c r="M29" s="478">
        <f>IF(M$3&gt;1,0.75*M$3,1.5)</f>
        <v>1.5</v>
      </c>
      <c r="N29" s="630">
        <f>IF(N$3=1,L29+M29+2,0)</f>
        <v>0</v>
      </c>
      <c r="O29" s="21">
        <f t="shared" si="9"/>
        <v>3.5</v>
      </c>
      <c r="P29" s="482">
        <v>2</v>
      </c>
      <c r="Q29" s="478">
        <f>IF(Q$3&gt;1,0.75*Q$3,1.5)</f>
        <v>1.5</v>
      </c>
      <c r="R29" s="630">
        <f>IF(R$3=1,P29+Q29+2,0)</f>
        <v>0</v>
      </c>
      <c r="S29" s="21">
        <f t="shared" si="10"/>
        <v>3.5</v>
      </c>
      <c r="T29" s="482">
        <v>2</v>
      </c>
      <c r="U29" s="478">
        <f>IF(U$3&gt;1,0.75*U$3,1.5)</f>
        <v>1.5</v>
      </c>
      <c r="V29" s="630">
        <f>IF(V$3=1,T29+U29+2,0)</f>
        <v>0</v>
      </c>
      <c r="W29" s="21">
        <f t="shared" si="11"/>
        <v>3.5</v>
      </c>
      <c r="X29" s="482">
        <v>2</v>
      </c>
      <c r="Y29" s="478">
        <f>IF(Y$3&gt;1,0.75*Y$3,1.5)</f>
        <v>1.5</v>
      </c>
      <c r="Z29" s="630">
        <f>IF(Z$3=1,X29+Y29+2,0)</f>
        <v>0</v>
      </c>
      <c r="AA29" s="21">
        <f t="shared" si="12"/>
        <v>3.5</v>
      </c>
      <c r="AB29" s="482">
        <v>2</v>
      </c>
      <c r="AC29" s="478">
        <f>IF(AC$3&gt;1,0.75*AC$3,1.5)</f>
        <v>1.5</v>
      </c>
      <c r="AD29" s="630">
        <f>IF(AD$3=1,AB29+AC29+2,0)</f>
        <v>0</v>
      </c>
      <c r="AE29" s="21">
        <f t="shared" si="13"/>
        <v>3.5</v>
      </c>
      <c r="AF29" s="482">
        <v>2</v>
      </c>
      <c r="AG29" s="478">
        <f>IF(AG$3&gt;1,0.75*AG$3,1.5)</f>
        <v>1.5</v>
      </c>
      <c r="AH29" s="630">
        <f>IF(AH$3=1,AF29+AG29+2,0)</f>
        <v>0</v>
      </c>
      <c r="AI29" s="21">
        <f t="shared" si="14"/>
        <v>3.5</v>
      </c>
    </row>
    <row r="30" spans="1:35" x14ac:dyDescent="0.25">
      <c r="A30" s="1938"/>
      <c r="B30" s="19" t="s">
        <v>34</v>
      </c>
      <c r="C30" s="22"/>
      <c r="D30" s="2331">
        <v>4</v>
      </c>
      <c r="E30" s="2330">
        <f>IF(E$3&gt;1,0.75*E$3,1.5)</f>
        <v>1.5</v>
      </c>
      <c r="F30" s="2328">
        <f>IF(F$3=1,D30+E30+4,0)</f>
        <v>0</v>
      </c>
      <c r="G30" s="21">
        <f t="shared" si="8"/>
        <v>5.5</v>
      </c>
      <c r="H30" s="482">
        <v>4</v>
      </c>
      <c r="I30" s="478">
        <f>IF(I$3&gt;1,0.75*I$3,1.5)</f>
        <v>1.5</v>
      </c>
      <c r="J30" s="630">
        <f>IF(J$3=1,H30+I30+4,0)</f>
        <v>0</v>
      </c>
      <c r="K30" s="21">
        <f t="shared" si="7"/>
        <v>5.5</v>
      </c>
      <c r="L30" s="482">
        <v>4</v>
      </c>
      <c r="M30" s="478">
        <f>IF(M$3&gt;1,0.75*M$3,1.5)</f>
        <v>1.5</v>
      </c>
      <c r="N30" s="630">
        <f>IF(N$3=1,L30+M30+4,0)</f>
        <v>0</v>
      </c>
      <c r="O30" s="21">
        <f t="shared" si="9"/>
        <v>5.5</v>
      </c>
      <c r="P30" s="482">
        <v>4</v>
      </c>
      <c r="Q30" s="478">
        <f>IF(Q$3&gt;1,0.75*Q$3,1.5)</f>
        <v>1.5</v>
      </c>
      <c r="R30" s="630">
        <f>IF(R$3=1,P30+Q30+4,0)</f>
        <v>0</v>
      </c>
      <c r="S30" s="21">
        <f t="shared" si="10"/>
        <v>5.5</v>
      </c>
      <c r="T30" s="482">
        <v>4</v>
      </c>
      <c r="U30" s="478">
        <f>IF(U$3&gt;1,0.75*U$3,1.5)</f>
        <v>1.5</v>
      </c>
      <c r="V30" s="630">
        <f>IF(V$3=1,T30+U30+4,0)</f>
        <v>0</v>
      </c>
      <c r="W30" s="21">
        <f t="shared" si="11"/>
        <v>5.5</v>
      </c>
      <c r="X30" s="482">
        <v>4</v>
      </c>
      <c r="Y30" s="478">
        <f>IF(Y$3&gt;1,0.75*Y$3,1.5)</f>
        <v>1.5</v>
      </c>
      <c r="Z30" s="630">
        <f>IF(Z$3=1,X30+Y30+4,0)</f>
        <v>0</v>
      </c>
      <c r="AA30" s="21">
        <f t="shared" si="12"/>
        <v>5.5</v>
      </c>
      <c r="AB30" s="482">
        <v>4</v>
      </c>
      <c r="AC30" s="478">
        <f>IF(AC$3&gt;1,0.75*AC$3,1.5)</f>
        <v>1.5</v>
      </c>
      <c r="AD30" s="630">
        <f>IF(AD$3=1,AB30+AC30+4,0)</f>
        <v>0</v>
      </c>
      <c r="AE30" s="21">
        <f t="shared" si="13"/>
        <v>5.5</v>
      </c>
      <c r="AF30" s="482">
        <v>4</v>
      </c>
      <c r="AG30" s="478">
        <f>IF(AG$3&gt;1,0.75*AG$3,1.5)</f>
        <v>1.5</v>
      </c>
      <c r="AH30" s="630">
        <f>IF(AH$3=1,AF30+AG30+4,0)</f>
        <v>0</v>
      </c>
      <c r="AI30" s="21">
        <f t="shared" si="14"/>
        <v>5.5</v>
      </c>
    </row>
    <row r="31" spans="1:35" x14ac:dyDescent="0.25">
      <c r="A31" s="1938" t="s">
        <v>9</v>
      </c>
      <c r="B31" s="1721" t="s">
        <v>32</v>
      </c>
      <c r="C31" s="22"/>
      <c r="D31" s="1707">
        <f>IF($D$3&gt;1,$D$3*0.5+2,2)</f>
        <v>2</v>
      </c>
      <c r="E31" s="1708">
        <v>0</v>
      </c>
      <c r="F31" s="1702">
        <f t="shared" ref="F31:F34" si="15">$F$3*0.25</f>
        <v>0</v>
      </c>
      <c r="G31" s="1699">
        <f t="shared" si="8"/>
        <v>2</v>
      </c>
      <c r="H31" s="1707">
        <f>IF($D$3&gt;1,$D$3*0.5+2,2)</f>
        <v>2</v>
      </c>
      <c r="I31" s="1708">
        <v>0</v>
      </c>
      <c r="J31" s="1702">
        <f t="shared" ref="J31:J34" si="16">$F$3*0.25</f>
        <v>0</v>
      </c>
      <c r="K31" s="1699">
        <f t="shared" si="7"/>
        <v>2</v>
      </c>
      <c r="L31" s="1707">
        <f>IF($D$3&gt;1,$D$3*0.5+2,2)</f>
        <v>2</v>
      </c>
      <c r="M31" s="1708">
        <v>0</v>
      </c>
      <c r="N31" s="1702">
        <f t="shared" ref="N31:N34" si="17">$F$3*0.25</f>
        <v>0</v>
      </c>
      <c r="O31" s="1699">
        <f t="shared" si="9"/>
        <v>2</v>
      </c>
      <c r="P31" s="1707">
        <f>IF($D$3&gt;1,$D$3*0.5+2,2)</f>
        <v>2</v>
      </c>
      <c r="Q31" s="1708">
        <v>0</v>
      </c>
      <c r="R31" s="1702">
        <f t="shared" ref="R31:R34" si="18">$F$3*0.25</f>
        <v>0</v>
      </c>
      <c r="S31" s="1699">
        <f t="shared" si="10"/>
        <v>2</v>
      </c>
      <c r="T31" s="1707">
        <f>IF($D$3&gt;1,$D$3*0.5+2,2)</f>
        <v>2</v>
      </c>
      <c r="U31" s="1708">
        <v>0</v>
      </c>
      <c r="V31" s="1702">
        <f t="shared" ref="V31:V34" si="19">$F$3*0.25</f>
        <v>0</v>
      </c>
      <c r="W31" s="1699">
        <f t="shared" si="11"/>
        <v>2</v>
      </c>
      <c r="X31" s="1707">
        <f>IF($D$3&gt;1,$D$3*0.5+2,2)</f>
        <v>2</v>
      </c>
      <c r="Y31" s="1708">
        <v>0</v>
      </c>
      <c r="Z31" s="1702">
        <f t="shared" ref="Z31:Z34" si="20">$F$3*0.25</f>
        <v>0</v>
      </c>
      <c r="AA31" s="1699">
        <f t="shared" si="12"/>
        <v>2</v>
      </c>
      <c r="AB31" s="1707">
        <f>IF($D$3&gt;1,$D$3*0.5+2,2)</f>
        <v>2</v>
      </c>
      <c r="AC31" s="1708">
        <v>0</v>
      </c>
      <c r="AD31" s="1702">
        <f t="shared" ref="AD31:AD34" si="21">$F$3*0.25</f>
        <v>0</v>
      </c>
      <c r="AE31" s="1699">
        <f t="shared" si="13"/>
        <v>2</v>
      </c>
      <c r="AF31" s="1707">
        <f>IF($D$3&gt;1,$D$3*0.5+2,2)</f>
        <v>2</v>
      </c>
      <c r="AG31" s="1708">
        <v>0</v>
      </c>
      <c r="AH31" s="1702">
        <f t="shared" ref="AH31:AH34" si="22">$F$3*0.25</f>
        <v>0</v>
      </c>
      <c r="AI31" s="1699">
        <f t="shared" si="14"/>
        <v>2</v>
      </c>
    </row>
    <row r="32" spans="1:35" x14ac:dyDescent="0.25">
      <c r="A32" s="1938"/>
      <c r="B32" s="19" t="s">
        <v>33</v>
      </c>
      <c r="C32" s="22"/>
      <c r="D32" s="2331">
        <f>IF(D$3&gt;1,D$3*0.25,0.25)</f>
        <v>0.25</v>
      </c>
      <c r="E32" s="2333">
        <v>0</v>
      </c>
      <c r="F32" s="2328">
        <f>IF(F$3=1,D32+E32+2,0)</f>
        <v>0</v>
      </c>
      <c r="G32" s="21">
        <f t="shared" si="8"/>
        <v>0.25</v>
      </c>
      <c r="H32" s="493">
        <f>IF(H$3&gt;1,H$3*0.25,0.25)</f>
        <v>0.25</v>
      </c>
      <c r="I32" s="489">
        <v>0</v>
      </c>
      <c r="J32" s="630">
        <f>IF(J$3=1,H32+I32+2,0)</f>
        <v>0</v>
      </c>
      <c r="K32" s="21">
        <f t="shared" si="7"/>
        <v>0.25</v>
      </c>
      <c r="L32" s="493">
        <f>IF(L$3&gt;1,L$3*0.25,0.25)</f>
        <v>0.25</v>
      </c>
      <c r="M32" s="489">
        <v>0</v>
      </c>
      <c r="N32" s="630">
        <f>IF(N$3=1,L32+M32+2,0)</f>
        <v>0</v>
      </c>
      <c r="O32" s="21">
        <f t="shared" si="9"/>
        <v>0.25</v>
      </c>
      <c r="P32" s="493">
        <f>IF(P$3&gt;1,P$3*0.25,0.25)</f>
        <v>0.25</v>
      </c>
      <c r="Q32" s="489">
        <v>0</v>
      </c>
      <c r="R32" s="630">
        <f>IF(R$3=1,P32+Q32+2,0)</f>
        <v>0</v>
      </c>
      <c r="S32" s="21">
        <f t="shared" si="10"/>
        <v>0.25</v>
      </c>
      <c r="T32" s="493">
        <f>IF(T$3&gt;1,T$3*0.25,0.25)</f>
        <v>0.25</v>
      </c>
      <c r="U32" s="489">
        <v>0</v>
      </c>
      <c r="V32" s="630">
        <f>IF(V$3=1,T32+U32+2,0)</f>
        <v>0</v>
      </c>
      <c r="W32" s="21">
        <f t="shared" si="11"/>
        <v>0.25</v>
      </c>
      <c r="X32" s="493">
        <f>IF(X$3&gt;1,X$3*0.25,0.25)</f>
        <v>0.25</v>
      </c>
      <c r="Y32" s="489">
        <v>0</v>
      </c>
      <c r="Z32" s="630">
        <f>IF(Z$3=1,X32+Y32+2,0)</f>
        <v>0</v>
      </c>
      <c r="AA32" s="21">
        <f t="shared" si="12"/>
        <v>0.25</v>
      </c>
      <c r="AB32" s="493">
        <f>IF(AB$3&gt;1,AB$3*0.25,0.25)</f>
        <v>0.25</v>
      </c>
      <c r="AC32" s="489">
        <v>0</v>
      </c>
      <c r="AD32" s="630">
        <f>IF(AD$3=1,AB32+AC32+2,0)</f>
        <v>0</v>
      </c>
      <c r="AE32" s="21">
        <f t="shared" si="13"/>
        <v>0.25</v>
      </c>
      <c r="AF32" s="493">
        <f>IF(AF$3&gt;1,AF$3*0.25,0.25)</f>
        <v>0.25</v>
      </c>
      <c r="AG32" s="489">
        <v>0</v>
      </c>
      <c r="AH32" s="630">
        <f>IF(AH$3=1,AF32+AG32+2,0)</f>
        <v>0</v>
      </c>
      <c r="AI32" s="21">
        <f t="shared" si="14"/>
        <v>0.25</v>
      </c>
    </row>
    <row r="33" spans="1:35" x14ac:dyDescent="0.25">
      <c r="A33" s="1938"/>
      <c r="B33" s="19" t="s">
        <v>34</v>
      </c>
      <c r="C33" s="22"/>
      <c r="D33" s="2331">
        <f>IF(D$3&gt;1,D$3*0.25,0.25)</f>
        <v>0.25</v>
      </c>
      <c r="E33" s="2333">
        <v>0</v>
      </c>
      <c r="F33" s="2328">
        <f>IF(F$3=1,D33+E33+4,0)</f>
        <v>0</v>
      </c>
      <c r="G33" s="21">
        <f t="shared" si="8"/>
        <v>0.25</v>
      </c>
      <c r="H33" s="493">
        <f>IF(H$3&gt;1,H$3*0.25,0.25)</f>
        <v>0.25</v>
      </c>
      <c r="I33" s="489">
        <v>0</v>
      </c>
      <c r="J33" s="630">
        <f>IF(J$3=1,H33+I33+4,0)</f>
        <v>0</v>
      </c>
      <c r="K33" s="21">
        <f t="shared" si="7"/>
        <v>0.25</v>
      </c>
      <c r="L33" s="493">
        <f>IF(L$3&gt;1,L$3*0.25,0.25)</f>
        <v>0.25</v>
      </c>
      <c r="M33" s="489">
        <v>0</v>
      </c>
      <c r="N33" s="630">
        <f>IF(N$3=1,L33+M33+4,0)</f>
        <v>0</v>
      </c>
      <c r="O33" s="21">
        <f t="shared" si="9"/>
        <v>0.25</v>
      </c>
      <c r="P33" s="493">
        <f>IF(P$3&gt;1,P$3*0.25,0.25)</f>
        <v>0.25</v>
      </c>
      <c r="Q33" s="489">
        <v>0</v>
      </c>
      <c r="R33" s="630">
        <f>IF(R$3=1,P33+Q33+4,0)</f>
        <v>0</v>
      </c>
      <c r="S33" s="21">
        <f t="shared" si="10"/>
        <v>0.25</v>
      </c>
      <c r="T33" s="493">
        <f>IF(T$3&gt;1,T$3*0.25,0.25)</f>
        <v>0.25</v>
      </c>
      <c r="U33" s="489">
        <v>0</v>
      </c>
      <c r="V33" s="630">
        <f>IF(V$3=1,T33+U33+4,0)</f>
        <v>0</v>
      </c>
      <c r="W33" s="21">
        <f t="shared" si="11"/>
        <v>0.25</v>
      </c>
      <c r="X33" s="493">
        <f>IF(X$3&gt;1,X$3*0.25,0.25)</f>
        <v>0.25</v>
      </c>
      <c r="Y33" s="489">
        <v>0</v>
      </c>
      <c r="Z33" s="630">
        <f>IF(Z$3=1,X33+Y33+4,0)</f>
        <v>0</v>
      </c>
      <c r="AA33" s="21">
        <f t="shared" si="12"/>
        <v>0.25</v>
      </c>
      <c r="AB33" s="493">
        <f>IF(AB$3&gt;1,AB$3*0.25,0.25)</f>
        <v>0.25</v>
      </c>
      <c r="AC33" s="489">
        <v>0</v>
      </c>
      <c r="AD33" s="630">
        <f>IF(AD$3=1,AB33+AC33+4,0)</f>
        <v>0</v>
      </c>
      <c r="AE33" s="21">
        <f t="shared" si="13"/>
        <v>0.25</v>
      </c>
      <c r="AF33" s="493">
        <f>IF(AF$3&gt;1,AF$3*0.25,0.25)</f>
        <v>0.25</v>
      </c>
      <c r="AG33" s="489">
        <v>0</v>
      </c>
      <c r="AH33" s="630">
        <f>IF(AH$3=1,AF33+AG33+4,0)</f>
        <v>0</v>
      </c>
      <c r="AI33" s="21">
        <f t="shared" si="14"/>
        <v>0.25</v>
      </c>
    </row>
    <row r="34" spans="1:35" x14ac:dyDescent="0.25">
      <c r="A34" s="1938" t="s">
        <v>10</v>
      </c>
      <c r="B34" s="1721" t="s">
        <v>32</v>
      </c>
      <c r="C34" s="22"/>
      <c r="D34" s="1707">
        <v>0.5</v>
      </c>
      <c r="E34" s="1708">
        <v>0</v>
      </c>
      <c r="F34" s="1709">
        <f t="shared" si="15"/>
        <v>0</v>
      </c>
      <c r="G34" s="1699">
        <f t="shared" si="8"/>
        <v>0.5</v>
      </c>
      <c r="H34" s="1707">
        <v>0.5</v>
      </c>
      <c r="I34" s="1708">
        <v>0</v>
      </c>
      <c r="J34" s="1709">
        <f t="shared" si="16"/>
        <v>0</v>
      </c>
      <c r="K34" s="1699">
        <f t="shared" si="7"/>
        <v>0.5</v>
      </c>
      <c r="L34" s="1707">
        <v>0.5</v>
      </c>
      <c r="M34" s="1708">
        <v>0</v>
      </c>
      <c r="N34" s="1709">
        <f t="shared" si="17"/>
        <v>0</v>
      </c>
      <c r="O34" s="1699">
        <f t="shared" si="9"/>
        <v>0.5</v>
      </c>
      <c r="P34" s="1707">
        <v>0.5</v>
      </c>
      <c r="Q34" s="1708">
        <v>0</v>
      </c>
      <c r="R34" s="1709">
        <f t="shared" si="18"/>
        <v>0</v>
      </c>
      <c r="S34" s="1699">
        <f t="shared" si="10"/>
        <v>0.5</v>
      </c>
      <c r="T34" s="1707">
        <v>0.5</v>
      </c>
      <c r="U34" s="1708">
        <v>0</v>
      </c>
      <c r="V34" s="1709">
        <f t="shared" si="19"/>
        <v>0</v>
      </c>
      <c r="W34" s="1699">
        <f t="shared" si="11"/>
        <v>0.5</v>
      </c>
      <c r="X34" s="1707">
        <v>0.5</v>
      </c>
      <c r="Y34" s="1708">
        <v>0</v>
      </c>
      <c r="Z34" s="1709">
        <f t="shared" si="20"/>
        <v>0</v>
      </c>
      <c r="AA34" s="1699">
        <f t="shared" si="12"/>
        <v>0.5</v>
      </c>
      <c r="AB34" s="1707">
        <v>0.5</v>
      </c>
      <c r="AC34" s="1708">
        <v>0</v>
      </c>
      <c r="AD34" s="1709">
        <f t="shared" si="21"/>
        <v>0</v>
      </c>
      <c r="AE34" s="1699">
        <f t="shared" si="13"/>
        <v>0.5</v>
      </c>
      <c r="AF34" s="1707">
        <v>0.5</v>
      </c>
      <c r="AG34" s="1708">
        <v>0</v>
      </c>
      <c r="AH34" s="1709">
        <f t="shared" si="22"/>
        <v>0</v>
      </c>
      <c r="AI34" s="1699">
        <f t="shared" si="14"/>
        <v>0.5</v>
      </c>
    </row>
    <row r="35" spans="1:35" x14ac:dyDescent="0.25">
      <c r="A35" s="1938"/>
      <c r="B35" s="19" t="s">
        <v>33</v>
      </c>
      <c r="C35" s="22"/>
      <c r="D35" s="2331">
        <v>1</v>
      </c>
      <c r="E35" s="2330">
        <f>IF(E$3&gt;1,0.25*E$3,0.5)</f>
        <v>0.5</v>
      </c>
      <c r="F35" s="2331">
        <f>IF(F$3=1,D35+2,0)</f>
        <v>0</v>
      </c>
      <c r="G35" s="21">
        <f t="shared" si="8"/>
        <v>1.5</v>
      </c>
      <c r="H35" s="482">
        <v>1</v>
      </c>
      <c r="I35" s="478">
        <f>IF(I$3&gt;1,0.25*I$3,0.5)</f>
        <v>0.5</v>
      </c>
      <c r="J35" s="493">
        <f>IF(J$3=1,H35+2,0)</f>
        <v>0</v>
      </c>
      <c r="K35" s="21">
        <f t="shared" si="7"/>
        <v>1.5</v>
      </c>
      <c r="L35" s="482">
        <v>1</v>
      </c>
      <c r="M35" s="478">
        <f>IF(M$3&gt;1,0.25*M$3,0.5)</f>
        <v>0.5</v>
      </c>
      <c r="N35" s="493">
        <f>IF(N$3=1,L35+2,0)</f>
        <v>0</v>
      </c>
      <c r="O35" s="21">
        <f t="shared" si="9"/>
        <v>1.5</v>
      </c>
      <c r="P35" s="482">
        <v>1</v>
      </c>
      <c r="Q35" s="478">
        <f>IF(Q$3&gt;1,0.25*Q$3,0.5)</f>
        <v>0.5</v>
      </c>
      <c r="R35" s="493">
        <f>IF(R$3=1,P35+2,0)</f>
        <v>0</v>
      </c>
      <c r="S35" s="21">
        <f t="shared" si="10"/>
        <v>1.5</v>
      </c>
      <c r="T35" s="482">
        <v>1</v>
      </c>
      <c r="U35" s="478">
        <f>IF(U$3&gt;1,0.25*U$3,0.5)</f>
        <v>0.5</v>
      </c>
      <c r="V35" s="493">
        <f>IF(V$3=1,T35+2,0)</f>
        <v>0</v>
      </c>
      <c r="W35" s="21">
        <f t="shared" si="11"/>
        <v>1.5</v>
      </c>
      <c r="X35" s="482">
        <v>1</v>
      </c>
      <c r="Y35" s="478">
        <f>IF(Y$3&gt;1,0.25*Y$3,0.5)</f>
        <v>0.5</v>
      </c>
      <c r="Z35" s="493">
        <f>IF(Z$3=1,X35+2,0)</f>
        <v>0</v>
      </c>
      <c r="AA35" s="21">
        <f t="shared" si="12"/>
        <v>1.5</v>
      </c>
      <c r="AB35" s="482">
        <v>1</v>
      </c>
      <c r="AC35" s="478">
        <f>IF(AC$3&gt;1,0.25*AC$3,0.5)</f>
        <v>0.5</v>
      </c>
      <c r="AD35" s="493">
        <f>IF(AD$3=1,AB35+2,0)</f>
        <v>0</v>
      </c>
      <c r="AE35" s="21">
        <f t="shared" si="13"/>
        <v>1.5</v>
      </c>
      <c r="AF35" s="482">
        <v>1</v>
      </c>
      <c r="AG35" s="478">
        <f>IF(AG$3&gt;1,0.25*AG$3,0.5)</f>
        <v>0.5</v>
      </c>
      <c r="AH35" s="493">
        <f>IF(AH$3=1,AF35+2,0)</f>
        <v>0</v>
      </c>
      <c r="AI35" s="21">
        <f t="shared" si="14"/>
        <v>1.5</v>
      </c>
    </row>
    <row r="36" spans="1:35" ht="15.75" thickBot="1" x14ac:dyDescent="0.3">
      <c r="A36" s="1936"/>
      <c r="B36" s="13" t="s">
        <v>34</v>
      </c>
      <c r="C36" s="34"/>
      <c r="D36" s="2334">
        <v>1.5</v>
      </c>
      <c r="E36" s="2330">
        <f>IF(E$3&gt;1,0.25*E$3,0.5)</f>
        <v>0.5</v>
      </c>
      <c r="F36" s="2331">
        <f>IF(F$3=1,D36+2.5,0)</f>
        <v>0</v>
      </c>
      <c r="G36" s="24">
        <f t="shared" si="8"/>
        <v>2</v>
      </c>
      <c r="H36" s="491">
        <v>1.5</v>
      </c>
      <c r="I36" s="478">
        <f>IF(I$3&gt;1,0.25*I$3,0.5)</f>
        <v>0.5</v>
      </c>
      <c r="J36" s="493">
        <f>IF(J$3=1,H36+2.5,0)</f>
        <v>0</v>
      </c>
      <c r="K36" s="24">
        <f t="shared" si="7"/>
        <v>2</v>
      </c>
      <c r="L36" s="491">
        <v>1.5</v>
      </c>
      <c r="M36" s="478">
        <f>IF(M$3&gt;1,0.25*M$3,0.5)</f>
        <v>0.5</v>
      </c>
      <c r="N36" s="493">
        <f>IF(N$3=1,L36+2.5,0)</f>
        <v>0</v>
      </c>
      <c r="O36" s="24">
        <f t="shared" si="9"/>
        <v>2</v>
      </c>
      <c r="P36" s="491">
        <v>1.5</v>
      </c>
      <c r="Q36" s="478">
        <f>IF(Q$3&gt;1,0.25*Q$3,0.5)</f>
        <v>0.5</v>
      </c>
      <c r="R36" s="493">
        <f>IF(R$3=1,P36+2.5,0)</f>
        <v>0</v>
      </c>
      <c r="S36" s="24">
        <f t="shared" si="10"/>
        <v>2</v>
      </c>
      <c r="T36" s="491">
        <v>1.5</v>
      </c>
      <c r="U36" s="478">
        <f>IF(U$3&gt;1,0.25*U$3,0.5)</f>
        <v>0.5</v>
      </c>
      <c r="V36" s="493">
        <f>IF(V$3=1,T36+2.5,0)</f>
        <v>0</v>
      </c>
      <c r="W36" s="24">
        <f t="shared" si="11"/>
        <v>2</v>
      </c>
      <c r="X36" s="491">
        <v>1.5</v>
      </c>
      <c r="Y36" s="478">
        <f>IF(Y$3&gt;1,0.25*Y$3,0.5)</f>
        <v>0.5</v>
      </c>
      <c r="Z36" s="493">
        <f>IF(Z$3=1,X36+2.5,0)</f>
        <v>0</v>
      </c>
      <c r="AA36" s="24">
        <f t="shared" si="12"/>
        <v>2</v>
      </c>
      <c r="AB36" s="491">
        <v>1.5</v>
      </c>
      <c r="AC36" s="478">
        <f>IF(AC$3&gt;1,0.25*AC$3,0.5)</f>
        <v>0.5</v>
      </c>
      <c r="AD36" s="493">
        <f>IF(AD$3=1,AB36+2.5,0)</f>
        <v>0</v>
      </c>
      <c r="AE36" s="24">
        <f t="shared" si="13"/>
        <v>2</v>
      </c>
      <c r="AF36" s="491">
        <v>1.5</v>
      </c>
      <c r="AG36" s="478">
        <f>IF(AG$3&gt;1,0.25*AG$3,0.5)</f>
        <v>0.5</v>
      </c>
      <c r="AH36" s="493">
        <f>IF(AH$3=1,AF36+2.5,0)</f>
        <v>0</v>
      </c>
      <c r="AI36" s="24">
        <f t="shared" si="14"/>
        <v>2</v>
      </c>
    </row>
    <row r="37" spans="1:35"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c r="AB37" s="329"/>
      <c r="AC37" s="329"/>
      <c r="AD37" s="327"/>
      <c r="AE37" s="327"/>
      <c r="AF37" s="329"/>
      <c r="AG37" s="329"/>
      <c r="AH37" s="327"/>
      <c r="AI37" s="396"/>
    </row>
    <row r="38" spans="1:35" ht="15" customHeight="1" x14ac:dyDescent="0.25">
      <c r="A38" s="1942" t="s">
        <v>12</v>
      </c>
      <c r="B38" s="1718" t="s">
        <v>32</v>
      </c>
      <c r="C38" s="324"/>
      <c r="D38" s="1710">
        <v>3</v>
      </c>
      <c r="E38" s="1697">
        <f>IF($E$3&gt;1,2,1)</f>
        <v>1</v>
      </c>
      <c r="F38" s="1711">
        <f>0.5*$F$3</f>
        <v>0</v>
      </c>
      <c r="G38" s="1706">
        <f xml:space="preserve"> SUM(D38:F38) + $C38</f>
        <v>4</v>
      </c>
      <c r="H38" s="1710">
        <v>3</v>
      </c>
      <c r="I38" s="1697">
        <f>IF($E$3&gt;1,2,1)</f>
        <v>1</v>
      </c>
      <c r="J38" s="1711">
        <f>0.5*$F$3</f>
        <v>0</v>
      </c>
      <c r="K38" s="1706">
        <f t="shared" si="7"/>
        <v>4</v>
      </c>
      <c r="L38" s="1710">
        <v>3</v>
      </c>
      <c r="M38" s="1697">
        <f>IF($E$3&gt;1,2,1)</f>
        <v>1</v>
      </c>
      <c r="N38" s="1711">
        <f>0.5*$F$3</f>
        <v>0</v>
      </c>
      <c r="O38" s="1706">
        <f xml:space="preserve"> SUM(L38:N38) + $C38</f>
        <v>4</v>
      </c>
      <c r="P38" s="1710">
        <v>3</v>
      </c>
      <c r="Q38" s="1697">
        <f>IF($E$3&gt;1,2,1)</f>
        <v>1</v>
      </c>
      <c r="R38" s="1711">
        <f>0.5*$F$3</f>
        <v>0</v>
      </c>
      <c r="S38" s="1706">
        <f xml:space="preserve"> SUM(P38:R38) + $C38</f>
        <v>4</v>
      </c>
      <c r="T38" s="1710">
        <v>3</v>
      </c>
      <c r="U38" s="1697">
        <f>IF($E$3&gt;1,2,1)</f>
        <v>1</v>
      </c>
      <c r="V38" s="1711">
        <f>0.5*$F$3</f>
        <v>0</v>
      </c>
      <c r="W38" s="1706">
        <f xml:space="preserve"> SUM(T38:V38) + $C38</f>
        <v>4</v>
      </c>
      <c r="X38" s="1710">
        <v>3</v>
      </c>
      <c r="Y38" s="1697">
        <f>IF($E$3&gt;1,2,1)</f>
        <v>1</v>
      </c>
      <c r="Z38" s="1711">
        <f>0.5*$F$3</f>
        <v>0</v>
      </c>
      <c r="AA38" s="1706">
        <f xml:space="preserve"> SUM(X38:Z38) + $C38</f>
        <v>4</v>
      </c>
      <c r="AB38" s="1710">
        <v>3</v>
      </c>
      <c r="AC38" s="1697">
        <f>IF($E$3&gt;1,2,1)</f>
        <v>1</v>
      </c>
      <c r="AD38" s="1711">
        <f>0.5*$F$3</f>
        <v>0</v>
      </c>
      <c r="AE38" s="1706">
        <f xml:space="preserve"> SUM(AB38:AD38) + $C38</f>
        <v>4</v>
      </c>
      <c r="AF38" s="1710">
        <v>3</v>
      </c>
      <c r="AG38" s="1697">
        <f>IF($E$3&gt;1,2,1)</f>
        <v>1</v>
      </c>
      <c r="AH38" s="1711">
        <f>0.5*$F$3</f>
        <v>0</v>
      </c>
      <c r="AI38" s="1706">
        <f xml:space="preserve"> SUM(AF38:AH38) + $C38</f>
        <v>4</v>
      </c>
    </row>
    <row r="39" spans="1:35" x14ac:dyDescent="0.25">
      <c r="A39" s="1942"/>
      <c r="B39" s="19" t="s">
        <v>33</v>
      </c>
      <c r="C39" s="22"/>
      <c r="D39" s="2329">
        <v>4</v>
      </c>
      <c r="E39" s="2330">
        <f>IF(E$3&gt;1,0.5*E$3,1)</f>
        <v>1</v>
      </c>
      <c r="F39" s="2328">
        <f>IF(F$3=1,D39+E39+14,0)</f>
        <v>0</v>
      </c>
      <c r="G39" s="21">
        <f xml:space="preserve"> SUM(D39:F39) + $C39</f>
        <v>5</v>
      </c>
      <c r="H39" s="485">
        <v>4</v>
      </c>
      <c r="I39" s="478">
        <f>IF(I$3&gt;1,0.5*I$3,1)</f>
        <v>1</v>
      </c>
      <c r="J39" s="630">
        <f>IF(J$3=1,H39+I39+14,0)</f>
        <v>0</v>
      </c>
      <c r="K39" s="21">
        <f t="shared" si="7"/>
        <v>5</v>
      </c>
      <c r="L39" s="485">
        <v>4</v>
      </c>
      <c r="M39" s="478">
        <f>IF(M$3&gt;1,0.5*M$3,1)</f>
        <v>1</v>
      </c>
      <c r="N39" s="630">
        <f>IF(N$3=1,L39+M39+14,0)</f>
        <v>0</v>
      </c>
      <c r="O39" s="21">
        <f xml:space="preserve"> SUM(L39:N39) + $C39</f>
        <v>5</v>
      </c>
      <c r="P39" s="485">
        <v>4</v>
      </c>
      <c r="Q39" s="478">
        <f>IF(Q$3&gt;1,0.5*Q$3,1)</f>
        <v>1</v>
      </c>
      <c r="R39" s="630">
        <f>IF(R$3=1,P39+Q39+14,0)</f>
        <v>0</v>
      </c>
      <c r="S39" s="21">
        <f xml:space="preserve"> SUM(P39:R39) + $C39</f>
        <v>5</v>
      </c>
      <c r="T39" s="485">
        <v>4</v>
      </c>
      <c r="U39" s="478">
        <f>IF(U$3&gt;1,0.5*U$3,1)</f>
        <v>1</v>
      </c>
      <c r="V39" s="630">
        <f>IF(V$3=1,T39+U39+14,0)</f>
        <v>0</v>
      </c>
      <c r="W39" s="21">
        <f xml:space="preserve"> SUM(T39:V39) + $C39</f>
        <v>5</v>
      </c>
      <c r="X39" s="485">
        <v>4</v>
      </c>
      <c r="Y39" s="478">
        <f>IF(Y$3&gt;1,0.5*Y$3,1)</f>
        <v>1</v>
      </c>
      <c r="Z39" s="630">
        <f>IF(Z$3=1,X39+Y39+14,0)</f>
        <v>0</v>
      </c>
      <c r="AA39" s="21">
        <f xml:space="preserve"> SUM(X39:Z39) + $C39</f>
        <v>5</v>
      </c>
      <c r="AB39" s="485">
        <v>4</v>
      </c>
      <c r="AC39" s="478">
        <f>IF(AC$3&gt;1,0.5*AC$3,1)</f>
        <v>1</v>
      </c>
      <c r="AD39" s="630">
        <f>IF(AD$3=1,AB39+AC39+14,0)</f>
        <v>0</v>
      </c>
      <c r="AE39" s="21">
        <f xml:space="preserve"> SUM(AB39:AD39) + $C39</f>
        <v>5</v>
      </c>
      <c r="AF39" s="485">
        <v>4</v>
      </c>
      <c r="AG39" s="478">
        <f>IF(AG$3&gt;1,0.5*AG$3,1)</f>
        <v>1</v>
      </c>
      <c r="AH39" s="630">
        <f>IF(AH$3=1,AF39+AG39+14,0)</f>
        <v>0</v>
      </c>
      <c r="AI39" s="21">
        <f xml:space="preserve"> SUM(AF39:AH39) + $C39</f>
        <v>5</v>
      </c>
    </row>
    <row r="40" spans="1:35" ht="15.75" thickBot="1" x14ac:dyDescent="0.3">
      <c r="A40" s="1942"/>
      <c r="B40" s="13" t="s">
        <v>34</v>
      </c>
      <c r="C40" s="34"/>
      <c r="D40" s="2335">
        <v>6</v>
      </c>
      <c r="E40" s="2330">
        <f>IF(E$3&gt;1,0.5*E$3,1)</f>
        <v>1</v>
      </c>
      <c r="F40" s="2328">
        <f>IF(F$3=1,D40+E40+24,0)</f>
        <v>0</v>
      </c>
      <c r="G40" s="24">
        <f xml:space="preserve"> SUM(D40:F40) + $C40</f>
        <v>7</v>
      </c>
      <c r="H40" s="500">
        <v>6</v>
      </c>
      <c r="I40" s="478">
        <f>IF(I$3&gt;1,0.5*I$3,1)</f>
        <v>1</v>
      </c>
      <c r="J40" s="630">
        <f>IF(J$3=1,H40+I40+24,0)</f>
        <v>0</v>
      </c>
      <c r="K40" s="24">
        <f t="shared" si="7"/>
        <v>7</v>
      </c>
      <c r="L40" s="500">
        <v>6</v>
      </c>
      <c r="M40" s="478">
        <f>IF(M$3&gt;1,0.5*M$3,1)</f>
        <v>1</v>
      </c>
      <c r="N40" s="630">
        <f>IF(N$3=1,L40+M40+24,0)</f>
        <v>0</v>
      </c>
      <c r="O40" s="24">
        <f xml:space="preserve"> SUM(L40:N40) + $C40</f>
        <v>7</v>
      </c>
      <c r="P40" s="500">
        <v>6</v>
      </c>
      <c r="Q40" s="478">
        <f>IF(Q$3&gt;1,0.5*Q$3,1)</f>
        <v>1</v>
      </c>
      <c r="R40" s="630">
        <f>IF(R$3=1,P40+Q40+24,0)</f>
        <v>0</v>
      </c>
      <c r="S40" s="24">
        <f xml:space="preserve"> SUM(P40:R40) + $C40</f>
        <v>7</v>
      </c>
      <c r="T40" s="500">
        <v>6</v>
      </c>
      <c r="U40" s="478">
        <f>IF(U$3&gt;1,0.5*U$3,1)</f>
        <v>1</v>
      </c>
      <c r="V40" s="630">
        <f>IF(V$3=1,T40+U40+24,0)</f>
        <v>0</v>
      </c>
      <c r="W40" s="24">
        <f xml:space="preserve"> SUM(T40:V40) + $C40</f>
        <v>7</v>
      </c>
      <c r="X40" s="500">
        <v>6</v>
      </c>
      <c r="Y40" s="478">
        <f>IF(Y$3&gt;1,0.5*Y$3,1)</f>
        <v>1</v>
      </c>
      <c r="Z40" s="630">
        <f>IF(Z$3=1,X40+Y40+24,0)</f>
        <v>0</v>
      </c>
      <c r="AA40" s="24">
        <f xml:space="preserve"> SUM(X40:Z40) + $C40</f>
        <v>7</v>
      </c>
      <c r="AB40" s="500">
        <v>6</v>
      </c>
      <c r="AC40" s="478">
        <f>IF(AC$3&gt;1,0.5*AC$3,1)</f>
        <v>1</v>
      </c>
      <c r="AD40" s="630">
        <f>IF(AD$3=1,AB40+AC40+24,0)</f>
        <v>0</v>
      </c>
      <c r="AE40" s="24">
        <f xml:space="preserve"> SUM(AB40:AD40) + $C40</f>
        <v>7</v>
      </c>
      <c r="AF40" s="500">
        <v>6</v>
      </c>
      <c r="AG40" s="478">
        <f>IF(AG$3&gt;1,0.5*AG$3,1)</f>
        <v>1</v>
      </c>
      <c r="AH40" s="630">
        <f>IF(AH$3=1,AF40+AG40+24,0)</f>
        <v>0</v>
      </c>
      <c r="AI40" s="24">
        <f xml:space="preserve"> SUM(AF40:AH40) + $C40</f>
        <v>7</v>
      </c>
    </row>
    <row r="41" spans="1:35"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c r="AB41" s="329"/>
      <c r="AC41" s="329"/>
      <c r="AD41" s="327"/>
      <c r="AE41" s="327"/>
      <c r="AF41" s="329"/>
      <c r="AG41" s="329"/>
      <c r="AH41" s="327"/>
      <c r="AI41" s="396"/>
    </row>
    <row r="42" spans="1:35" x14ac:dyDescent="0.25">
      <c r="A42" s="1942" t="s">
        <v>558</v>
      </c>
      <c r="B42" s="1718" t="s">
        <v>32</v>
      </c>
      <c r="C42" s="106"/>
      <c r="D42" s="1703">
        <f>IF($D$3&gt;1,1.5,1)</f>
        <v>1</v>
      </c>
      <c r="E42" s="1712">
        <f t="shared" ref="E42:E45" si="23">IF($E$3&gt;1,1,0.5)</f>
        <v>0.5</v>
      </c>
      <c r="F42" s="1705">
        <v>0</v>
      </c>
      <c r="G42" s="1706">
        <f t="shared" ref="G42:G86" si="24" xml:space="preserve"> SUM(D42:F42) + $C42</f>
        <v>1.5</v>
      </c>
      <c r="H42" s="1703">
        <f>IF($D$3&gt;1,1.5,1)</f>
        <v>1</v>
      </c>
      <c r="I42" s="1712">
        <f t="shared" ref="I42:I45" si="25">IF($E$3&gt;1,1,0.5)</f>
        <v>0.5</v>
      </c>
      <c r="J42" s="1705">
        <v>0</v>
      </c>
      <c r="K42" s="1706">
        <f t="shared" si="7"/>
        <v>1.5</v>
      </c>
      <c r="L42" s="1703">
        <f>IF($D$3&gt;1,1.5,1)</f>
        <v>1</v>
      </c>
      <c r="M42" s="1712">
        <f t="shared" ref="M42:M45" si="26">IF($E$3&gt;1,1,0.5)</f>
        <v>0.5</v>
      </c>
      <c r="N42" s="1705">
        <v>0</v>
      </c>
      <c r="O42" s="1706">
        <f t="shared" ref="O42:O86" si="27" xml:space="preserve"> SUM(L42:N42) + $C42</f>
        <v>1.5</v>
      </c>
      <c r="P42" s="1703">
        <f>IF($D$3&gt;1,1.5,1)</f>
        <v>1</v>
      </c>
      <c r="Q42" s="1712">
        <f t="shared" ref="Q42:Q45" si="28">IF($E$3&gt;1,1,0.5)</f>
        <v>0.5</v>
      </c>
      <c r="R42" s="1705">
        <v>0</v>
      </c>
      <c r="S42" s="1706">
        <f t="shared" ref="S42:S86" si="29" xml:space="preserve"> SUM(P42:R42) + $C42</f>
        <v>1.5</v>
      </c>
      <c r="T42" s="1703">
        <f>IF($D$3&gt;1,1.5,1)</f>
        <v>1</v>
      </c>
      <c r="U42" s="1712">
        <f t="shared" ref="U42:U45" si="30">IF($E$3&gt;1,1,0.5)</f>
        <v>0.5</v>
      </c>
      <c r="V42" s="1705">
        <v>0</v>
      </c>
      <c r="W42" s="1706">
        <f t="shared" ref="W42:W86" si="31" xml:space="preserve"> SUM(T42:V42) + $C42</f>
        <v>1.5</v>
      </c>
      <c r="X42" s="1703">
        <f>IF($D$3&gt;1,1.5,1)</f>
        <v>1</v>
      </c>
      <c r="Y42" s="1712">
        <f t="shared" ref="Y42:Y45" si="32">IF($E$3&gt;1,1,0.5)</f>
        <v>0.5</v>
      </c>
      <c r="Z42" s="1705">
        <v>0</v>
      </c>
      <c r="AA42" s="1706">
        <f t="shared" ref="AA42:AA86" si="33" xml:space="preserve"> SUM(X42:Z42) + $C42</f>
        <v>1.5</v>
      </c>
      <c r="AB42" s="1703">
        <f>IF($D$3&gt;1,1.5,1)</f>
        <v>1</v>
      </c>
      <c r="AC42" s="1712">
        <f t="shared" ref="AC42:AC45" si="34">IF($E$3&gt;1,1,0.5)</f>
        <v>0.5</v>
      </c>
      <c r="AD42" s="1705">
        <v>0</v>
      </c>
      <c r="AE42" s="1706">
        <f t="shared" ref="AE42:AE86" si="35" xml:space="preserve"> SUM(AB42:AD42) + $C42</f>
        <v>1.5</v>
      </c>
      <c r="AF42" s="1703">
        <f>IF($D$3&gt;1,1.5,1)</f>
        <v>1</v>
      </c>
      <c r="AG42" s="1712">
        <f t="shared" ref="AG42:AG45" si="36">IF($E$3&gt;1,1,0.5)</f>
        <v>0.5</v>
      </c>
      <c r="AH42" s="1705">
        <v>0</v>
      </c>
      <c r="AI42" s="1706">
        <f t="shared" ref="AI42:AI86" si="37" xml:space="preserve"> SUM(AF42:AH42) + $C42</f>
        <v>1.5</v>
      </c>
    </row>
    <row r="43" spans="1:35" x14ac:dyDescent="0.25">
      <c r="A43" s="1942"/>
      <c r="B43" s="19" t="s">
        <v>33</v>
      </c>
      <c r="C43" s="22"/>
      <c r="D43" s="2331">
        <f>IF(D$3&gt;1,0.25*D$3,0.5)</f>
        <v>0.5</v>
      </c>
      <c r="E43" s="2332">
        <v>0</v>
      </c>
      <c r="F43" s="2332">
        <v>0</v>
      </c>
      <c r="G43" s="21">
        <f t="shared" si="24"/>
        <v>0.5</v>
      </c>
      <c r="H43" s="493">
        <f>IF(H$3&gt;1,0.25*H$3,0.5)</f>
        <v>0.5</v>
      </c>
      <c r="I43" s="484">
        <v>0</v>
      </c>
      <c r="J43" s="484">
        <v>0</v>
      </c>
      <c r="K43" s="21">
        <f t="shared" si="7"/>
        <v>0.5</v>
      </c>
      <c r="L43" s="493">
        <f>IF(L$3&gt;1,0.25*L$3,0.5)</f>
        <v>0.5</v>
      </c>
      <c r="M43" s="484">
        <v>0</v>
      </c>
      <c r="N43" s="484">
        <v>0</v>
      </c>
      <c r="O43" s="21">
        <f t="shared" si="27"/>
        <v>0.5</v>
      </c>
      <c r="P43" s="493">
        <f>IF(P$3&gt;1,0.25*P$3,0.5)</f>
        <v>0.5</v>
      </c>
      <c r="Q43" s="484">
        <v>0</v>
      </c>
      <c r="R43" s="484">
        <v>0</v>
      </c>
      <c r="S43" s="21">
        <f t="shared" si="29"/>
        <v>0.5</v>
      </c>
      <c r="T43" s="493">
        <f>IF(T$3&gt;1,0.25*T$3,0.5)</f>
        <v>0.5</v>
      </c>
      <c r="U43" s="484">
        <v>0</v>
      </c>
      <c r="V43" s="484">
        <v>0</v>
      </c>
      <c r="W43" s="21">
        <f t="shared" si="31"/>
        <v>0.5</v>
      </c>
      <c r="X43" s="493">
        <f>IF(X$3&gt;1,0.25*X$3,0.5)</f>
        <v>0.5</v>
      </c>
      <c r="Y43" s="484">
        <v>0</v>
      </c>
      <c r="Z43" s="484">
        <v>0</v>
      </c>
      <c r="AA43" s="21">
        <f t="shared" si="33"/>
        <v>0.5</v>
      </c>
      <c r="AB43" s="493">
        <f>IF(AB$3&gt;1,0.25*AB$3,0.5)</f>
        <v>0.5</v>
      </c>
      <c r="AC43" s="484">
        <v>0</v>
      </c>
      <c r="AD43" s="484">
        <v>0</v>
      </c>
      <c r="AE43" s="21">
        <f t="shared" si="35"/>
        <v>0.5</v>
      </c>
      <c r="AF43" s="493">
        <f>IF(AF$3&gt;1,0.25*AF$3,0.5)</f>
        <v>0.5</v>
      </c>
      <c r="AG43" s="484">
        <v>0</v>
      </c>
      <c r="AH43" s="484">
        <v>0</v>
      </c>
      <c r="AI43" s="21">
        <f t="shared" si="37"/>
        <v>0.5</v>
      </c>
    </row>
    <row r="44" spans="1:35" x14ac:dyDescent="0.25">
      <c r="A44" s="1942"/>
      <c r="B44" s="19" t="s">
        <v>34</v>
      </c>
      <c r="C44" s="22"/>
      <c r="D44" s="2331">
        <f>IF(D$3&gt;1,0.25*D$3,0.5)</f>
        <v>0.5</v>
      </c>
      <c r="E44" s="2332">
        <v>0</v>
      </c>
      <c r="F44" s="2332">
        <v>0</v>
      </c>
      <c r="G44" s="21">
        <f t="shared" si="24"/>
        <v>0.5</v>
      </c>
      <c r="H44" s="493">
        <f>IF(H$3&gt;1,0.25*H$3,0.5)</f>
        <v>0.5</v>
      </c>
      <c r="I44" s="484">
        <v>0</v>
      </c>
      <c r="J44" s="484">
        <v>0</v>
      </c>
      <c r="K44" s="21">
        <f t="shared" si="7"/>
        <v>0.5</v>
      </c>
      <c r="L44" s="493">
        <f>IF(L$3&gt;1,0.25*L$3,0.5)</f>
        <v>0.5</v>
      </c>
      <c r="M44" s="484">
        <v>0</v>
      </c>
      <c r="N44" s="484">
        <v>0</v>
      </c>
      <c r="O44" s="21">
        <f t="shared" si="27"/>
        <v>0.5</v>
      </c>
      <c r="P44" s="493">
        <f>IF(P$3&gt;1,0.25*P$3,0.5)</f>
        <v>0.5</v>
      </c>
      <c r="Q44" s="484">
        <v>0</v>
      </c>
      <c r="R44" s="484">
        <v>0</v>
      </c>
      <c r="S44" s="21">
        <f t="shared" si="29"/>
        <v>0.5</v>
      </c>
      <c r="T44" s="493">
        <f>IF(T$3&gt;1,0.25*T$3,0.5)</f>
        <v>0.5</v>
      </c>
      <c r="U44" s="484">
        <v>0</v>
      </c>
      <c r="V44" s="484">
        <v>0</v>
      </c>
      <c r="W44" s="21">
        <f t="shared" si="31"/>
        <v>0.5</v>
      </c>
      <c r="X44" s="493">
        <f>IF(X$3&gt;1,0.25*X$3,0.5)</f>
        <v>0.5</v>
      </c>
      <c r="Y44" s="484">
        <v>0</v>
      </c>
      <c r="Z44" s="484">
        <v>0</v>
      </c>
      <c r="AA44" s="21">
        <f t="shared" si="33"/>
        <v>0.5</v>
      </c>
      <c r="AB44" s="493">
        <f>IF(AB$3&gt;1,0.25*AB$3,0.5)</f>
        <v>0.5</v>
      </c>
      <c r="AC44" s="484">
        <v>0</v>
      </c>
      <c r="AD44" s="484">
        <v>0</v>
      </c>
      <c r="AE44" s="21">
        <f t="shared" si="35"/>
        <v>0.5</v>
      </c>
      <c r="AF44" s="493">
        <f>IF(AF$3&gt;1,0.25*AF$3,0.5)</f>
        <v>0.5</v>
      </c>
      <c r="AG44" s="484">
        <v>0</v>
      </c>
      <c r="AH44" s="484">
        <v>0</v>
      </c>
      <c r="AI44" s="21">
        <f t="shared" si="37"/>
        <v>0.5</v>
      </c>
    </row>
    <row r="45" spans="1:35" x14ac:dyDescent="0.25">
      <c r="A45" s="1935" t="s">
        <v>15</v>
      </c>
      <c r="B45" s="1721" t="s">
        <v>32</v>
      </c>
      <c r="C45" s="22"/>
      <c r="D45" s="1707">
        <v>3</v>
      </c>
      <c r="E45" s="1708">
        <f t="shared" si="23"/>
        <v>0.5</v>
      </c>
      <c r="F45" s="1709">
        <f>0.25*$F$3</f>
        <v>0</v>
      </c>
      <c r="G45" s="1699">
        <f t="shared" si="24"/>
        <v>3.5</v>
      </c>
      <c r="H45" s="1707">
        <v>3</v>
      </c>
      <c r="I45" s="1708">
        <f t="shared" si="25"/>
        <v>0.5</v>
      </c>
      <c r="J45" s="1709">
        <f>0.25*$F$3</f>
        <v>0</v>
      </c>
      <c r="K45" s="1699">
        <f t="shared" si="7"/>
        <v>3.5</v>
      </c>
      <c r="L45" s="1707">
        <v>3</v>
      </c>
      <c r="M45" s="1708">
        <f t="shared" si="26"/>
        <v>0.5</v>
      </c>
      <c r="N45" s="1709">
        <f>0.25*$F$3</f>
        <v>0</v>
      </c>
      <c r="O45" s="1699">
        <f t="shared" si="27"/>
        <v>3.5</v>
      </c>
      <c r="P45" s="1707">
        <v>3</v>
      </c>
      <c r="Q45" s="1708">
        <f t="shared" si="28"/>
        <v>0.5</v>
      </c>
      <c r="R45" s="1709">
        <f>0.25*$F$3</f>
        <v>0</v>
      </c>
      <c r="S45" s="1699">
        <f t="shared" si="29"/>
        <v>3.5</v>
      </c>
      <c r="T45" s="1707">
        <v>3</v>
      </c>
      <c r="U45" s="1708">
        <f t="shared" si="30"/>
        <v>0.5</v>
      </c>
      <c r="V45" s="1709">
        <f>0.25*$F$3</f>
        <v>0</v>
      </c>
      <c r="W45" s="1699">
        <f t="shared" si="31"/>
        <v>3.5</v>
      </c>
      <c r="X45" s="1707">
        <v>3</v>
      </c>
      <c r="Y45" s="1708">
        <f t="shared" si="32"/>
        <v>0.5</v>
      </c>
      <c r="Z45" s="1709">
        <f>0.25*$F$3</f>
        <v>0</v>
      </c>
      <c r="AA45" s="1699">
        <f t="shared" si="33"/>
        <v>3.5</v>
      </c>
      <c r="AB45" s="1707">
        <v>3</v>
      </c>
      <c r="AC45" s="1708">
        <f t="shared" si="34"/>
        <v>0.5</v>
      </c>
      <c r="AD45" s="1709">
        <f>0.25*$F$3</f>
        <v>0</v>
      </c>
      <c r="AE45" s="1699">
        <f t="shared" si="35"/>
        <v>3.5</v>
      </c>
      <c r="AF45" s="1707">
        <v>3</v>
      </c>
      <c r="AG45" s="1708">
        <f t="shared" si="36"/>
        <v>0.5</v>
      </c>
      <c r="AH45" s="1709">
        <f>0.25*$F$3</f>
        <v>0</v>
      </c>
      <c r="AI45" s="1699">
        <f t="shared" si="37"/>
        <v>3.5</v>
      </c>
    </row>
    <row r="46" spans="1:35" x14ac:dyDescent="0.25">
      <c r="A46" s="1935"/>
      <c r="B46" s="19" t="s">
        <v>33</v>
      </c>
      <c r="C46" s="22"/>
      <c r="D46" s="2331">
        <v>2</v>
      </c>
      <c r="E46" s="2330">
        <f>IF(E$3&gt;1,0.25*E$3,0.5)</f>
        <v>0.5</v>
      </c>
      <c r="F46" s="2331">
        <f>IF(F$3=1,D46+2,0)</f>
        <v>0</v>
      </c>
      <c r="G46" s="21">
        <f t="shared" si="24"/>
        <v>2.5</v>
      </c>
      <c r="H46" s="501">
        <v>2</v>
      </c>
      <c r="I46" s="478">
        <f>IF(I$3&gt;1,0.25*I$3,0.5)</f>
        <v>0.5</v>
      </c>
      <c r="J46" s="493">
        <f>IF(J$3=1,H46+2,0)</f>
        <v>0</v>
      </c>
      <c r="K46" s="21">
        <f t="shared" si="7"/>
        <v>2.5</v>
      </c>
      <c r="L46" s="501">
        <v>2</v>
      </c>
      <c r="M46" s="478">
        <f>IF(M$3&gt;1,0.25*M$3,0.5)</f>
        <v>0.5</v>
      </c>
      <c r="N46" s="493">
        <f>IF(N$3=1,L46+2,0)</f>
        <v>0</v>
      </c>
      <c r="O46" s="21">
        <f t="shared" si="27"/>
        <v>2.5</v>
      </c>
      <c r="P46" s="501">
        <v>2</v>
      </c>
      <c r="Q46" s="478">
        <f>IF(Q$3&gt;1,0.25*Q$3,0.5)</f>
        <v>0.5</v>
      </c>
      <c r="R46" s="493">
        <f>IF(R$3=1,P46+2,0)</f>
        <v>0</v>
      </c>
      <c r="S46" s="21">
        <f t="shared" si="29"/>
        <v>2.5</v>
      </c>
      <c r="T46" s="501">
        <v>2</v>
      </c>
      <c r="U46" s="478">
        <f>IF(U$3&gt;1,0.25*U$3,0.5)</f>
        <v>0.5</v>
      </c>
      <c r="V46" s="493">
        <f>IF(V$3=1,T46+2,0)</f>
        <v>0</v>
      </c>
      <c r="W46" s="21">
        <f t="shared" si="31"/>
        <v>2.5</v>
      </c>
      <c r="X46" s="501">
        <v>2</v>
      </c>
      <c r="Y46" s="478">
        <f>IF(Y$3&gt;1,0.25*Y$3,0.5)</f>
        <v>0.5</v>
      </c>
      <c r="Z46" s="493">
        <f>IF(Z$3=1,X46+2,0)</f>
        <v>0</v>
      </c>
      <c r="AA46" s="21">
        <f t="shared" si="33"/>
        <v>2.5</v>
      </c>
      <c r="AB46" s="501">
        <v>2</v>
      </c>
      <c r="AC46" s="478">
        <f>IF(AC$3&gt;1,0.25*AC$3,0.5)</f>
        <v>0.5</v>
      </c>
      <c r="AD46" s="493">
        <f>IF(AD$3=1,AB46+2,0)</f>
        <v>0</v>
      </c>
      <c r="AE46" s="21">
        <f t="shared" si="35"/>
        <v>2.5</v>
      </c>
      <c r="AF46" s="501">
        <v>2</v>
      </c>
      <c r="AG46" s="478">
        <f>IF(AG$3&gt;1,0.25*AG$3,0.5)</f>
        <v>0.5</v>
      </c>
      <c r="AH46" s="493">
        <f>IF(AH$3=1,AF46+2,0)</f>
        <v>0</v>
      </c>
      <c r="AI46" s="21">
        <f t="shared" si="37"/>
        <v>2.5</v>
      </c>
    </row>
    <row r="47" spans="1:35" x14ac:dyDescent="0.25">
      <c r="A47" s="1935"/>
      <c r="B47" s="19" t="s">
        <v>34</v>
      </c>
      <c r="C47" s="22"/>
      <c r="D47" s="2331">
        <v>4</v>
      </c>
      <c r="E47" s="2330">
        <f>IF(E$3&gt;1,0.25*E$3,0.5)</f>
        <v>0.5</v>
      </c>
      <c r="F47" s="2331">
        <f>IF(F$3=1,D47+2,0)</f>
        <v>0</v>
      </c>
      <c r="G47" s="21">
        <f t="shared" si="24"/>
        <v>4.5</v>
      </c>
      <c r="H47" s="501">
        <v>4</v>
      </c>
      <c r="I47" s="478">
        <f>IF(I$3&gt;1,0.25*I$3,0.5)</f>
        <v>0.5</v>
      </c>
      <c r="J47" s="493">
        <f>IF(J$3=1,H47+2,0)</f>
        <v>0</v>
      </c>
      <c r="K47" s="21">
        <f t="shared" si="7"/>
        <v>4.5</v>
      </c>
      <c r="L47" s="501">
        <v>4</v>
      </c>
      <c r="M47" s="478">
        <f>IF(M$3&gt;1,0.25*M$3,0.5)</f>
        <v>0.5</v>
      </c>
      <c r="N47" s="493">
        <f>IF(N$3=1,L47+2,0)</f>
        <v>0</v>
      </c>
      <c r="O47" s="21">
        <f t="shared" si="27"/>
        <v>4.5</v>
      </c>
      <c r="P47" s="501">
        <v>4</v>
      </c>
      <c r="Q47" s="478">
        <f>IF(Q$3&gt;1,0.25*Q$3,0.5)</f>
        <v>0.5</v>
      </c>
      <c r="R47" s="493">
        <f>IF(R$3=1,P47+2,0)</f>
        <v>0</v>
      </c>
      <c r="S47" s="21">
        <f t="shared" si="29"/>
        <v>4.5</v>
      </c>
      <c r="T47" s="501">
        <v>4</v>
      </c>
      <c r="U47" s="478">
        <f>IF(U$3&gt;1,0.25*U$3,0.5)</f>
        <v>0.5</v>
      </c>
      <c r="V47" s="493">
        <f>IF(V$3=1,T47+2,0)</f>
        <v>0</v>
      </c>
      <c r="W47" s="21">
        <f t="shared" si="31"/>
        <v>4.5</v>
      </c>
      <c r="X47" s="501">
        <v>4</v>
      </c>
      <c r="Y47" s="478">
        <f>IF(Y$3&gt;1,0.25*Y$3,0.5)</f>
        <v>0.5</v>
      </c>
      <c r="Z47" s="493">
        <f>IF(Z$3=1,X47+2,0)</f>
        <v>0</v>
      </c>
      <c r="AA47" s="21">
        <f t="shared" si="33"/>
        <v>4.5</v>
      </c>
      <c r="AB47" s="501">
        <v>4</v>
      </c>
      <c r="AC47" s="478">
        <f>IF(AC$3&gt;1,0.25*AC$3,0.5)</f>
        <v>0.5</v>
      </c>
      <c r="AD47" s="493">
        <f>IF(AD$3=1,AB47+2,0)</f>
        <v>0</v>
      </c>
      <c r="AE47" s="21">
        <f t="shared" si="35"/>
        <v>4.5</v>
      </c>
      <c r="AF47" s="501">
        <v>4</v>
      </c>
      <c r="AG47" s="478">
        <f>IF(AG$3&gt;1,0.25*AG$3,0.5)</f>
        <v>0.5</v>
      </c>
      <c r="AH47" s="493">
        <f>IF(AH$3=1,AF47+2,0)</f>
        <v>0</v>
      </c>
      <c r="AI47" s="21">
        <f t="shared" si="37"/>
        <v>4.5</v>
      </c>
    </row>
    <row r="48" spans="1:35" x14ac:dyDescent="0.25">
      <c r="A48" s="1935" t="s">
        <v>555</v>
      </c>
      <c r="B48" s="1721" t="s">
        <v>32</v>
      </c>
      <c r="C48" s="22"/>
      <c r="D48" s="1707">
        <f t="shared" ref="D48:D51" si="38">$D$3*0.25</f>
        <v>0</v>
      </c>
      <c r="E48" s="1708">
        <v>0</v>
      </c>
      <c r="F48" s="1709">
        <v>0</v>
      </c>
      <c r="G48" s="1699">
        <f t="shared" si="24"/>
        <v>0</v>
      </c>
      <c r="H48" s="1707">
        <f t="shared" ref="H48:H51" si="39">$D$3*0.25</f>
        <v>0</v>
      </c>
      <c r="I48" s="1708">
        <v>0</v>
      </c>
      <c r="J48" s="1709">
        <v>0</v>
      </c>
      <c r="K48" s="1699">
        <f t="shared" si="7"/>
        <v>0</v>
      </c>
      <c r="L48" s="1707">
        <f t="shared" ref="L48:L51" si="40">$D$3*0.25</f>
        <v>0</v>
      </c>
      <c r="M48" s="1708">
        <v>0</v>
      </c>
      <c r="N48" s="1709">
        <v>0</v>
      </c>
      <c r="O48" s="1699">
        <f t="shared" si="27"/>
        <v>0</v>
      </c>
      <c r="P48" s="1707">
        <f t="shared" ref="P48:P51" si="41">$D$3*0.25</f>
        <v>0</v>
      </c>
      <c r="Q48" s="1708">
        <v>0</v>
      </c>
      <c r="R48" s="1709">
        <v>0</v>
      </c>
      <c r="S48" s="1699">
        <f t="shared" si="29"/>
        <v>0</v>
      </c>
      <c r="T48" s="1707">
        <f t="shared" ref="T48:T51" si="42">$D$3*0.25</f>
        <v>0</v>
      </c>
      <c r="U48" s="1708">
        <v>0</v>
      </c>
      <c r="V48" s="1709">
        <v>0</v>
      </c>
      <c r="W48" s="1699">
        <f t="shared" si="31"/>
        <v>0</v>
      </c>
      <c r="X48" s="1707">
        <f t="shared" ref="X48:X51" si="43">$D$3*0.25</f>
        <v>0</v>
      </c>
      <c r="Y48" s="1708">
        <v>0</v>
      </c>
      <c r="Z48" s="1709">
        <v>0</v>
      </c>
      <c r="AA48" s="1699">
        <f t="shared" si="33"/>
        <v>0</v>
      </c>
      <c r="AB48" s="1707">
        <f t="shared" ref="AB48:AB51" si="44">$D$3*0.25</f>
        <v>0</v>
      </c>
      <c r="AC48" s="1708">
        <v>0</v>
      </c>
      <c r="AD48" s="1709">
        <v>0</v>
      </c>
      <c r="AE48" s="1699">
        <f t="shared" si="35"/>
        <v>0</v>
      </c>
      <c r="AF48" s="1707">
        <f t="shared" ref="AF48:AF51" si="45">$D$3*0.25</f>
        <v>0</v>
      </c>
      <c r="AG48" s="1708">
        <v>0</v>
      </c>
      <c r="AH48" s="1709">
        <v>0</v>
      </c>
      <c r="AI48" s="1699">
        <f t="shared" si="37"/>
        <v>0</v>
      </c>
    </row>
    <row r="49" spans="1:35" x14ac:dyDescent="0.25">
      <c r="A49" s="1935"/>
      <c r="B49" s="19" t="s">
        <v>33</v>
      </c>
      <c r="C49" s="22"/>
      <c r="D49" s="2331">
        <f>IF(D$3&gt;1,D$3*0.25,0.5)</f>
        <v>0.5</v>
      </c>
      <c r="E49" s="2333">
        <v>0</v>
      </c>
      <c r="F49" s="2328">
        <f>IF(F$3=1,D49+E49+0.5,0)</f>
        <v>0</v>
      </c>
      <c r="G49" s="21">
        <f t="shared" si="24"/>
        <v>0.5</v>
      </c>
      <c r="H49" s="493">
        <f>IF(H$3&gt;1,H$3*0.25,0.5)</f>
        <v>0.5</v>
      </c>
      <c r="I49" s="489">
        <v>0</v>
      </c>
      <c r="J49" s="630">
        <f>IF(J$3=1,H49+I49+0.5,0)</f>
        <v>0</v>
      </c>
      <c r="K49" s="21">
        <f t="shared" si="7"/>
        <v>0.5</v>
      </c>
      <c r="L49" s="493">
        <f>IF(L$3&gt;1,L$3*0.25,0.5)</f>
        <v>0.5</v>
      </c>
      <c r="M49" s="489">
        <v>0</v>
      </c>
      <c r="N49" s="630">
        <f>IF(N$3=1,L49+M49+0.5,0)</f>
        <v>0</v>
      </c>
      <c r="O49" s="21">
        <f t="shared" si="27"/>
        <v>0.5</v>
      </c>
      <c r="P49" s="493">
        <f>IF(P$3&gt;1,P$3*0.25,0.5)</f>
        <v>0.5</v>
      </c>
      <c r="Q49" s="489">
        <v>0</v>
      </c>
      <c r="R49" s="630">
        <f>IF(R$3=1,P49+Q49+0.5,0)</f>
        <v>0</v>
      </c>
      <c r="S49" s="21">
        <f t="shared" si="29"/>
        <v>0.5</v>
      </c>
      <c r="T49" s="493">
        <f>IF(T$3&gt;1,T$3*0.25,0.5)</f>
        <v>0.5</v>
      </c>
      <c r="U49" s="489">
        <v>0</v>
      </c>
      <c r="V49" s="630">
        <f>IF(V$3=1,T49+U49+0.5,0)</f>
        <v>0</v>
      </c>
      <c r="W49" s="21">
        <f t="shared" si="31"/>
        <v>0.5</v>
      </c>
      <c r="X49" s="493">
        <f>IF(X$3&gt;1,X$3*0.25,0.5)</f>
        <v>0.5</v>
      </c>
      <c r="Y49" s="489">
        <v>0</v>
      </c>
      <c r="Z49" s="630">
        <f>IF(Z$3=1,X49+Y49+0.5,0)</f>
        <v>0</v>
      </c>
      <c r="AA49" s="21">
        <f t="shared" si="33"/>
        <v>0.5</v>
      </c>
      <c r="AB49" s="493">
        <f>IF(AB$3&gt;1,AB$3*0.25,0.5)</f>
        <v>0.5</v>
      </c>
      <c r="AC49" s="489">
        <v>0</v>
      </c>
      <c r="AD49" s="630">
        <f>IF(AD$3=1,AB49+AC49+0.5,0)</f>
        <v>0</v>
      </c>
      <c r="AE49" s="21">
        <f t="shared" si="35"/>
        <v>0.5</v>
      </c>
      <c r="AF49" s="493">
        <f>IF(AF$3&gt;1,AF$3*0.25,0.5)</f>
        <v>0.5</v>
      </c>
      <c r="AG49" s="489">
        <v>0</v>
      </c>
      <c r="AH49" s="630">
        <f>IF(AH$3=1,AF49+AG49+0.5,0)</f>
        <v>0</v>
      </c>
      <c r="AI49" s="21">
        <f t="shared" si="37"/>
        <v>0.5</v>
      </c>
    </row>
    <row r="50" spans="1:35" x14ac:dyDescent="0.25">
      <c r="A50" s="1935"/>
      <c r="B50" s="19" t="s">
        <v>34</v>
      </c>
      <c r="C50" s="22"/>
      <c r="D50" s="2331">
        <f>IF(D$3&gt;1,D$3*0.25,0.5)</f>
        <v>0.5</v>
      </c>
      <c r="E50" s="2333">
        <v>0</v>
      </c>
      <c r="F50" s="2328">
        <f>IF(F$3=1,D50+E50+0.5,0)</f>
        <v>0</v>
      </c>
      <c r="G50" s="21">
        <f t="shared" si="24"/>
        <v>0.5</v>
      </c>
      <c r="H50" s="493">
        <f>IF(H$3&gt;1,H$3*0.25,0.5)</f>
        <v>0.5</v>
      </c>
      <c r="I50" s="489">
        <v>0</v>
      </c>
      <c r="J50" s="630">
        <f>IF(J$3=1,H50+I50+0.5,0)</f>
        <v>0</v>
      </c>
      <c r="K50" s="21">
        <f t="shared" si="7"/>
        <v>0.5</v>
      </c>
      <c r="L50" s="493">
        <f>IF(L$3&gt;1,L$3*0.25,0.5)</f>
        <v>0.5</v>
      </c>
      <c r="M50" s="489">
        <v>0</v>
      </c>
      <c r="N50" s="630">
        <f>IF(N$3=1,L50+M50+0.5,0)</f>
        <v>0</v>
      </c>
      <c r="O50" s="21">
        <f t="shared" si="27"/>
        <v>0.5</v>
      </c>
      <c r="P50" s="493">
        <f>IF(P$3&gt;1,P$3*0.25,0.5)</f>
        <v>0.5</v>
      </c>
      <c r="Q50" s="489">
        <v>0</v>
      </c>
      <c r="R50" s="630">
        <f>IF(R$3=1,P50+Q50+0.5,0)</f>
        <v>0</v>
      </c>
      <c r="S50" s="21">
        <f t="shared" si="29"/>
        <v>0.5</v>
      </c>
      <c r="T50" s="493">
        <f>IF(T$3&gt;1,T$3*0.25,0.5)</f>
        <v>0.5</v>
      </c>
      <c r="U50" s="489">
        <v>0</v>
      </c>
      <c r="V50" s="630">
        <f>IF(V$3=1,T50+U50+0.5,0)</f>
        <v>0</v>
      </c>
      <c r="W50" s="21">
        <f t="shared" si="31"/>
        <v>0.5</v>
      </c>
      <c r="X50" s="493">
        <f>IF(X$3&gt;1,X$3*0.25,0.5)</f>
        <v>0.5</v>
      </c>
      <c r="Y50" s="489">
        <v>0</v>
      </c>
      <c r="Z50" s="630">
        <f>IF(Z$3=1,X50+Y50+0.5,0)</f>
        <v>0</v>
      </c>
      <c r="AA50" s="21">
        <f t="shared" si="33"/>
        <v>0.5</v>
      </c>
      <c r="AB50" s="493">
        <f>IF(AB$3&gt;1,AB$3*0.25,0.5)</f>
        <v>0.5</v>
      </c>
      <c r="AC50" s="489">
        <v>0</v>
      </c>
      <c r="AD50" s="630">
        <f>IF(AD$3=1,AB50+AC50+0.5,0)</f>
        <v>0</v>
      </c>
      <c r="AE50" s="21">
        <f t="shared" si="35"/>
        <v>0.5</v>
      </c>
      <c r="AF50" s="493">
        <f>IF(AF$3&gt;1,AF$3*0.25,0.5)</f>
        <v>0.5</v>
      </c>
      <c r="AG50" s="489">
        <v>0</v>
      </c>
      <c r="AH50" s="630">
        <f>IF(AH$3=1,AF50+AG50+0.5,0)</f>
        <v>0</v>
      </c>
      <c r="AI50" s="21">
        <f t="shared" si="37"/>
        <v>0.5</v>
      </c>
    </row>
    <row r="51" spans="1:35" x14ac:dyDescent="0.25">
      <c r="A51" s="1935" t="s">
        <v>556</v>
      </c>
      <c r="B51" s="1721" t="s">
        <v>32</v>
      </c>
      <c r="C51" s="22"/>
      <c r="D51" s="1707">
        <f t="shared" si="38"/>
        <v>0</v>
      </c>
      <c r="E51" s="1708">
        <v>0</v>
      </c>
      <c r="F51" s="1709">
        <v>0</v>
      </c>
      <c r="G51" s="1699">
        <f t="shared" si="24"/>
        <v>0</v>
      </c>
      <c r="H51" s="1707">
        <f t="shared" si="39"/>
        <v>0</v>
      </c>
      <c r="I51" s="1708">
        <v>0</v>
      </c>
      <c r="J51" s="1709">
        <v>0</v>
      </c>
      <c r="K51" s="1699">
        <f t="shared" si="7"/>
        <v>0</v>
      </c>
      <c r="L51" s="1707">
        <f t="shared" si="40"/>
        <v>0</v>
      </c>
      <c r="M51" s="1708">
        <v>0</v>
      </c>
      <c r="N51" s="1709">
        <v>0</v>
      </c>
      <c r="O51" s="1699">
        <f t="shared" si="27"/>
        <v>0</v>
      </c>
      <c r="P51" s="1707">
        <f t="shared" si="41"/>
        <v>0</v>
      </c>
      <c r="Q51" s="1708">
        <v>0</v>
      </c>
      <c r="R51" s="1709">
        <v>0</v>
      </c>
      <c r="S51" s="1699">
        <f t="shared" si="29"/>
        <v>0</v>
      </c>
      <c r="T51" s="1707">
        <f t="shared" si="42"/>
        <v>0</v>
      </c>
      <c r="U51" s="1708">
        <v>0</v>
      </c>
      <c r="V51" s="1709">
        <v>0</v>
      </c>
      <c r="W51" s="1699">
        <f t="shared" si="31"/>
        <v>0</v>
      </c>
      <c r="X51" s="1707">
        <f t="shared" si="43"/>
        <v>0</v>
      </c>
      <c r="Y51" s="1708">
        <v>0</v>
      </c>
      <c r="Z51" s="1709">
        <v>0</v>
      </c>
      <c r="AA51" s="1699">
        <f t="shared" si="33"/>
        <v>0</v>
      </c>
      <c r="AB51" s="1707">
        <f t="shared" si="44"/>
        <v>0</v>
      </c>
      <c r="AC51" s="1708">
        <v>0</v>
      </c>
      <c r="AD51" s="1709">
        <v>0</v>
      </c>
      <c r="AE51" s="1699">
        <f t="shared" si="35"/>
        <v>0</v>
      </c>
      <c r="AF51" s="1707">
        <f t="shared" si="45"/>
        <v>0</v>
      </c>
      <c r="AG51" s="1708">
        <v>0</v>
      </c>
      <c r="AH51" s="1709">
        <v>0</v>
      </c>
      <c r="AI51" s="1699">
        <f t="shared" si="37"/>
        <v>0</v>
      </c>
    </row>
    <row r="52" spans="1:35" x14ac:dyDescent="0.25">
      <c r="A52" s="1935"/>
      <c r="B52" s="19" t="s">
        <v>33</v>
      </c>
      <c r="C52" s="22"/>
      <c r="D52" s="2331">
        <f>IF(D$3&gt;1,D$3*0.25,0.5)</f>
        <v>0.5</v>
      </c>
      <c r="E52" s="2333">
        <v>0</v>
      </c>
      <c r="F52" s="2328">
        <f>IF(F$3=1,D52+E52+0.5,0)</f>
        <v>0</v>
      </c>
      <c r="G52" s="21">
        <f t="shared" si="24"/>
        <v>0.5</v>
      </c>
      <c r="H52" s="493">
        <f>IF(H$3&gt;1,H$3*0.25,0.5)</f>
        <v>0.5</v>
      </c>
      <c r="I52" s="489">
        <v>0</v>
      </c>
      <c r="J52" s="630">
        <f>IF(J$3=1,H52+I52+0.5,0)</f>
        <v>0</v>
      </c>
      <c r="K52" s="21">
        <f t="shared" si="7"/>
        <v>0.5</v>
      </c>
      <c r="L52" s="493">
        <f>IF(L$3&gt;1,L$3*0.25,0.5)</f>
        <v>0.5</v>
      </c>
      <c r="M52" s="489">
        <v>0</v>
      </c>
      <c r="N52" s="630">
        <f>IF(N$3=1,L52+M52+0.5,0)</f>
        <v>0</v>
      </c>
      <c r="O52" s="21">
        <f t="shared" si="27"/>
        <v>0.5</v>
      </c>
      <c r="P52" s="493">
        <f>IF(P$3&gt;1,P$3*0.25,0.5)</f>
        <v>0.5</v>
      </c>
      <c r="Q52" s="489">
        <v>0</v>
      </c>
      <c r="R52" s="630">
        <f>IF(R$3=1,P52+Q52+0.5,0)</f>
        <v>0</v>
      </c>
      <c r="S52" s="21">
        <f t="shared" si="29"/>
        <v>0.5</v>
      </c>
      <c r="T52" s="493">
        <f>IF(T$3&gt;1,T$3*0.25,0.5)</f>
        <v>0.5</v>
      </c>
      <c r="U52" s="489">
        <v>0</v>
      </c>
      <c r="V52" s="630">
        <f>IF(V$3=1,T52+U52+0.5,0)</f>
        <v>0</v>
      </c>
      <c r="W52" s="21">
        <f t="shared" si="31"/>
        <v>0.5</v>
      </c>
      <c r="X52" s="493">
        <f>IF(X$3&gt;1,X$3*0.25,0.5)</f>
        <v>0.5</v>
      </c>
      <c r="Y52" s="489">
        <v>0</v>
      </c>
      <c r="Z52" s="630">
        <f>IF(Z$3=1,X52+Y52+0.5,0)</f>
        <v>0</v>
      </c>
      <c r="AA52" s="21">
        <f t="shared" si="33"/>
        <v>0.5</v>
      </c>
      <c r="AB52" s="493">
        <f>IF(AB$3&gt;1,AB$3*0.25,0.5)</f>
        <v>0.5</v>
      </c>
      <c r="AC52" s="489">
        <v>0</v>
      </c>
      <c r="AD52" s="630">
        <f>IF(AD$3=1,AB52+AC52+0.5,0)</f>
        <v>0</v>
      </c>
      <c r="AE52" s="21">
        <f t="shared" si="35"/>
        <v>0.5</v>
      </c>
      <c r="AF52" s="493">
        <f>IF(AF$3&gt;1,AF$3*0.25,0.5)</f>
        <v>0.5</v>
      </c>
      <c r="AG52" s="489">
        <v>0</v>
      </c>
      <c r="AH52" s="630">
        <f>IF(AH$3=1,AF52+AG52+0.5,0)</f>
        <v>0</v>
      </c>
      <c r="AI52" s="21">
        <f t="shared" si="37"/>
        <v>0.5</v>
      </c>
    </row>
    <row r="53" spans="1:35" x14ac:dyDescent="0.25">
      <c r="A53" s="1935"/>
      <c r="B53" s="19" t="s">
        <v>34</v>
      </c>
      <c r="C53" s="22"/>
      <c r="D53" s="2331">
        <f>IF(D$3&gt;1,D$3*0.25,0.5)</f>
        <v>0.5</v>
      </c>
      <c r="E53" s="2333">
        <v>0</v>
      </c>
      <c r="F53" s="2328">
        <f>IF(F$3=1,D53+E53+0.5,0)</f>
        <v>0</v>
      </c>
      <c r="G53" s="21">
        <f t="shared" si="24"/>
        <v>0.5</v>
      </c>
      <c r="H53" s="493">
        <f>IF(H$3&gt;1,H$3*0.25,0.5)</f>
        <v>0.5</v>
      </c>
      <c r="I53" s="489">
        <v>0</v>
      </c>
      <c r="J53" s="630">
        <f>IF(J$3=1,H53+I53+0.5,0)</f>
        <v>0</v>
      </c>
      <c r="K53" s="21">
        <f t="shared" si="7"/>
        <v>0.5</v>
      </c>
      <c r="L53" s="493">
        <f>IF(L$3&gt;1,L$3*0.25,0.5)</f>
        <v>0.5</v>
      </c>
      <c r="M53" s="489">
        <v>0</v>
      </c>
      <c r="N53" s="630">
        <f>IF(N$3=1,L53+M53+0.5,0)</f>
        <v>0</v>
      </c>
      <c r="O53" s="21">
        <f t="shared" si="27"/>
        <v>0.5</v>
      </c>
      <c r="P53" s="493">
        <f>IF(P$3&gt;1,P$3*0.25,0.5)</f>
        <v>0.5</v>
      </c>
      <c r="Q53" s="489">
        <v>0</v>
      </c>
      <c r="R53" s="630">
        <f>IF(R$3=1,P53+Q53+0.5,0)</f>
        <v>0</v>
      </c>
      <c r="S53" s="21">
        <f t="shared" si="29"/>
        <v>0.5</v>
      </c>
      <c r="T53" s="493">
        <f>IF(T$3&gt;1,T$3*0.25,0.5)</f>
        <v>0.5</v>
      </c>
      <c r="U53" s="489">
        <v>0</v>
      </c>
      <c r="V53" s="630">
        <f>IF(V$3=1,T53+U53+0.5,0)</f>
        <v>0</v>
      </c>
      <c r="W53" s="21">
        <f t="shared" si="31"/>
        <v>0.5</v>
      </c>
      <c r="X53" s="493">
        <f>IF(X$3&gt;1,X$3*0.25,0.5)</f>
        <v>0.5</v>
      </c>
      <c r="Y53" s="489">
        <v>0</v>
      </c>
      <c r="Z53" s="630">
        <f>IF(Z$3=1,X53+Y53+0.5,0)</f>
        <v>0</v>
      </c>
      <c r="AA53" s="21">
        <f t="shared" si="33"/>
        <v>0.5</v>
      </c>
      <c r="AB53" s="493">
        <f>IF(AB$3&gt;1,AB$3*0.25,0.5)</f>
        <v>0.5</v>
      </c>
      <c r="AC53" s="489">
        <v>0</v>
      </c>
      <c r="AD53" s="630">
        <f>IF(AD$3=1,AB53+AC53+0.5,0)</f>
        <v>0</v>
      </c>
      <c r="AE53" s="21">
        <f t="shared" si="35"/>
        <v>0.5</v>
      </c>
      <c r="AF53" s="493">
        <f>IF(AF$3&gt;1,AF$3*0.25,0.5)</f>
        <v>0.5</v>
      </c>
      <c r="AG53" s="489">
        <v>0</v>
      </c>
      <c r="AH53" s="630">
        <f>IF(AH$3=1,AF53+AG53+0.5,0)</f>
        <v>0</v>
      </c>
      <c r="AI53" s="21">
        <f t="shared" si="37"/>
        <v>0.5</v>
      </c>
    </row>
    <row r="54" spans="1:35" x14ac:dyDescent="0.25">
      <c r="A54" s="1935" t="s">
        <v>557</v>
      </c>
      <c r="B54" s="1721" t="s">
        <v>32</v>
      </c>
      <c r="C54" s="22"/>
      <c r="D54" s="1707">
        <f>0.25</f>
        <v>0.25</v>
      </c>
      <c r="E54" s="1708">
        <v>0</v>
      </c>
      <c r="F54" s="1709">
        <v>0</v>
      </c>
      <c r="G54" s="1699">
        <f t="shared" si="24"/>
        <v>0.25</v>
      </c>
      <c r="H54" s="1707">
        <f>0.25</f>
        <v>0.25</v>
      </c>
      <c r="I54" s="1708">
        <v>0</v>
      </c>
      <c r="J54" s="1709">
        <v>0</v>
      </c>
      <c r="K54" s="1699">
        <f t="shared" si="7"/>
        <v>0.25</v>
      </c>
      <c r="L54" s="1707">
        <f>0.25</f>
        <v>0.25</v>
      </c>
      <c r="M54" s="1708">
        <v>0</v>
      </c>
      <c r="N54" s="1709">
        <v>0</v>
      </c>
      <c r="O54" s="1699">
        <f t="shared" si="27"/>
        <v>0.25</v>
      </c>
      <c r="P54" s="1707">
        <f>0.25</f>
        <v>0.25</v>
      </c>
      <c r="Q54" s="1708">
        <v>0</v>
      </c>
      <c r="R54" s="1709">
        <v>0</v>
      </c>
      <c r="S54" s="1699">
        <f t="shared" si="29"/>
        <v>0.25</v>
      </c>
      <c r="T54" s="1707">
        <f>0.25</f>
        <v>0.25</v>
      </c>
      <c r="U54" s="1708">
        <v>0</v>
      </c>
      <c r="V54" s="1709">
        <v>0</v>
      </c>
      <c r="W54" s="1699">
        <f t="shared" si="31"/>
        <v>0.25</v>
      </c>
      <c r="X54" s="1707">
        <f>0.25</f>
        <v>0.25</v>
      </c>
      <c r="Y54" s="1708">
        <v>0</v>
      </c>
      <c r="Z54" s="1709">
        <v>0</v>
      </c>
      <c r="AA54" s="1699">
        <f t="shared" si="33"/>
        <v>0.25</v>
      </c>
      <c r="AB54" s="1707">
        <f>0.25</f>
        <v>0.25</v>
      </c>
      <c r="AC54" s="1708">
        <v>0</v>
      </c>
      <c r="AD54" s="1709">
        <v>0</v>
      </c>
      <c r="AE54" s="1699">
        <f t="shared" si="35"/>
        <v>0.25</v>
      </c>
      <c r="AF54" s="1707">
        <f>0.25</f>
        <v>0.25</v>
      </c>
      <c r="AG54" s="1708">
        <v>0</v>
      </c>
      <c r="AH54" s="1709">
        <v>0</v>
      </c>
      <c r="AI54" s="1699">
        <f t="shared" si="37"/>
        <v>0.25</v>
      </c>
    </row>
    <row r="55" spans="1:35" x14ac:dyDescent="0.25">
      <c r="A55" s="1935"/>
      <c r="B55" s="19" t="s">
        <v>33</v>
      </c>
      <c r="C55" s="22"/>
      <c r="D55" s="2331">
        <f>IF(D$3&gt;1,D$3*0.25,0.25)</f>
        <v>0.25</v>
      </c>
      <c r="E55" s="2333">
        <v>0</v>
      </c>
      <c r="F55" s="2328">
        <f>IF(F$3=1,D55+E55+0.5,0)</f>
        <v>0</v>
      </c>
      <c r="G55" s="21">
        <f t="shared" si="24"/>
        <v>0.25</v>
      </c>
      <c r="H55" s="493">
        <f>IF(H$3&gt;1,H$3*0.25,0.25)</f>
        <v>0.25</v>
      </c>
      <c r="I55" s="489">
        <v>0</v>
      </c>
      <c r="J55" s="630">
        <f>IF(J$3=1,H55+I55+0.5,0)</f>
        <v>0</v>
      </c>
      <c r="K55" s="21">
        <f t="shared" si="7"/>
        <v>0.25</v>
      </c>
      <c r="L55" s="493">
        <f>IF(L$3&gt;1,L$3*0.25,0.25)</f>
        <v>0.25</v>
      </c>
      <c r="M55" s="489">
        <v>0</v>
      </c>
      <c r="N55" s="630">
        <f>IF(N$3=1,L55+M55+0.5,0)</f>
        <v>0</v>
      </c>
      <c r="O55" s="21">
        <f t="shared" si="27"/>
        <v>0.25</v>
      </c>
      <c r="P55" s="493">
        <f>IF(P$3&gt;1,P$3*0.25,0.25)</f>
        <v>0.25</v>
      </c>
      <c r="Q55" s="489">
        <v>0</v>
      </c>
      <c r="R55" s="630">
        <f>IF(R$3=1,P55+Q55+0.5,0)</f>
        <v>0</v>
      </c>
      <c r="S55" s="21">
        <f t="shared" si="29"/>
        <v>0.25</v>
      </c>
      <c r="T55" s="493">
        <f>IF(T$3&gt;1,T$3*0.25,0.25)</f>
        <v>0.25</v>
      </c>
      <c r="U55" s="489">
        <v>0</v>
      </c>
      <c r="V55" s="630">
        <f>IF(V$3=1,T55+U55+0.5,0)</f>
        <v>0</v>
      </c>
      <c r="W55" s="21">
        <f t="shared" si="31"/>
        <v>0.25</v>
      </c>
      <c r="X55" s="493">
        <f>IF(X$3&gt;1,X$3*0.25,0.25)</f>
        <v>0.25</v>
      </c>
      <c r="Y55" s="489">
        <v>0</v>
      </c>
      <c r="Z55" s="630">
        <f>IF(Z$3=1,X55+Y55+0.5,0)</f>
        <v>0</v>
      </c>
      <c r="AA55" s="21">
        <f t="shared" si="33"/>
        <v>0.25</v>
      </c>
      <c r="AB55" s="493">
        <f>IF(AB$3&gt;1,AB$3*0.25,0.25)</f>
        <v>0.25</v>
      </c>
      <c r="AC55" s="489">
        <v>0</v>
      </c>
      <c r="AD55" s="630">
        <f>IF(AD$3=1,AB55+AC55+0.5,0)</f>
        <v>0</v>
      </c>
      <c r="AE55" s="21">
        <f t="shared" si="35"/>
        <v>0.25</v>
      </c>
      <c r="AF55" s="493">
        <f>IF(AF$3&gt;1,AF$3*0.25,0.25)</f>
        <v>0.25</v>
      </c>
      <c r="AG55" s="489">
        <v>0</v>
      </c>
      <c r="AH55" s="630">
        <f>IF(AH$3=1,AF55+AG55+0.5,0)</f>
        <v>0</v>
      </c>
      <c r="AI55" s="21">
        <f t="shared" si="37"/>
        <v>0.25</v>
      </c>
    </row>
    <row r="56" spans="1:35" x14ac:dyDescent="0.25">
      <c r="A56" s="1935"/>
      <c r="B56" s="19" t="s">
        <v>34</v>
      </c>
      <c r="C56" s="22"/>
      <c r="D56" s="2331">
        <f>IF(D$3&gt;1,D$3*0.25,0.25)</f>
        <v>0.25</v>
      </c>
      <c r="E56" s="2333">
        <v>0</v>
      </c>
      <c r="F56" s="2328">
        <f>IF(F$3=1,D56+E56+0.5,0)</f>
        <v>0</v>
      </c>
      <c r="G56" s="21">
        <f t="shared" si="24"/>
        <v>0.25</v>
      </c>
      <c r="H56" s="493">
        <f>IF(H$3&gt;1,H$3*0.25,0.25)</f>
        <v>0.25</v>
      </c>
      <c r="I56" s="489">
        <v>0</v>
      </c>
      <c r="J56" s="630">
        <f>IF(J$3=1,H56+I56+0.5,0)</f>
        <v>0</v>
      </c>
      <c r="K56" s="21">
        <f t="shared" si="7"/>
        <v>0.25</v>
      </c>
      <c r="L56" s="493">
        <f>IF(L$3&gt;1,L$3*0.25,0.25)</f>
        <v>0.25</v>
      </c>
      <c r="M56" s="489">
        <v>0</v>
      </c>
      <c r="N56" s="630">
        <f>IF(N$3=1,L56+M56+0.5,0)</f>
        <v>0</v>
      </c>
      <c r="O56" s="21">
        <f t="shared" si="27"/>
        <v>0.25</v>
      </c>
      <c r="P56" s="493">
        <f>IF(P$3&gt;1,P$3*0.25,0.25)</f>
        <v>0.25</v>
      </c>
      <c r="Q56" s="489">
        <v>0</v>
      </c>
      <c r="R56" s="630">
        <f>IF(R$3=1,P56+Q56+0.5,0)</f>
        <v>0</v>
      </c>
      <c r="S56" s="21">
        <f t="shared" si="29"/>
        <v>0.25</v>
      </c>
      <c r="T56" s="493">
        <f>IF(T$3&gt;1,T$3*0.25,0.25)</f>
        <v>0.25</v>
      </c>
      <c r="U56" s="489">
        <v>0</v>
      </c>
      <c r="V56" s="630">
        <f>IF(V$3=1,T56+U56+0.5,0)</f>
        <v>0</v>
      </c>
      <c r="W56" s="21">
        <f t="shared" si="31"/>
        <v>0.25</v>
      </c>
      <c r="X56" s="493">
        <f>IF(X$3&gt;1,X$3*0.25,0.25)</f>
        <v>0.25</v>
      </c>
      <c r="Y56" s="489">
        <v>0</v>
      </c>
      <c r="Z56" s="630">
        <f>IF(Z$3=1,X56+Y56+0.5,0)</f>
        <v>0</v>
      </c>
      <c r="AA56" s="21">
        <f t="shared" si="33"/>
        <v>0.25</v>
      </c>
      <c r="AB56" s="493">
        <f>IF(AB$3&gt;1,AB$3*0.25,0.25)</f>
        <v>0.25</v>
      </c>
      <c r="AC56" s="489">
        <v>0</v>
      </c>
      <c r="AD56" s="630">
        <f>IF(AD$3=1,AB56+AC56+0.5,0)</f>
        <v>0</v>
      </c>
      <c r="AE56" s="21">
        <f t="shared" si="35"/>
        <v>0.25</v>
      </c>
      <c r="AF56" s="493">
        <f>IF(AF$3&gt;1,AF$3*0.25,0.25)</f>
        <v>0.25</v>
      </c>
      <c r="AG56" s="489">
        <v>0</v>
      </c>
      <c r="AH56" s="630">
        <f>IF(AH$3=1,AF56+AG56+0.5,0)</f>
        <v>0</v>
      </c>
      <c r="AI56" s="21">
        <f t="shared" si="37"/>
        <v>0.25</v>
      </c>
    </row>
    <row r="57" spans="1:35" x14ac:dyDescent="0.25">
      <c r="A57" s="1935" t="s">
        <v>19</v>
      </c>
      <c r="B57" s="1721" t="s">
        <v>32</v>
      </c>
      <c r="C57" s="22"/>
      <c r="D57" s="1707">
        <f>$D$3*0.25</f>
        <v>0</v>
      </c>
      <c r="E57" s="1708">
        <v>0</v>
      </c>
      <c r="F57" s="1709">
        <v>0</v>
      </c>
      <c r="G57" s="1699">
        <f t="shared" si="24"/>
        <v>0</v>
      </c>
      <c r="H57" s="1707">
        <f>$D$3*0.25</f>
        <v>0</v>
      </c>
      <c r="I57" s="1708">
        <v>0</v>
      </c>
      <c r="J57" s="1709">
        <v>0</v>
      </c>
      <c r="K57" s="1699">
        <f t="shared" si="7"/>
        <v>0</v>
      </c>
      <c r="L57" s="1707">
        <f>$D$3*0.25</f>
        <v>0</v>
      </c>
      <c r="M57" s="1708">
        <v>0</v>
      </c>
      <c r="N57" s="1709">
        <v>0</v>
      </c>
      <c r="O57" s="1699">
        <f t="shared" si="27"/>
        <v>0</v>
      </c>
      <c r="P57" s="1707">
        <f>$D$3*0.25</f>
        <v>0</v>
      </c>
      <c r="Q57" s="1708">
        <v>0</v>
      </c>
      <c r="R57" s="1709">
        <v>0</v>
      </c>
      <c r="S57" s="1699">
        <f t="shared" si="29"/>
        <v>0</v>
      </c>
      <c r="T57" s="1707">
        <f>$D$3*0.25</f>
        <v>0</v>
      </c>
      <c r="U57" s="1708">
        <v>0</v>
      </c>
      <c r="V57" s="1709">
        <v>0</v>
      </c>
      <c r="W57" s="1699">
        <f t="shared" si="31"/>
        <v>0</v>
      </c>
      <c r="X57" s="1707">
        <f>$D$3*0.25</f>
        <v>0</v>
      </c>
      <c r="Y57" s="1708">
        <v>0</v>
      </c>
      <c r="Z57" s="1709">
        <v>0</v>
      </c>
      <c r="AA57" s="1699">
        <f t="shared" si="33"/>
        <v>0</v>
      </c>
      <c r="AB57" s="1707">
        <f>$D$3*0.25</f>
        <v>0</v>
      </c>
      <c r="AC57" s="1708">
        <v>0</v>
      </c>
      <c r="AD57" s="1709">
        <v>0</v>
      </c>
      <c r="AE57" s="1699">
        <f t="shared" si="35"/>
        <v>0</v>
      </c>
      <c r="AF57" s="1707">
        <f>$D$3*0.25</f>
        <v>0</v>
      </c>
      <c r="AG57" s="1708">
        <v>0</v>
      </c>
      <c r="AH57" s="1709">
        <v>0</v>
      </c>
      <c r="AI57" s="1699">
        <f t="shared" si="37"/>
        <v>0</v>
      </c>
    </row>
    <row r="58" spans="1:35" x14ac:dyDescent="0.25">
      <c r="A58" s="1935"/>
      <c r="B58" s="19" t="s">
        <v>33</v>
      </c>
      <c r="C58" s="22"/>
      <c r="D58" s="2329">
        <v>2</v>
      </c>
      <c r="E58" s="2330">
        <f>IF(E$3&gt;1,0.5*E$3,1)</f>
        <v>1</v>
      </c>
      <c r="F58" s="2328">
        <f>IF(F$3=1,D58+E58+10,0)</f>
        <v>0</v>
      </c>
      <c r="G58" s="21">
        <f t="shared" si="24"/>
        <v>3</v>
      </c>
      <c r="H58" s="485">
        <v>2</v>
      </c>
      <c r="I58" s="478">
        <f>IF(I$3&gt;1,0.5*I$3,1)</f>
        <v>1</v>
      </c>
      <c r="J58" s="630">
        <f>IF(J$3=1,H58+I58+10,0)</f>
        <v>0</v>
      </c>
      <c r="K58" s="21">
        <f t="shared" si="7"/>
        <v>3</v>
      </c>
      <c r="L58" s="485">
        <v>2</v>
      </c>
      <c r="M58" s="478">
        <f>IF(M$3&gt;1,0.5*M$3,1)</f>
        <v>1</v>
      </c>
      <c r="N58" s="630">
        <f>IF(N$3=1,L58+M58+10,0)</f>
        <v>0</v>
      </c>
      <c r="O58" s="21">
        <f t="shared" si="27"/>
        <v>3</v>
      </c>
      <c r="P58" s="485">
        <v>2</v>
      </c>
      <c r="Q58" s="478">
        <f>IF(Q$3&gt;1,0.5*Q$3,1)</f>
        <v>1</v>
      </c>
      <c r="R58" s="630">
        <f>IF(R$3=1,P58+Q58+10,0)</f>
        <v>0</v>
      </c>
      <c r="S58" s="21">
        <f t="shared" si="29"/>
        <v>3</v>
      </c>
      <c r="T58" s="485">
        <v>2</v>
      </c>
      <c r="U58" s="478">
        <f>IF(U$3&gt;1,0.5*U$3,1)</f>
        <v>1</v>
      </c>
      <c r="V58" s="630">
        <f>IF(V$3=1,T58+U58+10,0)</f>
        <v>0</v>
      </c>
      <c r="W58" s="21">
        <f t="shared" si="31"/>
        <v>3</v>
      </c>
      <c r="X58" s="485">
        <v>2</v>
      </c>
      <c r="Y58" s="478">
        <f>IF(Y$3&gt;1,0.5*Y$3,1)</f>
        <v>1</v>
      </c>
      <c r="Z58" s="630">
        <f>IF(Z$3=1,X58+Y58+10,0)</f>
        <v>0</v>
      </c>
      <c r="AA58" s="21">
        <f t="shared" si="33"/>
        <v>3</v>
      </c>
      <c r="AB58" s="485">
        <v>2</v>
      </c>
      <c r="AC58" s="478">
        <f>IF(AC$3&gt;1,0.5*AC$3,1)</f>
        <v>1</v>
      </c>
      <c r="AD58" s="630">
        <f>IF(AD$3=1,AB58+AC58+10,0)</f>
        <v>0</v>
      </c>
      <c r="AE58" s="21">
        <f t="shared" si="35"/>
        <v>3</v>
      </c>
      <c r="AF58" s="485">
        <v>2</v>
      </c>
      <c r="AG58" s="478">
        <f>IF(AG$3&gt;1,0.5*AG$3,1)</f>
        <v>1</v>
      </c>
      <c r="AH58" s="630">
        <f>IF(AH$3=1,AF58+AG58+10,0)</f>
        <v>0</v>
      </c>
      <c r="AI58" s="21">
        <f t="shared" si="37"/>
        <v>3</v>
      </c>
    </row>
    <row r="59" spans="1:35" x14ac:dyDescent="0.25">
      <c r="A59" s="1935"/>
      <c r="B59" s="19" t="s">
        <v>34</v>
      </c>
      <c r="C59" s="22"/>
      <c r="D59" s="2335">
        <v>4</v>
      </c>
      <c r="E59" s="2330">
        <f>IF(E$3&gt;1,0.5*E$3,1)</f>
        <v>1</v>
      </c>
      <c r="F59" s="2328">
        <f>IF(F$3=1,D59+E59+24,0)</f>
        <v>0</v>
      </c>
      <c r="G59" s="21">
        <f t="shared" si="24"/>
        <v>5</v>
      </c>
      <c r="H59" s="500">
        <v>4</v>
      </c>
      <c r="I59" s="478">
        <f>IF(I$3&gt;1,0.5*I$3,1)</f>
        <v>1</v>
      </c>
      <c r="J59" s="630">
        <f>IF(J$3=1,H59+I59+24,0)</f>
        <v>0</v>
      </c>
      <c r="K59" s="21">
        <f t="shared" si="7"/>
        <v>5</v>
      </c>
      <c r="L59" s="500">
        <v>4</v>
      </c>
      <c r="M59" s="478">
        <f>IF(M$3&gt;1,0.5*M$3,1)</f>
        <v>1</v>
      </c>
      <c r="N59" s="630">
        <f>IF(N$3=1,L59+M59+24,0)</f>
        <v>0</v>
      </c>
      <c r="O59" s="21">
        <f t="shared" si="27"/>
        <v>5</v>
      </c>
      <c r="P59" s="500">
        <v>4</v>
      </c>
      <c r="Q59" s="478">
        <f>IF(Q$3&gt;1,0.5*Q$3,1)</f>
        <v>1</v>
      </c>
      <c r="R59" s="630">
        <f>IF(R$3=1,P59+Q59+24,0)</f>
        <v>0</v>
      </c>
      <c r="S59" s="21">
        <f t="shared" si="29"/>
        <v>5</v>
      </c>
      <c r="T59" s="500">
        <v>4</v>
      </c>
      <c r="U59" s="478">
        <f>IF(U$3&gt;1,0.5*U$3,1)</f>
        <v>1</v>
      </c>
      <c r="V59" s="630">
        <f>IF(V$3=1,T59+U59+24,0)</f>
        <v>0</v>
      </c>
      <c r="W59" s="21">
        <f t="shared" si="31"/>
        <v>5</v>
      </c>
      <c r="X59" s="500">
        <v>4</v>
      </c>
      <c r="Y59" s="478">
        <f>IF(Y$3&gt;1,0.5*Y$3,1)</f>
        <v>1</v>
      </c>
      <c r="Z59" s="630">
        <f>IF(Z$3=1,X59+Y59+24,0)</f>
        <v>0</v>
      </c>
      <c r="AA59" s="21">
        <f t="shared" si="33"/>
        <v>5</v>
      </c>
      <c r="AB59" s="500">
        <v>4</v>
      </c>
      <c r="AC59" s="478">
        <f>IF(AC$3&gt;1,0.5*AC$3,1)</f>
        <v>1</v>
      </c>
      <c r="AD59" s="630">
        <f>IF(AD$3=1,AB59+AC59+24,0)</f>
        <v>0</v>
      </c>
      <c r="AE59" s="21">
        <f t="shared" si="35"/>
        <v>5</v>
      </c>
      <c r="AF59" s="500">
        <v>4</v>
      </c>
      <c r="AG59" s="478">
        <f>IF(AG$3&gt;1,0.5*AG$3,1)</f>
        <v>1</v>
      </c>
      <c r="AH59" s="630">
        <f>IF(AH$3=1,AF59+AG59+24,0)</f>
        <v>0</v>
      </c>
      <c r="AI59" s="21">
        <f t="shared" si="37"/>
        <v>5</v>
      </c>
    </row>
    <row r="60" spans="1:35" x14ac:dyDescent="0.25">
      <c r="A60" s="1935" t="s">
        <v>20</v>
      </c>
      <c r="B60" s="1721" t="s">
        <v>32</v>
      </c>
      <c r="C60" s="22"/>
      <c r="D60" s="1707">
        <v>6</v>
      </c>
      <c r="E60" s="1701">
        <f>IF($E$3&gt;1,2,1)</f>
        <v>1</v>
      </c>
      <c r="F60" s="1709">
        <f>0.25*$F$3</f>
        <v>0</v>
      </c>
      <c r="G60" s="1699">
        <f t="shared" si="24"/>
        <v>7</v>
      </c>
      <c r="H60" s="1707">
        <v>6</v>
      </c>
      <c r="I60" s="1701">
        <f>IF($E$3&gt;1,2,1)</f>
        <v>1</v>
      </c>
      <c r="J60" s="1709">
        <f>0.25*$F$3</f>
        <v>0</v>
      </c>
      <c r="K60" s="1699">
        <f t="shared" si="7"/>
        <v>7</v>
      </c>
      <c r="L60" s="1707">
        <v>6</v>
      </c>
      <c r="M60" s="1701">
        <f>IF($E$3&gt;1,2,1)</f>
        <v>1</v>
      </c>
      <c r="N60" s="1709">
        <f>0.25*$F$3</f>
        <v>0</v>
      </c>
      <c r="O60" s="1699">
        <f t="shared" si="27"/>
        <v>7</v>
      </c>
      <c r="P60" s="1707">
        <v>6</v>
      </c>
      <c r="Q60" s="1701">
        <f>IF($E$3&gt;1,2,1)</f>
        <v>1</v>
      </c>
      <c r="R60" s="1709">
        <f>0.25*$F$3</f>
        <v>0</v>
      </c>
      <c r="S60" s="1699">
        <f t="shared" si="29"/>
        <v>7</v>
      </c>
      <c r="T60" s="1707">
        <v>6</v>
      </c>
      <c r="U60" s="1701">
        <f>IF($E$3&gt;1,2,1)</f>
        <v>1</v>
      </c>
      <c r="V60" s="1709">
        <f>0.25*$F$3</f>
        <v>0</v>
      </c>
      <c r="W60" s="1699">
        <f t="shared" si="31"/>
        <v>7</v>
      </c>
      <c r="X60" s="1707">
        <v>6</v>
      </c>
      <c r="Y60" s="1701">
        <f>IF($E$3&gt;1,2,1)</f>
        <v>1</v>
      </c>
      <c r="Z60" s="1709">
        <f>0.25*$F$3</f>
        <v>0</v>
      </c>
      <c r="AA60" s="1699">
        <f t="shared" si="33"/>
        <v>7</v>
      </c>
      <c r="AB60" s="1707">
        <v>6</v>
      </c>
      <c r="AC60" s="1701">
        <f>IF($E$3&gt;1,2,1)</f>
        <v>1</v>
      </c>
      <c r="AD60" s="1709">
        <f>0.25*$F$3</f>
        <v>0</v>
      </c>
      <c r="AE60" s="1699">
        <f t="shared" si="35"/>
        <v>7</v>
      </c>
      <c r="AF60" s="1707">
        <v>6</v>
      </c>
      <c r="AG60" s="1701">
        <f>IF($E$3&gt;1,2,1)</f>
        <v>1</v>
      </c>
      <c r="AH60" s="1709">
        <f>0.25*$F$3</f>
        <v>0</v>
      </c>
      <c r="AI60" s="1699">
        <f t="shared" si="37"/>
        <v>7</v>
      </c>
    </row>
    <row r="61" spans="1:35" ht="15.75" customHeight="1" x14ac:dyDescent="0.25">
      <c r="A61" s="1935"/>
      <c r="B61" s="19" t="s">
        <v>33</v>
      </c>
      <c r="C61" s="22"/>
      <c r="D61" s="2331">
        <v>1</v>
      </c>
      <c r="E61" s="2330">
        <f>IF(E$3&gt;1,0.25*E$3,0.5)</f>
        <v>0.5</v>
      </c>
      <c r="F61" s="2328">
        <f>IF(F$3=1,D61+E61+4,0)</f>
        <v>0</v>
      </c>
      <c r="G61" s="21">
        <f t="shared" si="24"/>
        <v>1.5</v>
      </c>
      <c r="H61" s="482">
        <v>1</v>
      </c>
      <c r="I61" s="478">
        <f>IF(I$3&gt;1,0.25*I$3,0.5)</f>
        <v>0.5</v>
      </c>
      <c r="J61" s="630">
        <f>IF(J$3=1,H61+I61+4,0)</f>
        <v>0</v>
      </c>
      <c r="K61" s="21">
        <f t="shared" si="7"/>
        <v>1.5</v>
      </c>
      <c r="L61" s="482">
        <v>1</v>
      </c>
      <c r="M61" s="478">
        <f>IF(M$3&gt;1,0.25*M$3,0.5)</f>
        <v>0.5</v>
      </c>
      <c r="N61" s="630">
        <f>IF(N$3=1,L61+M61+4,0)</f>
        <v>0</v>
      </c>
      <c r="O61" s="21">
        <f t="shared" si="27"/>
        <v>1.5</v>
      </c>
      <c r="P61" s="482">
        <v>1</v>
      </c>
      <c r="Q61" s="478">
        <f>IF(Q$3&gt;1,0.25*Q$3,0.5)</f>
        <v>0.5</v>
      </c>
      <c r="R61" s="630">
        <f>IF(R$3=1,P61+Q61+4,0)</f>
        <v>0</v>
      </c>
      <c r="S61" s="21">
        <f t="shared" si="29"/>
        <v>1.5</v>
      </c>
      <c r="T61" s="482">
        <v>1</v>
      </c>
      <c r="U61" s="478">
        <f>IF(U$3&gt;1,0.25*U$3,0.5)</f>
        <v>0.5</v>
      </c>
      <c r="V61" s="630">
        <f>IF(V$3=1,T61+U61+4,0)</f>
        <v>0</v>
      </c>
      <c r="W61" s="21">
        <f t="shared" si="31"/>
        <v>1.5</v>
      </c>
      <c r="X61" s="482">
        <v>1</v>
      </c>
      <c r="Y61" s="478">
        <f>IF(Y$3&gt;1,0.25*Y$3,0.5)</f>
        <v>0.5</v>
      </c>
      <c r="Z61" s="630">
        <f>IF(Z$3=1,X61+Y61+4,0)</f>
        <v>0</v>
      </c>
      <c r="AA61" s="21">
        <f t="shared" si="33"/>
        <v>1.5</v>
      </c>
      <c r="AB61" s="482">
        <v>1</v>
      </c>
      <c r="AC61" s="478">
        <f>IF(AC$3&gt;1,0.25*AC$3,0.5)</f>
        <v>0.5</v>
      </c>
      <c r="AD61" s="630">
        <f>IF(AD$3=1,AB61+AC61+4,0)</f>
        <v>0</v>
      </c>
      <c r="AE61" s="21">
        <f t="shared" si="35"/>
        <v>1.5</v>
      </c>
      <c r="AF61" s="482">
        <v>1</v>
      </c>
      <c r="AG61" s="478">
        <f>IF(AG$3&gt;1,0.25*AG$3,0.5)</f>
        <v>0.5</v>
      </c>
      <c r="AH61" s="630">
        <f>IF(AH$3=1,AF61+AG61+4,0)</f>
        <v>0</v>
      </c>
      <c r="AI61" s="21">
        <f t="shared" si="37"/>
        <v>1.5</v>
      </c>
    </row>
    <row r="62" spans="1:35" x14ac:dyDescent="0.25">
      <c r="A62" s="1935"/>
      <c r="B62" s="19" t="s">
        <v>34</v>
      </c>
      <c r="C62" s="22"/>
      <c r="D62" s="2331">
        <v>2</v>
      </c>
      <c r="E62" s="2330">
        <f>IF(E$3&gt;1,0.25*E$3,0.5)</f>
        <v>0.5</v>
      </c>
      <c r="F62" s="2328">
        <f>IF(F$3=1,D62+E62+6,0)</f>
        <v>0</v>
      </c>
      <c r="G62" s="21">
        <f t="shared" si="24"/>
        <v>2.5</v>
      </c>
      <c r="H62" s="482">
        <v>2</v>
      </c>
      <c r="I62" s="478">
        <f>IF(I$3&gt;1,0.25*I$3,0.5)</f>
        <v>0.5</v>
      </c>
      <c r="J62" s="630">
        <f>IF(J$3=1,H62+I62+6,0)</f>
        <v>0</v>
      </c>
      <c r="K62" s="21">
        <f t="shared" si="7"/>
        <v>2.5</v>
      </c>
      <c r="L62" s="482">
        <v>2</v>
      </c>
      <c r="M62" s="478">
        <f>IF(M$3&gt;1,0.25*M$3,0.5)</f>
        <v>0.5</v>
      </c>
      <c r="N62" s="630">
        <f>IF(N$3=1,L62+M62+6,0)</f>
        <v>0</v>
      </c>
      <c r="O62" s="21">
        <f t="shared" si="27"/>
        <v>2.5</v>
      </c>
      <c r="P62" s="482">
        <v>2</v>
      </c>
      <c r="Q62" s="478">
        <f>IF(Q$3&gt;1,0.25*Q$3,0.5)</f>
        <v>0.5</v>
      </c>
      <c r="R62" s="630">
        <f>IF(R$3=1,P62+Q62+6,0)</f>
        <v>0</v>
      </c>
      <c r="S62" s="21">
        <f t="shared" si="29"/>
        <v>2.5</v>
      </c>
      <c r="T62" s="482">
        <v>2</v>
      </c>
      <c r="U62" s="478">
        <f>IF(U$3&gt;1,0.25*U$3,0.5)</f>
        <v>0.5</v>
      </c>
      <c r="V62" s="630">
        <f>IF(V$3=1,T62+U62+6,0)</f>
        <v>0</v>
      </c>
      <c r="W62" s="21">
        <f t="shared" si="31"/>
        <v>2.5</v>
      </c>
      <c r="X62" s="482">
        <v>2</v>
      </c>
      <c r="Y62" s="478">
        <f>IF(Y$3&gt;1,0.25*Y$3,0.5)</f>
        <v>0.5</v>
      </c>
      <c r="Z62" s="630">
        <f>IF(Z$3=1,X62+Y62+6,0)</f>
        <v>0</v>
      </c>
      <c r="AA62" s="21">
        <f t="shared" si="33"/>
        <v>2.5</v>
      </c>
      <c r="AB62" s="482">
        <v>2</v>
      </c>
      <c r="AC62" s="478">
        <f>IF(AC$3&gt;1,0.25*AC$3,0.5)</f>
        <v>0.5</v>
      </c>
      <c r="AD62" s="630">
        <f>IF(AD$3=1,AB62+AC62+6,0)</f>
        <v>0</v>
      </c>
      <c r="AE62" s="21">
        <f t="shared" si="35"/>
        <v>2.5</v>
      </c>
      <c r="AF62" s="482">
        <v>2</v>
      </c>
      <c r="AG62" s="478">
        <f>IF(AG$3&gt;1,0.25*AG$3,0.5)</f>
        <v>0.5</v>
      </c>
      <c r="AH62" s="630">
        <f>IF(AH$3=1,AF62+AG62+6,0)</f>
        <v>0</v>
      </c>
      <c r="AI62" s="21">
        <f t="shared" si="37"/>
        <v>2.5</v>
      </c>
    </row>
    <row r="63" spans="1:35" ht="15.6" customHeight="1" x14ac:dyDescent="0.25">
      <c r="A63" s="1935" t="s">
        <v>451</v>
      </c>
      <c r="B63" s="1721" t="s">
        <v>32</v>
      </c>
      <c r="C63" s="22"/>
      <c r="D63" s="1707">
        <v>0.25</v>
      </c>
      <c r="E63" s="1701">
        <v>0</v>
      </c>
      <c r="F63" s="1709">
        <v>0</v>
      </c>
      <c r="G63" s="1699">
        <f t="shared" si="24"/>
        <v>0.25</v>
      </c>
      <c r="H63" s="1707">
        <v>0.25</v>
      </c>
      <c r="I63" s="1701">
        <v>0</v>
      </c>
      <c r="J63" s="1709">
        <v>0</v>
      </c>
      <c r="K63" s="1699">
        <f t="shared" si="7"/>
        <v>0.25</v>
      </c>
      <c r="L63" s="1707">
        <v>0.25</v>
      </c>
      <c r="M63" s="1701">
        <v>0</v>
      </c>
      <c r="N63" s="1709">
        <v>0</v>
      </c>
      <c r="O63" s="1699">
        <f t="shared" si="27"/>
        <v>0.25</v>
      </c>
      <c r="P63" s="1707">
        <v>0.25</v>
      </c>
      <c r="Q63" s="1701">
        <v>0</v>
      </c>
      <c r="R63" s="1709">
        <v>0</v>
      </c>
      <c r="S63" s="1699">
        <f t="shared" si="29"/>
        <v>0.25</v>
      </c>
      <c r="T63" s="1707">
        <v>0.25</v>
      </c>
      <c r="U63" s="1701">
        <v>0</v>
      </c>
      <c r="V63" s="1709">
        <v>0</v>
      </c>
      <c r="W63" s="1699">
        <f t="shared" si="31"/>
        <v>0.25</v>
      </c>
      <c r="X63" s="1707">
        <v>0.25</v>
      </c>
      <c r="Y63" s="1701">
        <v>0</v>
      </c>
      <c r="Z63" s="1709">
        <v>0</v>
      </c>
      <c r="AA63" s="1699">
        <f t="shared" si="33"/>
        <v>0.25</v>
      </c>
      <c r="AB63" s="1707">
        <v>0.25</v>
      </c>
      <c r="AC63" s="1701">
        <v>0</v>
      </c>
      <c r="AD63" s="1709">
        <v>0</v>
      </c>
      <c r="AE63" s="1699">
        <f t="shared" si="35"/>
        <v>0.25</v>
      </c>
      <c r="AF63" s="1707">
        <v>0.25</v>
      </c>
      <c r="AG63" s="1701">
        <v>0</v>
      </c>
      <c r="AH63" s="1709">
        <v>0</v>
      </c>
      <c r="AI63" s="1699">
        <f t="shared" si="37"/>
        <v>0.25</v>
      </c>
    </row>
    <row r="64" spans="1:35" ht="15.6" customHeight="1" x14ac:dyDescent="0.25">
      <c r="A64" s="1935"/>
      <c r="B64" s="19" t="s">
        <v>33</v>
      </c>
      <c r="C64" s="22"/>
      <c r="D64" s="2331" t="s">
        <v>1772</v>
      </c>
      <c r="E64" s="2331" t="s">
        <v>1772</v>
      </c>
      <c r="F64" s="2331" t="s">
        <v>1772</v>
      </c>
      <c r="G64" s="21">
        <f t="shared" si="24"/>
        <v>0</v>
      </c>
      <c r="H64" s="482" t="s">
        <v>1772</v>
      </c>
      <c r="I64" s="482" t="s">
        <v>1772</v>
      </c>
      <c r="J64" s="482" t="s">
        <v>1772</v>
      </c>
      <c r="K64" s="21">
        <f t="shared" si="7"/>
        <v>0</v>
      </c>
      <c r="L64" s="482" t="s">
        <v>1772</v>
      </c>
      <c r="M64" s="482" t="s">
        <v>1772</v>
      </c>
      <c r="N64" s="482" t="s">
        <v>1772</v>
      </c>
      <c r="O64" s="21">
        <f t="shared" si="27"/>
        <v>0</v>
      </c>
      <c r="P64" s="482" t="s">
        <v>1772</v>
      </c>
      <c r="Q64" s="482" t="s">
        <v>1772</v>
      </c>
      <c r="R64" s="482" t="s">
        <v>1772</v>
      </c>
      <c r="S64" s="21">
        <f t="shared" si="29"/>
        <v>0</v>
      </c>
      <c r="T64" s="482" t="s">
        <v>1772</v>
      </c>
      <c r="U64" s="482" t="s">
        <v>1772</v>
      </c>
      <c r="V64" s="482" t="s">
        <v>1772</v>
      </c>
      <c r="W64" s="21">
        <f t="shared" si="31"/>
        <v>0</v>
      </c>
      <c r="X64" s="482" t="s">
        <v>1772</v>
      </c>
      <c r="Y64" s="482" t="s">
        <v>1772</v>
      </c>
      <c r="Z64" s="482" t="s">
        <v>1772</v>
      </c>
      <c r="AA64" s="21">
        <f t="shared" si="33"/>
        <v>0</v>
      </c>
      <c r="AB64" s="482" t="s">
        <v>1772</v>
      </c>
      <c r="AC64" s="482" t="s">
        <v>1772</v>
      </c>
      <c r="AD64" s="482" t="s">
        <v>1772</v>
      </c>
      <c r="AE64" s="21">
        <f t="shared" si="35"/>
        <v>0</v>
      </c>
      <c r="AF64" s="482" t="s">
        <v>1772</v>
      </c>
      <c r="AG64" s="482" t="s">
        <v>1772</v>
      </c>
      <c r="AH64" s="482" t="s">
        <v>1772</v>
      </c>
      <c r="AI64" s="21">
        <f t="shared" si="37"/>
        <v>0</v>
      </c>
    </row>
    <row r="65" spans="1:35" ht="15.6" customHeight="1" x14ac:dyDescent="0.25">
      <c r="A65" s="1935"/>
      <c r="B65" s="19" t="s">
        <v>34</v>
      </c>
      <c r="C65" s="22"/>
      <c r="D65" s="2331" t="s">
        <v>1772</v>
      </c>
      <c r="E65" s="2331" t="s">
        <v>1772</v>
      </c>
      <c r="F65" s="2331" t="s">
        <v>1772</v>
      </c>
      <c r="G65" s="21">
        <f t="shared" si="24"/>
        <v>0</v>
      </c>
      <c r="H65" s="482" t="s">
        <v>1772</v>
      </c>
      <c r="I65" s="482" t="s">
        <v>1772</v>
      </c>
      <c r="J65" s="482" t="s">
        <v>1772</v>
      </c>
      <c r="K65" s="21">
        <f t="shared" si="7"/>
        <v>0</v>
      </c>
      <c r="L65" s="482" t="s">
        <v>1772</v>
      </c>
      <c r="M65" s="482" t="s">
        <v>1772</v>
      </c>
      <c r="N65" s="482" t="s">
        <v>1772</v>
      </c>
      <c r="O65" s="21">
        <f t="shared" si="27"/>
        <v>0</v>
      </c>
      <c r="P65" s="482" t="s">
        <v>1772</v>
      </c>
      <c r="Q65" s="482" t="s">
        <v>1772</v>
      </c>
      <c r="R65" s="482" t="s">
        <v>1772</v>
      </c>
      <c r="S65" s="21">
        <f t="shared" si="29"/>
        <v>0</v>
      </c>
      <c r="T65" s="482" t="s">
        <v>1772</v>
      </c>
      <c r="U65" s="482" t="s">
        <v>1772</v>
      </c>
      <c r="V65" s="482" t="s">
        <v>1772</v>
      </c>
      <c r="W65" s="21">
        <f t="shared" si="31"/>
        <v>0</v>
      </c>
      <c r="X65" s="482" t="s">
        <v>1772</v>
      </c>
      <c r="Y65" s="482" t="s">
        <v>1772</v>
      </c>
      <c r="Z65" s="482" t="s">
        <v>1772</v>
      </c>
      <c r="AA65" s="21">
        <f t="shared" si="33"/>
        <v>0</v>
      </c>
      <c r="AB65" s="482" t="s">
        <v>1772</v>
      </c>
      <c r="AC65" s="482" t="s">
        <v>1772</v>
      </c>
      <c r="AD65" s="482" t="s">
        <v>1772</v>
      </c>
      <c r="AE65" s="21">
        <f t="shared" si="35"/>
        <v>0</v>
      </c>
      <c r="AF65" s="482" t="s">
        <v>1772</v>
      </c>
      <c r="AG65" s="482" t="s">
        <v>1772</v>
      </c>
      <c r="AH65" s="482" t="s">
        <v>1772</v>
      </c>
      <c r="AI65" s="21">
        <f t="shared" si="37"/>
        <v>0</v>
      </c>
    </row>
    <row r="66" spans="1:35" ht="15.6" customHeight="1" x14ac:dyDescent="0.25">
      <c r="A66" s="1935" t="s">
        <v>452</v>
      </c>
      <c r="B66" s="1721" t="s">
        <v>32</v>
      </c>
      <c r="C66" s="22"/>
      <c r="D66" s="1707">
        <v>0.25</v>
      </c>
      <c r="E66" s="1701">
        <v>0</v>
      </c>
      <c r="F66" s="1709">
        <v>0</v>
      </c>
      <c r="G66" s="1699">
        <f t="shared" si="24"/>
        <v>0.25</v>
      </c>
      <c r="H66" s="1707">
        <v>0.25</v>
      </c>
      <c r="I66" s="1701">
        <v>0</v>
      </c>
      <c r="J66" s="1709">
        <v>0</v>
      </c>
      <c r="K66" s="1699">
        <f t="shared" si="7"/>
        <v>0.25</v>
      </c>
      <c r="L66" s="1707">
        <v>0.25</v>
      </c>
      <c r="M66" s="1701">
        <v>0</v>
      </c>
      <c r="N66" s="1709">
        <v>0</v>
      </c>
      <c r="O66" s="1699">
        <f t="shared" si="27"/>
        <v>0.25</v>
      </c>
      <c r="P66" s="1707">
        <v>0.25</v>
      </c>
      <c r="Q66" s="1701">
        <v>0</v>
      </c>
      <c r="R66" s="1709">
        <v>0</v>
      </c>
      <c r="S66" s="1699">
        <f t="shared" si="29"/>
        <v>0.25</v>
      </c>
      <c r="T66" s="1707">
        <v>0.25</v>
      </c>
      <c r="U66" s="1701">
        <v>0</v>
      </c>
      <c r="V66" s="1709">
        <v>0</v>
      </c>
      <c r="W66" s="1699">
        <f t="shared" si="31"/>
        <v>0.25</v>
      </c>
      <c r="X66" s="1707">
        <v>0.25</v>
      </c>
      <c r="Y66" s="1701">
        <v>0</v>
      </c>
      <c r="Z66" s="1709">
        <v>0</v>
      </c>
      <c r="AA66" s="1699">
        <f t="shared" si="33"/>
        <v>0.25</v>
      </c>
      <c r="AB66" s="1707">
        <v>0.25</v>
      </c>
      <c r="AC66" s="1701">
        <v>0</v>
      </c>
      <c r="AD66" s="1709">
        <v>0</v>
      </c>
      <c r="AE66" s="1699">
        <f t="shared" si="35"/>
        <v>0.25</v>
      </c>
      <c r="AF66" s="1707">
        <v>0.25</v>
      </c>
      <c r="AG66" s="1701">
        <v>0</v>
      </c>
      <c r="AH66" s="1709">
        <v>0</v>
      </c>
      <c r="AI66" s="1699">
        <f t="shared" si="37"/>
        <v>0.25</v>
      </c>
    </row>
    <row r="67" spans="1:35" ht="15.6" customHeight="1" x14ac:dyDescent="0.25">
      <c r="A67" s="1935"/>
      <c r="B67" s="19" t="s">
        <v>33</v>
      </c>
      <c r="C67" s="22"/>
      <c r="D67" s="2331">
        <f>IF(D$3&gt;1,D$3*0.25,0.25)</f>
        <v>0.25</v>
      </c>
      <c r="E67" s="2328">
        <v>0</v>
      </c>
      <c r="F67" s="2328">
        <f>IF(F$3=1,D67+E67+0.5,0)</f>
        <v>0</v>
      </c>
      <c r="G67" s="21">
        <f t="shared" si="24"/>
        <v>0.25</v>
      </c>
      <c r="H67" s="493">
        <f>IF(H$3&gt;1,H$3*0.25,0.25)</f>
        <v>0.25</v>
      </c>
      <c r="I67" s="764">
        <v>0</v>
      </c>
      <c r="J67" s="630">
        <f>IF(J$3=1,H67+I67+0.5,0)</f>
        <v>0</v>
      </c>
      <c r="K67" s="21">
        <f t="shared" si="7"/>
        <v>0.25</v>
      </c>
      <c r="L67" s="493">
        <f>IF(L$3&gt;1,L$3*0.25,0.25)</f>
        <v>0.25</v>
      </c>
      <c r="M67" s="764">
        <v>0</v>
      </c>
      <c r="N67" s="630">
        <f>IF(N$3=1,L67+M67+0.5,0)</f>
        <v>0</v>
      </c>
      <c r="O67" s="21">
        <f t="shared" si="27"/>
        <v>0.25</v>
      </c>
      <c r="P67" s="493">
        <f>IF(P$3&gt;1,P$3*0.25,0.25)</f>
        <v>0.25</v>
      </c>
      <c r="Q67" s="764">
        <v>0</v>
      </c>
      <c r="R67" s="630">
        <f>IF(R$3=1,P67+Q67+0.5,0)</f>
        <v>0</v>
      </c>
      <c r="S67" s="21">
        <f t="shared" si="29"/>
        <v>0.25</v>
      </c>
      <c r="T67" s="493">
        <f>IF(T$3&gt;1,T$3*0.25,0.25)</f>
        <v>0.25</v>
      </c>
      <c r="U67" s="764">
        <v>0</v>
      </c>
      <c r="V67" s="630">
        <f>IF(V$3=1,T67+U67+0.5,0)</f>
        <v>0</v>
      </c>
      <c r="W67" s="21">
        <f t="shared" si="31"/>
        <v>0.25</v>
      </c>
      <c r="X67" s="493">
        <f>IF(X$3&gt;1,X$3*0.25,0.25)</f>
        <v>0.25</v>
      </c>
      <c r="Y67" s="764">
        <v>0</v>
      </c>
      <c r="Z67" s="630">
        <f>IF(Z$3=1,X67+Y67+0.5,0)</f>
        <v>0</v>
      </c>
      <c r="AA67" s="21">
        <f t="shared" si="33"/>
        <v>0.25</v>
      </c>
      <c r="AB67" s="493">
        <f>IF(AB$3&gt;1,AB$3*0.25,0.25)</f>
        <v>0.25</v>
      </c>
      <c r="AC67" s="764">
        <v>0</v>
      </c>
      <c r="AD67" s="630">
        <f>IF(AD$3=1,AB67+AC67+0.5,0)</f>
        <v>0</v>
      </c>
      <c r="AE67" s="21">
        <f t="shared" si="35"/>
        <v>0.25</v>
      </c>
      <c r="AF67" s="493">
        <f>IF(AF$3&gt;1,AF$3*0.25,0.25)</f>
        <v>0.25</v>
      </c>
      <c r="AG67" s="764">
        <v>0</v>
      </c>
      <c r="AH67" s="630">
        <f>IF(AH$3=1,AF67+AG67+0.5,0)</f>
        <v>0</v>
      </c>
      <c r="AI67" s="21">
        <f t="shared" si="37"/>
        <v>0.25</v>
      </c>
    </row>
    <row r="68" spans="1:35" ht="15.6" customHeight="1" x14ac:dyDescent="0.25">
      <c r="A68" s="1935"/>
      <c r="B68" s="19" t="s">
        <v>34</v>
      </c>
      <c r="C68" s="22"/>
      <c r="D68" s="2331">
        <f>IF(D$3&gt;1,D$3*0.25,0.25)</f>
        <v>0.25</v>
      </c>
      <c r="E68" s="2328">
        <v>0</v>
      </c>
      <c r="F68" s="2328">
        <f>IF(F$3=1,D68+E68+0.5,0)</f>
        <v>0</v>
      </c>
      <c r="G68" s="21">
        <f t="shared" si="24"/>
        <v>0.25</v>
      </c>
      <c r="H68" s="493">
        <f>IF(H$3&gt;1,H$3*0.25,0.25)</f>
        <v>0.25</v>
      </c>
      <c r="I68" s="764">
        <v>0</v>
      </c>
      <c r="J68" s="630">
        <f>IF(J$3=1,H68+I68+0.5,0)</f>
        <v>0</v>
      </c>
      <c r="K68" s="21">
        <f t="shared" si="7"/>
        <v>0.25</v>
      </c>
      <c r="L68" s="493">
        <f>IF(L$3&gt;1,L$3*0.25,0.25)</f>
        <v>0.25</v>
      </c>
      <c r="M68" s="764">
        <v>0</v>
      </c>
      <c r="N68" s="630">
        <f>IF(N$3=1,L68+M68+0.5,0)</f>
        <v>0</v>
      </c>
      <c r="O68" s="21">
        <f t="shared" si="27"/>
        <v>0.25</v>
      </c>
      <c r="P68" s="493">
        <f>IF(P$3&gt;1,P$3*0.25,0.25)</f>
        <v>0.25</v>
      </c>
      <c r="Q68" s="764">
        <v>0</v>
      </c>
      <c r="R68" s="630">
        <f>IF(R$3=1,P68+Q68+0.5,0)</f>
        <v>0</v>
      </c>
      <c r="S68" s="21">
        <f t="shared" si="29"/>
        <v>0.25</v>
      </c>
      <c r="T68" s="493">
        <f>IF(T$3&gt;1,T$3*0.25,0.25)</f>
        <v>0.25</v>
      </c>
      <c r="U68" s="764">
        <v>0</v>
      </c>
      <c r="V68" s="630">
        <f>IF(V$3=1,T68+U68+0.5,0)</f>
        <v>0</v>
      </c>
      <c r="W68" s="21">
        <f t="shared" si="31"/>
        <v>0.25</v>
      </c>
      <c r="X68" s="493">
        <f>IF(X$3&gt;1,X$3*0.25,0.25)</f>
        <v>0.25</v>
      </c>
      <c r="Y68" s="764">
        <v>0</v>
      </c>
      <c r="Z68" s="630">
        <f>IF(Z$3=1,X68+Y68+0.5,0)</f>
        <v>0</v>
      </c>
      <c r="AA68" s="21">
        <f t="shared" si="33"/>
        <v>0.25</v>
      </c>
      <c r="AB68" s="493">
        <f>IF(AB$3&gt;1,AB$3*0.25,0.25)</f>
        <v>0.25</v>
      </c>
      <c r="AC68" s="764">
        <v>0</v>
      </c>
      <c r="AD68" s="630">
        <f>IF(AD$3=1,AB68+AC68+0.5,0)</f>
        <v>0</v>
      </c>
      <c r="AE68" s="21">
        <f t="shared" si="35"/>
        <v>0.25</v>
      </c>
      <c r="AF68" s="493">
        <f>IF(AF$3&gt;1,AF$3*0.25,0.25)</f>
        <v>0.25</v>
      </c>
      <c r="AG68" s="764">
        <v>0</v>
      </c>
      <c r="AH68" s="630">
        <f>IF(AH$3=1,AF68+AG68+0.5,0)</f>
        <v>0</v>
      </c>
      <c r="AI68" s="21">
        <f t="shared" si="37"/>
        <v>0.25</v>
      </c>
    </row>
    <row r="69" spans="1:35" ht="15.6" customHeight="1" x14ac:dyDescent="0.25">
      <c r="A69" s="1945" t="s">
        <v>533</v>
      </c>
      <c r="B69" s="1721" t="s">
        <v>32</v>
      </c>
      <c r="C69" s="22"/>
      <c r="D69" s="1707">
        <f>IF($D$3&gt;1,$D$3*0.5+2,2)</f>
        <v>2</v>
      </c>
      <c r="E69" s="1708">
        <v>0</v>
      </c>
      <c r="F69" s="1702">
        <f t="shared" ref="F69:F72" si="46">$F$3*0.25</f>
        <v>0</v>
      </c>
      <c r="G69" s="1699">
        <f t="shared" si="24"/>
        <v>2</v>
      </c>
      <c r="H69" s="1707">
        <f>IF($D$3&gt;1,$D$3*0.5+2,2)</f>
        <v>2</v>
      </c>
      <c r="I69" s="1708">
        <v>0</v>
      </c>
      <c r="J69" s="1702">
        <f t="shared" ref="J69:J72" si="47">$F$3*0.25</f>
        <v>0</v>
      </c>
      <c r="K69" s="1699">
        <f t="shared" si="7"/>
        <v>2</v>
      </c>
      <c r="L69" s="1707">
        <f>IF($D$3&gt;1,$D$3*0.5+2,2)</f>
        <v>2</v>
      </c>
      <c r="M69" s="1708">
        <v>0</v>
      </c>
      <c r="N69" s="1702">
        <f t="shared" ref="N69:N72" si="48">$F$3*0.25</f>
        <v>0</v>
      </c>
      <c r="O69" s="1699">
        <f t="shared" si="27"/>
        <v>2</v>
      </c>
      <c r="P69" s="1707">
        <f>IF($D$3&gt;1,$D$3*0.5+2,2)</f>
        <v>2</v>
      </c>
      <c r="Q69" s="1708">
        <v>0</v>
      </c>
      <c r="R69" s="1702">
        <f t="shared" ref="R69:R72" si="49">$F$3*0.25</f>
        <v>0</v>
      </c>
      <c r="S69" s="1699">
        <f t="shared" si="29"/>
        <v>2</v>
      </c>
      <c r="T69" s="1707">
        <f>IF($D$3&gt;1,$D$3*0.5+2,2)</f>
        <v>2</v>
      </c>
      <c r="U69" s="1708">
        <v>0</v>
      </c>
      <c r="V69" s="1702">
        <f t="shared" ref="V69:V72" si="50">$F$3*0.25</f>
        <v>0</v>
      </c>
      <c r="W69" s="1699">
        <f t="shared" si="31"/>
        <v>2</v>
      </c>
      <c r="X69" s="1707">
        <f>IF($D$3&gt;1,$D$3*0.5+2,2)</f>
        <v>2</v>
      </c>
      <c r="Y69" s="1708">
        <v>0</v>
      </c>
      <c r="Z69" s="1702">
        <f t="shared" ref="Z69:Z72" si="51">$F$3*0.25</f>
        <v>0</v>
      </c>
      <c r="AA69" s="1699">
        <f t="shared" si="33"/>
        <v>2</v>
      </c>
      <c r="AB69" s="1707">
        <f>IF($D$3&gt;1,$D$3*0.5+2,2)</f>
        <v>2</v>
      </c>
      <c r="AC69" s="1708">
        <v>0</v>
      </c>
      <c r="AD69" s="1702">
        <f t="shared" ref="AD69:AD72" si="52">$F$3*0.25</f>
        <v>0</v>
      </c>
      <c r="AE69" s="1699">
        <f t="shared" si="35"/>
        <v>2</v>
      </c>
      <c r="AF69" s="1707">
        <f>IF($D$3&gt;1,$D$3*0.5+2,2)</f>
        <v>2</v>
      </c>
      <c r="AG69" s="1708">
        <v>0</v>
      </c>
      <c r="AH69" s="1702">
        <f t="shared" ref="AH69:AH72" si="53">$F$3*0.25</f>
        <v>0</v>
      </c>
      <c r="AI69" s="1699">
        <f t="shared" si="37"/>
        <v>2</v>
      </c>
    </row>
    <row r="70" spans="1:35" ht="15.6" customHeight="1" x14ac:dyDescent="0.25">
      <c r="A70" s="1945"/>
      <c r="B70" s="19" t="s">
        <v>33</v>
      </c>
      <c r="C70" s="22"/>
      <c r="D70" s="2331" t="s">
        <v>1772</v>
      </c>
      <c r="E70" s="2331" t="s">
        <v>1772</v>
      </c>
      <c r="F70" s="2331" t="s">
        <v>1772</v>
      </c>
      <c r="G70" s="21">
        <f t="shared" si="24"/>
        <v>0</v>
      </c>
      <c r="H70" s="482" t="s">
        <v>1772</v>
      </c>
      <c r="I70" s="482" t="s">
        <v>1772</v>
      </c>
      <c r="J70" s="482" t="s">
        <v>1772</v>
      </c>
      <c r="K70" s="21">
        <f t="shared" si="7"/>
        <v>0</v>
      </c>
      <c r="L70" s="482" t="s">
        <v>1772</v>
      </c>
      <c r="M70" s="482" t="s">
        <v>1772</v>
      </c>
      <c r="N70" s="482" t="s">
        <v>1772</v>
      </c>
      <c r="O70" s="21">
        <f t="shared" si="27"/>
        <v>0</v>
      </c>
      <c r="P70" s="482" t="s">
        <v>1772</v>
      </c>
      <c r="Q70" s="482" t="s">
        <v>1772</v>
      </c>
      <c r="R70" s="482" t="s">
        <v>1772</v>
      </c>
      <c r="S70" s="21">
        <f t="shared" si="29"/>
        <v>0</v>
      </c>
      <c r="T70" s="482" t="s">
        <v>1772</v>
      </c>
      <c r="U70" s="482" t="s">
        <v>1772</v>
      </c>
      <c r="V70" s="482" t="s">
        <v>1772</v>
      </c>
      <c r="W70" s="21">
        <f t="shared" si="31"/>
        <v>0</v>
      </c>
      <c r="X70" s="482" t="s">
        <v>1772</v>
      </c>
      <c r="Y70" s="482" t="s">
        <v>1772</v>
      </c>
      <c r="Z70" s="482" t="s">
        <v>1772</v>
      </c>
      <c r="AA70" s="21">
        <f t="shared" si="33"/>
        <v>0</v>
      </c>
      <c r="AB70" s="482" t="s">
        <v>1772</v>
      </c>
      <c r="AC70" s="482" t="s">
        <v>1772</v>
      </c>
      <c r="AD70" s="482" t="s">
        <v>1772</v>
      </c>
      <c r="AE70" s="21">
        <f t="shared" si="35"/>
        <v>0</v>
      </c>
      <c r="AF70" s="482" t="s">
        <v>1772</v>
      </c>
      <c r="AG70" s="482" t="s">
        <v>1772</v>
      </c>
      <c r="AH70" s="482" t="s">
        <v>1772</v>
      </c>
      <c r="AI70" s="21">
        <f t="shared" si="37"/>
        <v>0</v>
      </c>
    </row>
    <row r="71" spans="1:35" ht="15.6" customHeight="1" x14ac:dyDescent="0.25">
      <c r="A71" s="1945"/>
      <c r="B71" s="19" t="s">
        <v>34</v>
      </c>
      <c r="C71" s="22"/>
      <c r="D71" s="2331" t="s">
        <v>1772</v>
      </c>
      <c r="E71" s="2331" t="s">
        <v>1772</v>
      </c>
      <c r="F71" s="2331" t="s">
        <v>1772</v>
      </c>
      <c r="G71" s="21">
        <f t="shared" si="24"/>
        <v>0</v>
      </c>
      <c r="H71" s="482" t="s">
        <v>1772</v>
      </c>
      <c r="I71" s="482" t="s">
        <v>1772</v>
      </c>
      <c r="J71" s="482" t="s">
        <v>1772</v>
      </c>
      <c r="K71" s="21">
        <f t="shared" si="7"/>
        <v>0</v>
      </c>
      <c r="L71" s="482" t="s">
        <v>1772</v>
      </c>
      <c r="M71" s="482" t="s">
        <v>1772</v>
      </c>
      <c r="N71" s="482" t="s">
        <v>1772</v>
      </c>
      <c r="O71" s="21">
        <f t="shared" si="27"/>
        <v>0</v>
      </c>
      <c r="P71" s="482" t="s">
        <v>1772</v>
      </c>
      <c r="Q71" s="482" t="s">
        <v>1772</v>
      </c>
      <c r="R71" s="482" t="s">
        <v>1772</v>
      </c>
      <c r="S71" s="21">
        <f t="shared" si="29"/>
        <v>0</v>
      </c>
      <c r="T71" s="482" t="s">
        <v>1772</v>
      </c>
      <c r="U71" s="482" t="s">
        <v>1772</v>
      </c>
      <c r="V71" s="482" t="s">
        <v>1772</v>
      </c>
      <c r="W71" s="21">
        <f t="shared" si="31"/>
        <v>0</v>
      </c>
      <c r="X71" s="482" t="s">
        <v>1772</v>
      </c>
      <c r="Y71" s="482" t="s">
        <v>1772</v>
      </c>
      <c r="Z71" s="482" t="s">
        <v>1772</v>
      </c>
      <c r="AA71" s="21">
        <f t="shared" si="33"/>
        <v>0</v>
      </c>
      <c r="AB71" s="482" t="s">
        <v>1772</v>
      </c>
      <c r="AC71" s="482" t="s">
        <v>1772</v>
      </c>
      <c r="AD71" s="482" t="s">
        <v>1772</v>
      </c>
      <c r="AE71" s="21">
        <f t="shared" si="35"/>
        <v>0</v>
      </c>
      <c r="AF71" s="482" t="s">
        <v>1772</v>
      </c>
      <c r="AG71" s="482" t="s">
        <v>1772</v>
      </c>
      <c r="AH71" s="482" t="s">
        <v>1772</v>
      </c>
      <c r="AI71" s="21">
        <f t="shared" si="37"/>
        <v>0</v>
      </c>
    </row>
    <row r="72" spans="1:35" ht="15.6" customHeight="1" x14ac:dyDescent="0.25">
      <c r="A72" s="1935" t="s">
        <v>534</v>
      </c>
      <c r="B72" s="1721" t="s">
        <v>32</v>
      </c>
      <c r="C72" s="22"/>
      <c r="D72" s="1707">
        <f>IF($D$3&gt;1,$D$3*0.5+2,2)</f>
        <v>2</v>
      </c>
      <c r="E72" s="1708">
        <v>0</v>
      </c>
      <c r="F72" s="1702">
        <f t="shared" si="46"/>
        <v>0</v>
      </c>
      <c r="G72" s="1699">
        <f t="shared" si="24"/>
        <v>2</v>
      </c>
      <c r="H72" s="1707">
        <f>IF($D$3&gt;1,$D$3*0.5+2,2)</f>
        <v>2</v>
      </c>
      <c r="I72" s="1708">
        <v>0</v>
      </c>
      <c r="J72" s="1702">
        <f t="shared" si="47"/>
        <v>0</v>
      </c>
      <c r="K72" s="1699">
        <f t="shared" si="7"/>
        <v>2</v>
      </c>
      <c r="L72" s="1707">
        <f>IF($D$3&gt;1,$D$3*0.5+2,2)</f>
        <v>2</v>
      </c>
      <c r="M72" s="1708">
        <v>0</v>
      </c>
      <c r="N72" s="1702">
        <f t="shared" si="48"/>
        <v>0</v>
      </c>
      <c r="O72" s="1699">
        <f t="shared" si="27"/>
        <v>2</v>
      </c>
      <c r="P72" s="1707">
        <f>IF($D$3&gt;1,$D$3*0.5+2,2)</f>
        <v>2</v>
      </c>
      <c r="Q72" s="1708">
        <v>0</v>
      </c>
      <c r="R72" s="1702">
        <f t="shared" si="49"/>
        <v>0</v>
      </c>
      <c r="S72" s="1699">
        <f t="shared" si="29"/>
        <v>2</v>
      </c>
      <c r="T72" s="1707">
        <f>IF($D$3&gt;1,$D$3*0.5+2,2)</f>
        <v>2</v>
      </c>
      <c r="U72" s="1708">
        <v>0</v>
      </c>
      <c r="V72" s="1702">
        <f t="shared" si="50"/>
        <v>0</v>
      </c>
      <c r="W72" s="1699">
        <f t="shared" si="31"/>
        <v>2</v>
      </c>
      <c r="X72" s="1707">
        <f>IF($D$3&gt;1,$D$3*0.5+2,2)</f>
        <v>2</v>
      </c>
      <c r="Y72" s="1708">
        <v>0</v>
      </c>
      <c r="Z72" s="1702">
        <f t="shared" si="51"/>
        <v>0</v>
      </c>
      <c r="AA72" s="1699">
        <f t="shared" si="33"/>
        <v>2</v>
      </c>
      <c r="AB72" s="1707">
        <f>IF($D$3&gt;1,$D$3*0.5+2,2)</f>
        <v>2</v>
      </c>
      <c r="AC72" s="1708">
        <v>0</v>
      </c>
      <c r="AD72" s="1702">
        <f t="shared" si="52"/>
        <v>0</v>
      </c>
      <c r="AE72" s="1699">
        <f t="shared" si="35"/>
        <v>2</v>
      </c>
      <c r="AF72" s="1707">
        <f>IF($D$3&gt;1,$D$3*0.5+2,2)</f>
        <v>2</v>
      </c>
      <c r="AG72" s="1708">
        <v>0</v>
      </c>
      <c r="AH72" s="1702">
        <f t="shared" si="53"/>
        <v>0</v>
      </c>
      <c r="AI72" s="1699">
        <f t="shared" si="37"/>
        <v>2</v>
      </c>
    </row>
    <row r="73" spans="1:35" ht="15.6" customHeight="1" x14ac:dyDescent="0.25">
      <c r="A73" s="1935"/>
      <c r="B73" s="19" t="s">
        <v>33</v>
      </c>
      <c r="C73" s="22"/>
      <c r="D73" s="2331" t="s">
        <v>1772</v>
      </c>
      <c r="E73" s="2331" t="s">
        <v>1772</v>
      </c>
      <c r="F73" s="2331" t="s">
        <v>1772</v>
      </c>
      <c r="G73" s="21">
        <f t="shared" si="24"/>
        <v>0</v>
      </c>
      <c r="H73" s="482" t="s">
        <v>1772</v>
      </c>
      <c r="I73" s="482" t="s">
        <v>1772</v>
      </c>
      <c r="J73" s="482" t="s">
        <v>1772</v>
      </c>
      <c r="K73" s="21">
        <f t="shared" si="7"/>
        <v>0</v>
      </c>
      <c r="L73" s="482" t="s">
        <v>1772</v>
      </c>
      <c r="M73" s="482" t="s">
        <v>1772</v>
      </c>
      <c r="N73" s="482" t="s">
        <v>1772</v>
      </c>
      <c r="O73" s="21">
        <f t="shared" si="27"/>
        <v>0</v>
      </c>
      <c r="P73" s="482" t="s">
        <v>1772</v>
      </c>
      <c r="Q73" s="482" t="s">
        <v>1772</v>
      </c>
      <c r="R73" s="482" t="s">
        <v>1772</v>
      </c>
      <c r="S73" s="21">
        <f t="shared" si="29"/>
        <v>0</v>
      </c>
      <c r="T73" s="482" t="s">
        <v>1772</v>
      </c>
      <c r="U73" s="482" t="s">
        <v>1772</v>
      </c>
      <c r="V73" s="482" t="s">
        <v>1772</v>
      </c>
      <c r="W73" s="21">
        <f t="shared" si="31"/>
        <v>0</v>
      </c>
      <c r="X73" s="482" t="s">
        <v>1772</v>
      </c>
      <c r="Y73" s="482" t="s">
        <v>1772</v>
      </c>
      <c r="Z73" s="482" t="s">
        <v>1772</v>
      </c>
      <c r="AA73" s="21">
        <f t="shared" si="33"/>
        <v>0</v>
      </c>
      <c r="AB73" s="482" t="s">
        <v>1772</v>
      </c>
      <c r="AC73" s="482" t="s">
        <v>1772</v>
      </c>
      <c r="AD73" s="482" t="s">
        <v>1772</v>
      </c>
      <c r="AE73" s="21">
        <f t="shared" si="35"/>
        <v>0</v>
      </c>
      <c r="AF73" s="482" t="s">
        <v>1772</v>
      </c>
      <c r="AG73" s="482" t="s">
        <v>1772</v>
      </c>
      <c r="AH73" s="482" t="s">
        <v>1772</v>
      </c>
      <c r="AI73" s="21">
        <f t="shared" si="37"/>
        <v>0</v>
      </c>
    </row>
    <row r="74" spans="1:35" ht="15.6" customHeight="1" x14ac:dyDescent="0.25">
      <c r="A74" s="1935"/>
      <c r="B74" s="19" t="s">
        <v>34</v>
      </c>
      <c r="C74" s="22"/>
      <c r="D74" s="2331" t="s">
        <v>1772</v>
      </c>
      <c r="E74" s="2331" t="s">
        <v>1772</v>
      </c>
      <c r="F74" s="2331" t="s">
        <v>1772</v>
      </c>
      <c r="G74" s="21">
        <f t="shared" si="24"/>
        <v>0</v>
      </c>
      <c r="H74" s="482" t="s">
        <v>1772</v>
      </c>
      <c r="I74" s="482" t="s">
        <v>1772</v>
      </c>
      <c r="J74" s="482" t="s">
        <v>1772</v>
      </c>
      <c r="K74" s="21">
        <f t="shared" si="7"/>
        <v>0</v>
      </c>
      <c r="L74" s="482" t="s">
        <v>1772</v>
      </c>
      <c r="M74" s="482" t="s">
        <v>1772</v>
      </c>
      <c r="N74" s="482" t="s">
        <v>1772</v>
      </c>
      <c r="O74" s="21">
        <f t="shared" si="27"/>
        <v>0</v>
      </c>
      <c r="P74" s="482" t="s">
        <v>1772</v>
      </c>
      <c r="Q74" s="482" t="s">
        <v>1772</v>
      </c>
      <c r="R74" s="482" t="s">
        <v>1772</v>
      </c>
      <c r="S74" s="21">
        <f t="shared" si="29"/>
        <v>0</v>
      </c>
      <c r="T74" s="482" t="s">
        <v>1772</v>
      </c>
      <c r="U74" s="482" t="s">
        <v>1772</v>
      </c>
      <c r="V74" s="482" t="s">
        <v>1772</v>
      </c>
      <c r="W74" s="21">
        <f t="shared" si="31"/>
        <v>0</v>
      </c>
      <c r="X74" s="482" t="s">
        <v>1772</v>
      </c>
      <c r="Y74" s="482" t="s">
        <v>1772</v>
      </c>
      <c r="Z74" s="482" t="s">
        <v>1772</v>
      </c>
      <c r="AA74" s="21">
        <f t="shared" si="33"/>
        <v>0</v>
      </c>
      <c r="AB74" s="482" t="s">
        <v>1772</v>
      </c>
      <c r="AC74" s="482" t="s">
        <v>1772</v>
      </c>
      <c r="AD74" s="482" t="s">
        <v>1772</v>
      </c>
      <c r="AE74" s="21">
        <f t="shared" si="35"/>
        <v>0</v>
      </c>
      <c r="AF74" s="482" t="s">
        <v>1772</v>
      </c>
      <c r="AG74" s="482" t="s">
        <v>1772</v>
      </c>
      <c r="AH74" s="482" t="s">
        <v>1772</v>
      </c>
      <c r="AI74" s="21">
        <f t="shared" si="37"/>
        <v>0</v>
      </c>
    </row>
    <row r="75" spans="1:35" x14ac:dyDescent="0.25">
      <c r="A75" s="1935" t="s">
        <v>21</v>
      </c>
      <c r="B75" s="1721" t="s">
        <v>32</v>
      </c>
      <c r="C75" s="22"/>
      <c r="D75" s="1707" t="s">
        <v>90</v>
      </c>
      <c r="E75" s="1708" t="s">
        <v>90</v>
      </c>
      <c r="F75" s="1709" t="s">
        <v>90</v>
      </c>
      <c r="G75" s="1699">
        <f t="shared" si="24"/>
        <v>0</v>
      </c>
      <c r="H75" s="1707" t="s">
        <v>90</v>
      </c>
      <c r="I75" s="1708" t="s">
        <v>90</v>
      </c>
      <c r="J75" s="1709" t="s">
        <v>90</v>
      </c>
      <c r="K75" s="1699">
        <f t="shared" si="7"/>
        <v>0</v>
      </c>
      <c r="L75" s="1707" t="s">
        <v>90</v>
      </c>
      <c r="M75" s="1708" t="s">
        <v>90</v>
      </c>
      <c r="N75" s="1709" t="s">
        <v>90</v>
      </c>
      <c r="O75" s="1699">
        <f t="shared" si="27"/>
        <v>0</v>
      </c>
      <c r="P75" s="1707" t="s">
        <v>90</v>
      </c>
      <c r="Q75" s="1708" t="s">
        <v>90</v>
      </c>
      <c r="R75" s="1709" t="s">
        <v>90</v>
      </c>
      <c r="S75" s="1699">
        <f t="shared" si="29"/>
        <v>0</v>
      </c>
      <c r="T75" s="1707" t="s">
        <v>90</v>
      </c>
      <c r="U75" s="1708" t="s">
        <v>90</v>
      </c>
      <c r="V75" s="1709" t="s">
        <v>90</v>
      </c>
      <c r="W75" s="1699">
        <f t="shared" si="31"/>
        <v>0</v>
      </c>
      <c r="X75" s="1707" t="s">
        <v>90</v>
      </c>
      <c r="Y75" s="1708" t="s">
        <v>90</v>
      </c>
      <c r="Z75" s="1709" t="s">
        <v>90</v>
      </c>
      <c r="AA75" s="1699">
        <f t="shared" si="33"/>
        <v>0</v>
      </c>
      <c r="AB75" s="1707" t="s">
        <v>90</v>
      </c>
      <c r="AC75" s="1708" t="s">
        <v>90</v>
      </c>
      <c r="AD75" s="1709" t="s">
        <v>90</v>
      </c>
      <c r="AE75" s="1699">
        <f t="shared" si="35"/>
        <v>0</v>
      </c>
      <c r="AF75" s="1707" t="s">
        <v>90</v>
      </c>
      <c r="AG75" s="1708" t="s">
        <v>90</v>
      </c>
      <c r="AH75" s="1709" t="s">
        <v>90</v>
      </c>
      <c r="AI75" s="1699">
        <f t="shared" si="37"/>
        <v>0</v>
      </c>
    </row>
    <row r="76" spans="1:35" x14ac:dyDescent="0.25">
      <c r="A76" s="1935"/>
      <c r="B76" s="19" t="s">
        <v>33</v>
      </c>
      <c r="C76" s="22"/>
      <c r="D76" s="2336" t="s">
        <v>90</v>
      </c>
      <c r="E76" s="2337" t="s">
        <v>90</v>
      </c>
      <c r="F76" s="2338" t="s">
        <v>90</v>
      </c>
      <c r="G76" s="21">
        <f t="shared" si="24"/>
        <v>0</v>
      </c>
      <c r="H76" s="821" t="s">
        <v>90</v>
      </c>
      <c r="I76" s="814" t="s">
        <v>90</v>
      </c>
      <c r="J76" s="819" t="s">
        <v>90</v>
      </c>
      <c r="K76" s="21">
        <f t="shared" si="7"/>
        <v>0</v>
      </c>
      <c r="L76" s="821" t="s">
        <v>90</v>
      </c>
      <c r="M76" s="814" t="s">
        <v>90</v>
      </c>
      <c r="N76" s="819" t="s">
        <v>90</v>
      </c>
      <c r="O76" s="21">
        <f t="shared" si="27"/>
        <v>0</v>
      </c>
      <c r="P76" s="821" t="s">
        <v>90</v>
      </c>
      <c r="Q76" s="814" t="s">
        <v>90</v>
      </c>
      <c r="R76" s="819" t="s">
        <v>90</v>
      </c>
      <c r="S76" s="21">
        <f t="shared" si="29"/>
        <v>0</v>
      </c>
      <c r="T76" s="821" t="s">
        <v>90</v>
      </c>
      <c r="U76" s="814" t="s">
        <v>90</v>
      </c>
      <c r="V76" s="819" t="s">
        <v>90</v>
      </c>
      <c r="W76" s="21">
        <f t="shared" si="31"/>
        <v>0</v>
      </c>
      <c r="X76" s="821" t="s">
        <v>90</v>
      </c>
      <c r="Y76" s="814" t="s">
        <v>90</v>
      </c>
      <c r="Z76" s="819" t="s">
        <v>90</v>
      </c>
      <c r="AA76" s="21">
        <f t="shared" si="33"/>
        <v>0</v>
      </c>
      <c r="AB76" s="821" t="s">
        <v>90</v>
      </c>
      <c r="AC76" s="814" t="s">
        <v>90</v>
      </c>
      <c r="AD76" s="819" t="s">
        <v>90</v>
      </c>
      <c r="AE76" s="21">
        <f t="shared" si="35"/>
        <v>0</v>
      </c>
      <c r="AF76" s="821" t="s">
        <v>90</v>
      </c>
      <c r="AG76" s="814" t="s">
        <v>90</v>
      </c>
      <c r="AH76" s="819" t="s">
        <v>90</v>
      </c>
      <c r="AI76" s="21">
        <f t="shared" si="37"/>
        <v>0</v>
      </c>
    </row>
    <row r="77" spans="1:35" x14ac:dyDescent="0.25">
      <c r="A77" s="1935"/>
      <c r="B77" s="13" t="s">
        <v>34</v>
      </c>
      <c r="C77" s="22"/>
      <c r="D77" s="2336" t="s">
        <v>90</v>
      </c>
      <c r="E77" s="2337" t="s">
        <v>90</v>
      </c>
      <c r="F77" s="2338" t="s">
        <v>90</v>
      </c>
      <c r="G77" s="77">
        <f t="shared" si="24"/>
        <v>0</v>
      </c>
      <c r="H77" s="821" t="s">
        <v>90</v>
      </c>
      <c r="I77" s="814" t="s">
        <v>90</v>
      </c>
      <c r="J77" s="819" t="s">
        <v>90</v>
      </c>
      <c r="K77" s="77">
        <f t="shared" si="7"/>
        <v>0</v>
      </c>
      <c r="L77" s="821" t="s">
        <v>90</v>
      </c>
      <c r="M77" s="814" t="s">
        <v>90</v>
      </c>
      <c r="N77" s="819" t="s">
        <v>90</v>
      </c>
      <c r="O77" s="77">
        <f t="shared" si="27"/>
        <v>0</v>
      </c>
      <c r="P77" s="821" t="s">
        <v>90</v>
      </c>
      <c r="Q77" s="814" t="s">
        <v>90</v>
      </c>
      <c r="R77" s="819" t="s">
        <v>90</v>
      </c>
      <c r="S77" s="77">
        <f t="shared" si="29"/>
        <v>0</v>
      </c>
      <c r="T77" s="821" t="s">
        <v>90</v>
      </c>
      <c r="U77" s="814" t="s">
        <v>90</v>
      </c>
      <c r="V77" s="819" t="s">
        <v>90</v>
      </c>
      <c r="W77" s="77">
        <f t="shared" si="31"/>
        <v>0</v>
      </c>
      <c r="X77" s="821" t="s">
        <v>90</v>
      </c>
      <c r="Y77" s="814" t="s">
        <v>90</v>
      </c>
      <c r="Z77" s="819" t="s">
        <v>90</v>
      </c>
      <c r="AA77" s="77">
        <f t="shared" si="33"/>
        <v>0</v>
      </c>
      <c r="AB77" s="821" t="s">
        <v>90</v>
      </c>
      <c r="AC77" s="814" t="s">
        <v>90</v>
      </c>
      <c r="AD77" s="819" t="s">
        <v>90</v>
      </c>
      <c r="AE77" s="77">
        <f t="shared" si="35"/>
        <v>0</v>
      </c>
      <c r="AF77" s="821" t="s">
        <v>90</v>
      </c>
      <c r="AG77" s="814" t="s">
        <v>90</v>
      </c>
      <c r="AH77" s="819" t="s">
        <v>90</v>
      </c>
      <c r="AI77" s="77">
        <f t="shared" si="37"/>
        <v>0</v>
      </c>
    </row>
    <row r="78" spans="1:35" x14ac:dyDescent="0.25">
      <c r="A78" s="1935" t="s">
        <v>181</v>
      </c>
      <c r="B78" s="1721" t="s">
        <v>32</v>
      </c>
      <c r="C78" s="22"/>
      <c r="D78" s="1707">
        <f t="shared" ref="D78:D81" si="54">$D$3*0.25</f>
        <v>0</v>
      </c>
      <c r="E78" s="1708">
        <v>0</v>
      </c>
      <c r="F78" s="1709">
        <v>0</v>
      </c>
      <c r="G78" s="1713">
        <f t="shared" si="24"/>
        <v>0</v>
      </c>
      <c r="H78" s="1707">
        <f t="shared" ref="H78:H81" si="55">$D$3*0.25</f>
        <v>0</v>
      </c>
      <c r="I78" s="1708">
        <v>0</v>
      </c>
      <c r="J78" s="1709">
        <v>0</v>
      </c>
      <c r="K78" s="1713">
        <f t="shared" si="7"/>
        <v>0</v>
      </c>
      <c r="L78" s="1707">
        <f t="shared" ref="L78:L81" si="56">$D$3*0.25</f>
        <v>0</v>
      </c>
      <c r="M78" s="1708">
        <v>0</v>
      </c>
      <c r="N78" s="1709">
        <v>0</v>
      </c>
      <c r="O78" s="1713">
        <f t="shared" si="27"/>
        <v>0</v>
      </c>
      <c r="P78" s="1707">
        <f t="shared" ref="P78:P81" si="57">$D$3*0.25</f>
        <v>0</v>
      </c>
      <c r="Q78" s="1708">
        <v>0</v>
      </c>
      <c r="R78" s="1709">
        <v>0</v>
      </c>
      <c r="S78" s="1713">
        <f t="shared" si="29"/>
        <v>0</v>
      </c>
      <c r="T78" s="1707">
        <f t="shared" ref="T78:T81" si="58">$D$3*0.25</f>
        <v>0</v>
      </c>
      <c r="U78" s="1708">
        <v>0</v>
      </c>
      <c r="V78" s="1709">
        <v>0</v>
      </c>
      <c r="W78" s="1713">
        <f t="shared" si="31"/>
        <v>0</v>
      </c>
      <c r="X78" s="1707">
        <f t="shared" ref="X78:X81" si="59">$D$3*0.25</f>
        <v>0</v>
      </c>
      <c r="Y78" s="1708">
        <v>0</v>
      </c>
      <c r="Z78" s="1709">
        <v>0</v>
      </c>
      <c r="AA78" s="1713">
        <f t="shared" si="33"/>
        <v>0</v>
      </c>
      <c r="AB78" s="1707">
        <f t="shared" ref="AB78:AB81" si="60">$D$3*0.25</f>
        <v>0</v>
      </c>
      <c r="AC78" s="1708">
        <v>0</v>
      </c>
      <c r="AD78" s="1709">
        <v>0</v>
      </c>
      <c r="AE78" s="1713">
        <f t="shared" si="35"/>
        <v>0</v>
      </c>
      <c r="AF78" s="1707">
        <f t="shared" ref="AF78:AF81" si="61">$D$3*0.25</f>
        <v>0</v>
      </c>
      <c r="AG78" s="1708">
        <v>0</v>
      </c>
      <c r="AH78" s="1709">
        <v>0</v>
      </c>
      <c r="AI78" s="1713">
        <f t="shared" si="37"/>
        <v>0</v>
      </c>
    </row>
    <row r="79" spans="1:35" x14ac:dyDescent="0.25">
      <c r="A79" s="1935"/>
      <c r="B79" s="19" t="s">
        <v>33</v>
      </c>
      <c r="C79" s="22"/>
      <c r="D79" s="2331">
        <f>IF(D$3&gt;1,D$3*0.25,0.5)</f>
        <v>0.5</v>
      </c>
      <c r="E79" s="2337">
        <v>0</v>
      </c>
      <c r="F79" s="2328">
        <f>IF(F$3=1,D79+E79+0.5,0)</f>
        <v>0</v>
      </c>
      <c r="G79" s="77">
        <f t="shared" si="24"/>
        <v>0.5</v>
      </c>
      <c r="H79" s="493">
        <f>IF(H$3&gt;1,H$3*0.25,0.5)</f>
        <v>0.5</v>
      </c>
      <c r="I79" s="814">
        <v>0</v>
      </c>
      <c r="J79" s="630">
        <f>IF(J$3=1,H79+I79+0.5,0)</f>
        <v>0</v>
      </c>
      <c r="K79" s="77">
        <f t="shared" si="7"/>
        <v>0.5</v>
      </c>
      <c r="L79" s="493">
        <f>IF(L$3&gt;1,L$3*0.25,0.5)</f>
        <v>0.5</v>
      </c>
      <c r="M79" s="814">
        <v>0</v>
      </c>
      <c r="N79" s="630">
        <f>IF(N$3=1,L79+M79+0.5,0)</f>
        <v>0</v>
      </c>
      <c r="O79" s="77">
        <f t="shared" si="27"/>
        <v>0.5</v>
      </c>
      <c r="P79" s="493">
        <f>IF(P$3&gt;1,P$3*0.25,0.5)</f>
        <v>0.5</v>
      </c>
      <c r="Q79" s="814">
        <v>0</v>
      </c>
      <c r="R79" s="630">
        <f>IF(R$3=1,P79+Q79+0.5,0)</f>
        <v>0</v>
      </c>
      <c r="S79" s="77">
        <f t="shared" si="29"/>
        <v>0.5</v>
      </c>
      <c r="T79" s="493">
        <f>IF(T$3&gt;1,T$3*0.25,0.5)</f>
        <v>0.5</v>
      </c>
      <c r="U79" s="814">
        <v>0</v>
      </c>
      <c r="V79" s="630">
        <f>IF(V$3=1,T79+U79+0.5,0)</f>
        <v>0</v>
      </c>
      <c r="W79" s="77">
        <f t="shared" si="31"/>
        <v>0.5</v>
      </c>
      <c r="X79" s="493">
        <f>IF(X$3&gt;1,X$3*0.25,0.5)</f>
        <v>0.5</v>
      </c>
      <c r="Y79" s="814">
        <v>0</v>
      </c>
      <c r="Z79" s="630">
        <f>IF(Z$3=1,X79+Y79+0.5,0)</f>
        <v>0</v>
      </c>
      <c r="AA79" s="77">
        <f t="shared" si="33"/>
        <v>0.5</v>
      </c>
      <c r="AB79" s="493">
        <f>IF(AB$3&gt;1,AB$3*0.25,0.5)</f>
        <v>0.5</v>
      </c>
      <c r="AC79" s="814">
        <v>0</v>
      </c>
      <c r="AD79" s="630">
        <f>IF(AD$3=1,AB79+AC79+0.5,0)</f>
        <v>0</v>
      </c>
      <c r="AE79" s="77">
        <f t="shared" si="35"/>
        <v>0.5</v>
      </c>
      <c r="AF79" s="493">
        <f>IF(AF$3&gt;1,AF$3*0.25,0.5)</f>
        <v>0.5</v>
      </c>
      <c r="AG79" s="814">
        <v>0</v>
      </c>
      <c r="AH79" s="630">
        <f>IF(AH$3=1,AF79+AG79+0.5,0)</f>
        <v>0</v>
      </c>
      <c r="AI79" s="77">
        <f t="shared" si="37"/>
        <v>0.5</v>
      </c>
    </row>
    <row r="80" spans="1:35" x14ac:dyDescent="0.25">
      <c r="A80" s="1935"/>
      <c r="B80" s="19" t="s">
        <v>34</v>
      </c>
      <c r="C80" s="22"/>
      <c r="D80" s="2331">
        <f>IF(D$3&gt;1,D$3*0.25,0.5)</f>
        <v>0.5</v>
      </c>
      <c r="E80" s="2337">
        <v>0</v>
      </c>
      <c r="F80" s="2328">
        <f>IF(F$3=1,D80+E80+0.5,0)</f>
        <v>0</v>
      </c>
      <c r="G80" s="77">
        <f t="shared" si="24"/>
        <v>0.5</v>
      </c>
      <c r="H80" s="493">
        <f>IF(H$3&gt;1,H$3*0.25,0.5)</f>
        <v>0.5</v>
      </c>
      <c r="I80" s="814">
        <v>0</v>
      </c>
      <c r="J80" s="630">
        <f>IF(J$3=1,H80+I80+0.5,0)</f>
        <v>0</v>
      </c>
      <c r="K80" s="77">
        <f t="shared" si="7"/>
        <v>0.5</v>
      </c>
      <c r="L80" s="493">
        <f>IF(L$3&gt;1,L$3*0.25,0.5)</f>
        <v>0.5</v>
      </c>
      <c r="M80" s="814">
        <v>0</v>
      </c>
      <c r="N80" s="630">
        <f>IF(N$3=1,L80+M80+0.5,0)</f>
        <v>0</v>
      </c>
      <c r="O80" s="77">
        <f t="shared" si="27"/>
        <v>0.5</v>
      </c>
      <c r="P80" s="493">
        <f>IF(P$3&gt;1,P$3*0.25,0.5)</f>
        <v>0.5</v>
      </c>
      <c r="Q80" s="814">
        <v>0</v>
      </c>
      <c r="R80" s="630">
        <f>IF(R$3=1,P80+Q80+0.5,0)</f>
        <v>0</v>
      </c>
      <c r="S80" s="77">
        <f t="shared" si="29"/>
        <v>0.5</v>
      </c>
      <c r="T80" s="493">
        <f>IF(T$3&gt;1,T$3*0.25,0.5)</f>
        <v>0.5</v>
      </c>
      <c r="U80" s="814">
        <v>0</v>
      </c>
      <c r="V80" s="630">
        <f>IF(V$3=1,T80+U80+0.5,0)</f>
        <v>0</v>
      </c>
      <c r="W80" s="77">
        <f t="shared" si="31"/>
        <v>0.5</v>
      </c>
      <c r="X80" s="493">
        <f>IF(X$3&gt;1,X$3*0.25,0.5)</f>
        <v>0.5</v>
      </c>
      <c r="Y80" s="814">
        <v>0</v>
      </c>
      <c r="Z80" s="630">
        <f>IF(Z$3=1,X80+Y80+0.5,0)</f>
        <v>0</v>
      </c>
      <c r="AA80" s="77">
        <f t="shared" si="33"/>
        <v>0.5</v>
      </c>
      <c r="AB80" s="493">
        <f>IF(AB$3&gt;1,AB$3*0.25,0.5)</f>
        <v>0.5</v>
      </c>
      <c r="AC80" s="814">
        <v>0</v>
      </c>
      <c r="AD80" s="630">
        <f>IF(AD$3=1,AB80+AC80+0.5,0)</f>
        <v>0</v>
      </c>
      <c r="AE80" s="77">
        <f t="shared" si="35"/>
        <v>0.5</v>
      </c>
      <c r="AF80" s="493">
        <f>IF(AF$3&gt;1,AF$3*0.25,0.5)</f>
        <v>0.5</v>
      </c>
      <c r="AG80" s="814">
        <v>0</v>
      </c>
      <c r="AH80" s="630">
        <f>IF(AH$3=1,AF80+AG80+0.5,0)</f>
        <v>0</v>
      </c>
      <c r="AI80" s="77">
        <f t="shared" si="37"/>
        <v>0.5</v>
      </c>
    </row>
    <row r="81" spans="1:35" x14ac:dyDescent="0.25">
      <c r="A81" s="1935" t="s">
        <v>182</v>
      </c>
      <c r="B81" s="1721" t="s">
        <v>32</v>
      </c>
      <c r="C81" s="22"/>
      <c r="D81" s="1707">
        <f t="shared" si="54"/>
        <v>0</v>
      </c>
      <c r="E81" s="1708">
        <v>0</v>
      </c>
      <c r="F81" s="1709">
        <v>0</v>
      </c>
      <c r="G81" s="1713">
        <f t="shared" si="24"/>
        <v>0</v>
      </c>
      <c r="H81" s="1707">
        <f t="shared" si="55"/>
        <v>0</v>
      </c>
      <c r="I81" s="1708">
        <v>0</v>
      </c>
      <c r="J81" s="1709">
        <v>0</v>
      </c>
      <c r="K81" s="1713">
        <f t="shared" si="7"/>
        <v>0</v>
      </c>
      <c r="L81" s="1707">
        <f t="shared" si="56"/>
        <v>0</v>
      </c>
      <c r="M81" s="1708">
        <v>0</v>
      </c>
      <c r="N81" s="1709">
        <v>0</v>
      </c>
      <c r="O81" s="1713">
        <f t="shared" si="27"/>
        <v>0</v>
      </c>
      <c r="P81" s="1707">
        <f t="shared" si="57"/>
        <v>0</v>
      </c>
      <c r="Q81" s="1708">
        <v>0</v>
      </c>
      <c r="R81" s="1709">
        <v>0</v>
      </c>
      <c r="S81" s="1713">
        <f t="shared" si="29"/>
        <v>0</v>
      </c>
      <c r="T81" s="1707">
        <f t="shared" si="58"/>
        <v>0</v>
      </c>
      <c r="U81" s="1708">
        <v>0</v>
      </c>
      <c r="V81" s="1709">
        <v>0</v>
      </c>
      <c r="W81" s="1713">
        <f t="shared" si="31"/>
        <v>0</v>
      </c>
      <c r="X81" s="1707">
        <f t="shared" si="59"/>
        <v>0</v>
      </c>
      <c r="Y81" s="1708">
        <v>0</v>
      </c>
      <c r="Z81" s="1709">
        <v>0</v>
      </c>
      <c r="AA81" s="1713">
        <f t="shared" si="33"/>
        <v>0</v>
      </c>
      <c r="AB81" s="1707">
        <f t="shared" si="60"/>
        <v>0</v>
      </c>
      <c r="AC81" s="1708">
        <v>0</v>
      </c>
      <c r="AD81" s="1709">
        <v>0</v>
      </c>
      <c r="AE81" s="1713">
        <f t="shared" si="35"/>
        <v>0</v>
      </c>
      <c r="AF81" s="1707">
        <f t="shared" si="61"/>
        <v>0</v>
      </c>
      <c r="AG81" s="1708">
        <v>0</v>
      </c>
      <c r="AH81" s="1709">
        <v>0</v>
      </c>
      <c r="AI81" s="1713">
        <f t="shared" si="37"/>
        <v>0</v>
      </c>
    </row>
    <row r="82" spans="1:35" x14ac:dyDescent="0.25">
      <c r="A82" s="1935"/>
      <c r="B82" s="19" t="s">
        <v>33</v>
      </c>
      <c r="C82" s="22"/>
      <c r="D82" s="2331">
        <f>IF(D$3&gt;1,D$3*0.25,0.5)</f>
        <v>0.5</v>
      </c>
      <c r="E82" s="2333">
        <v>0</v>
      </c>
      <c r="F82" s="2328">
        <f>IF(F$3=1,D82+E82+0.5,0)</f>
        <v>0</v>
      </c>
      <c r="G82" s="77">
        <f t="shared" si="24"/>
        <v>0.5</v>
      </c>
      <c r="H82" s="493">
        <f>IF(H$3&gt;1,H$3*0.25,0.5)</f>
        <v>0.5</v>
      </c>
      <c r="I82" s="489">
        <v>0</v>
      </c>
      <c r="J82" s="630">
        <f>IF(J$3=1,H82+I82+0.5,0)</f>
        <v>0</v>
      </c>
      <c r="K82" s="77">
        <f t="shared" si="7"/>
        <v>0.5</v>
      </c>
      <c r="L82" s="493">
        <f>IF(L$3&gt;1,L$3*0.25,0.5)</f>
        <v>0.5</v>
      </c>
      <c r="M82" s="489">
        <v>0</v>
      </c>
      <c r="N82" s="630">
        <f>IF(N$3=1,L82+M82+0.5,0)</f>
        <v>0</v>
      </c>
      <c r="O82" s="77">
        <f t="shared" si="27"/>
        <v>0.5</v>
      </c>
      <c r="P82" s="493">
        <f>IF(P$3&gt;1,P$3*0.25,0.5)</f>
        <v>0.5</v>
      </c>
      <c r="Q82" s="489">
        <v>0</v>
      </c>
      <c r="R82" s="630">
        <f>IF(R$3=1,P82+Q82+0.5,0)</f>
        <v>0</v>
      </c>
      <c r="S82" s="77">
        <f t="shared" si="29"/>
        <v>0.5</v>
      </c>
      <c r="T82" s="493">
        <f>IF(T$3&gt;1,T$3*0.25,0.5)</f>
        <v>0.5</v>
      </c>
      <c r="U82" s="489">
        <v>0</v>
      </c>
      <c r="V82" s="630">
        <f>IF(V$3=1,T82+U82+0.5,0)</f>
        <v>0</v>
      </c>
      <c r="W82" s="77">
        <f t="shared" si="31"/>
        <v>0.5</v>
      </c>
      <c r="X82" s="493">
        <f>IF(X$3&gt;1,X$3*0.25,0.5)</f>
        <v>0.5</v>
      </c>
      <c r="Y82" s="489">
        <v>0</v>
      </c>
      <c r="Z82" s="630">
        <f>IF(Z$3=1,X82+Y82+0.5,0)</f>
        <v>0</v>
      </c>
      <c r="AA82" s="77">
        <f t="shared" si="33"/>
        <v>0.5</v>
      </c>
      <c r="AB82" s="493">
        <f>IF(AB$3&gt;1,AB$3*0.25,0.5)</f>
        <v>0.5</v>
      </c>
      <c r="AC82" s="489">
        <v>0</v>
      </c>
      <c r="AD82" s="630">
        <f>IF(AD$3=1,AB82+AC82+0.5,0)</f>
        <v>0</v>
      </c>
      <c r="AE82" s="77">
        <f t="shared" si="35"/>
        <v>0.5</v>
      </c>
      <c r="AF82" s="493">
        <f>IF(AF$3&gt;1,AF$3*0.25,0.5)</f>
        <v>0.5</v>
      </c>
      <c r="AG82" s="489">
        <v>0</v>
      </c>
      <c r="AH82" s="630">
        <f>IF(AH$3=1,AF82+AG82+0.5,0)</f>
        <v>0</v>
      </c>
      <c r="AI82" s="77">
        <f t="shared" si="37"/>
        <v>0.5</v>
      </c>
    </row>
    <row r="83" spans="1:35" x14ac:dyDescent="0.25">
      <c r="A83" s="1935"/>
      <c r="B83" s="19" t="s">
        <v>34</v>
      </c>
      <c r="C83" s="22"/>
      <c r="D83" s="2331">
        <f>IF(D$3&gt;1,D$3*0.25,0.5)</f>
        <v>0.5</v>
      </c>
      <c r="E83" s="2333">
        <v>0</v>
      </c>
      <c r="F83" s="2328">
        <f>IF(F$3=1,D83+E83+0.5,0)</f>
        <v>0</v>
      </c>
      <c r="G83" s="77">
        <f t="shared" si="24"/>
        <v>0.5</v>
      </c>
      <c r="H83" s="493">
        <f>IF(H$3&gt;1,H$3*0.25,0.5)</f>
        <v>0.5</v>
      </c>
      <c r="I83" s="489">
        <v>0</v>
      </c>
      <c r="J83" s="630">
        <f>IF(J$3=1,H83+I83+0.5,0)</f>
        <v>0</v>
      </c>
      <c r="K83" s="77">
        <f t="shared" si="7"/>
        <v>0.5</v>
      </c>
      <c r="L83" s="493">
        <f>IF(L$3&gt;1,L$3*0.25,0.5)</f>
        <v>0.5</v>
      </c>
      <c r="M83" s="489">
        <v>0</v>
      </c>
      <c r="N83" s="630">
        <f>IF(N$3=1,L83+M83+0.5,0)</f>
        <v>0</v>
      </c>
      <c r="O83" s="77">
        <f t="shared" si="27"/>
        <v>0.5</v>
      </c>
      <c r="P83" s="493">
        <f>IF(P$3&gt;1,P$3*0.25,0.5)</f>
        <v>0.5</v>
      </c>
      <c r="Q83" s="489">
        <v>0</v>
      </c>
      <c r="R83" s="630">
        <f>IF(R$3=1,P83+Q83+0.5,0)</f>
        <v>0</v>
      </c>
      <c r="S83" s="77">
        <f t="shared" si="29"/>
        <v>0.5</v>
      </c>
      <c r="T83" s="493">
        <f>IF(T$3&gt;1,T$3*0.25,0.5)</f>
        <v>0.5</v>
      </c>
      <c r="U83" s="489">
        <v>0</v>
      </c>
      <c r="V83" s="630">
        <f>IF(V$3=1,T83+U83+0.5,0)</f>
        <v>0</v>
      </c>
      <c r="W83" s="77">
        <f t="shared" si="31"/>
        <v>0.5</v>
      </c>
      <c r="X83" s="493">
        <f>IF(X$3&gt;1,X$3*0.25,0.5)</f>
        <v>0.5</v>
      </c>
      <c r="Y83" s="489">
        <v>0</v>
      </c>
      <c r="Z83" s="630">
        <f>IF(Z$3=1,X83+Y83+0.5,0)</f>
        <v>0</v>
      </c>
      <c r="AA83" s="77">
        <f t="shared" si="33"/>
        <v>0.5</v>
      </c>
      <c r="AB83" s="493">
        <f>IF(AB$3&gt;1,AB$3*0.25,0.5)</f>
        <v>0.5</v>
      </c>
      <c r="AC83" s="489">
        <v>0</v>
      </c>
      <c r="AD83" s="630">
        <f>IF(AD$3=1,AB83+AC83+0.5,0)</f>
        <v>0</v>
      </c>
      <c r="AE83" s="77">
        <f t="shared" si="35"/>
        <v>0.5</v>
      </c>
      <c r="AF83" s="493">
        <f>IF(AF$3&gt;1,AF$3*0.25,0.5)</f>
        <v>0.5</v>
      </c>
      <c r="AG83" s="489">
        <v>0</v>
      </c>
      <c r="AH83" s="630">
        <f>IF(AH$3=1,AF83+AG83+0.5,0)</f>
        <v>0</v>
      </c>
      <c r="AI83" s="77">
        <f t="shared" si="37"/>
        <v>0.5</v>
      </c>
    </row>
    <row r="84" spans="1:35" x14ac:dyDescent="0.25">
      <c r="A84" s="1944" t="s">
        <v>183</v>
      </c>
      <c r="B84" s="1721" t="s">
        <v>32</v>
      </c>
      <c r="C84" s="22"/>
      <c r="D84" s="1707">
        <f>D$3*0.25</f>
        <v>0</v>
      </c>
      <c r="E84" s="1708">
        <v>0</v>
      </c>
      <c r="F84" s="1709">
        <v>0</v>
      </c>
      <c r="G84" s="1713">
        <f t="shared" si="24"/>
        <v>0</v>
      </c>
      <c r="H84" s="1707">
        <f>H$3*0.25</f>
        <v>0</v>
      </c>
      <c r="I84" s="1708">
        <v>0</v>
      </c>
      <c r="J84" s="1709">
        <v>0</v>
      </c>
      <c r="K84" s="1713">
        <f t="shared" si="7"/>
        <v>0</v>
      </c>
      <c r="L84" s="1707">
        <f>L$3*0.25</f>
        <v>0</v>
      </c>
      <c r="M84" s="1708">
        <v>0</v>
      </c>
      <c r="N84" s="1709">
        <v>0</v>
      </c>
      <c r="O84" s="1713">
        <f t="shared" si="27"/>
        <v>0</v>
      </c>
      <c r="P84" s="1707">
        <f>P$3*0.25</f>
        <v>0</v>
      </c>
      <c r="Q84" s="1708">
        <v>0</v>
      </c>
      <c r="R84" s="1709">
        <v>0</v>
      </c>
      <c r="S84" s="1713">
        <f t="shared" si="29"/>
        <v>0</v>
      </c>
      <c r="T84" s="1707">
        <f>T$3*0.25</f>
        <v>0</v>
      </c>
      <c r="U84" s="1708">
        <v>0</v>
      </c>
      <c r="V84" s="1709">
        <v>0</v>
      </c>
      <c r="W84" s="1713">
        <f t="shared" si="31"/>
        <v>0</v>
      </c>
      <c r="X84" s="1707">
        <f>X$3*0.25</f>
        <v>0</v>
      </c>
      <c r="Y84" s="1708">
        <v>0</v>
      </c>
      <c r="Z84" s="1709">
        <v>0</v>
      </c>
      <c r="AA84" s="1713">
        <f t="shared" si="33"/>
        <v>0</v>
      </c>
      <c r="AB84" s="1707">
        <f>AB$3*0.25</f>
        <v>0</v>
      </c>
      <c r="AC84" s="1708">
        <v>0</v>
      </c>
      <c r="AD84" s="1709">
        <v>0</v>
      </c>
      <c r="AE84" s="1713">
        <f t="shared" si="35"/>
        <v>0</v>
      </c>
      <c r="AF84" s="1707">
        <f>AF$3*0.25</f>
        <v>0</v>
      </c>
      <c r="AG84" s="1708">
        <v>0</v>
      </c>
      <c r="AH84" s="1709">
        <v>0</v>
      </c>
      <c r="AI84" s="1713">
        <f t="shared" si="37"/>
        <v>0</v>
      </c>
    </row>
    <row r="85" spans="1:35" x14ac:dyDescent="0.25">
      <c r="A85" s="1944"/>
      <c r="B85" s="19" t="s">
        <v>33</v>
      </c>
      <c r="C85" s="22"/>
      <c r="D85" s="2331">
        <f>IF(D$3&gt;1,D$3*0.25,0.25)</f>
        <v>0.25</v>
      </c>
      <c r="E85" s="2337">
        <v>0</v>
      </c>
      <c r="F85" s="2328">
        <f>IF(F$3=1,D85+E85+0.5,0)</f>
        <v>0</v>
      </c>
      <c r="G85" s="77">
        <f t="shared" si="24"/>
        <v>0.25</v>
      </c>
      <c r="H85" s="493">
        <f>IF(H$3&gt;1,H$3*0.25,0.25)</f>
        <v>0.25</v>
      </c>
      <c r="I85" s="814">
        <v>0</v>
      </c>
      <c r="J85" s="630">
        <f>IF(J$3=1,H85+I85+0.5,0)</f>
        <v>0</v>
      </c>
      <c r="K85" s="77">
        <f t="shared" si="7"/>
        <v>0.25</v>
      </c>
      <c r="L85" s="493">
        <f>IF(L$3&gt;1,L$3*0.25,0.25)</f>
        <v>0.25</v>
      </c>
      <c r="M85" s="814">
        <v>0</v>
      </c>
      <c r="N85" s="630">
        <f>IF(N$3=1,L85+M85+0.5,0)</f>
        <v>0</v>
      </c>
      <c r="O85" s="77">
        <f t="shared" si="27"/>
        <v>0.25</v>
      </c>
      <c r="P85" s="493">
        <f>IF(P$3&gt;1,P$3*0.25,0.25)</f>
        <v>0.25</v>
      </c>
      <c r="Q85" s="814">
        <v>0</v>
      </c>
      <c r="R85" s="630">
        <f>IF(R$3=1,P85+Q85+0.5,0)</f>
        <v>0</v>
      </c>
      <c r="S85" s="77">
        <f t="shared" si="29"/>
        <v>0.25</v>
      </c>
      <c r="T85" s="493">
        <f>IF(T$3&gt;1,T$3*0.25,0.25)</f>
        <v>0.25</v>
      </c>
      <c r="U85" s="814">
        <v>0</v>
      </c>
      <c r="V85" s="630">
        <f>IF(V$3=1,T85+U85+0.5,0)</f>
        <v>0</v>
      </c>
      <c r="W85" s="77">
        <f t="shared" si="31"/>
        <v>0.25</v>
      </c>
      <c r="X85" s="493">
        <f>IF(X$3&gt;1,X$3*0.25,0.25)</f>
        <v>0.25</v>
      </c>
      <c r="Y85" s="814">
        <v>0</v>
      </c>
      <c r="Z85" s="630">
        <f>IF(Z$3=1,X85+Y85+0.5,0)</f>
        <v>0</v>
      </c>
      <c r="AA85" s="77">
        <f t="shared" si="33"/>
        <v>0.25</v>
      </c>
      <c r="AB85" s="493">
        <f>IF(AB$3&gt;1,AB$3*0.25,0.25)</f>
        <v>0.25</v>
      </c>
      <c r="AC85" s="814">
        <v>0</v>
      </c>
      <c r="AD85" s="630">
        <f>IF(AD$3=1,AB85+AC85+0.5,0)</f>
        <v>0</v>
      </c>
      <c r="AE85" s="77">
        <f t="shared" si="35"/>
        <v>0.25</v>
      </c>
      <c r="AF85" s="493">
        <f>IF(AF$3&gt;1,AF$3*0.25,0.25)</f>
        <v>0.25</v>
      </c>
      <c r="AG85" s="814">
        <v>0</v>
      </c>
      <c r="AH85" s="630">
        <f>IF(AH$3=1,AF85+AG85+0.5,0)</f>
        <v>0</v>
      </c>
      <c r="AI85" s="77">
        <f t="shared" si="37"/>
        <v>0.25</v>
      </c>
    </row>
    <row r="86" spans="1:35" ht="15.75" thickBot="1" x14ac:dyDescent="0.3">
      <c r="A86" s="1944"/>
      <c r="B86" s="13" t="s">
        <v>34</v>
      </c>
      <c r="C86" s="23"/>
      <c r="D86" s="2331">
        <f>IF(D$3&gt;1,D$3*0.25,0.25)</f>
        <v>0.25</v>
      </c>
      <c r="E86" s="2339">
        <v>0</v>
      </c>
      <c r="F86" s="2328">
        <f>IF(F$3=1,D86+E86+0.5,0)</f>
        <v>0</v>
      </c>
      <c r="G86" s="24">
        <f t="shared" si="24"/>
        <v>0.25</v>
      </c>
      <c r="H86" s="493">
        <f>IF(H$3&gt;1,H$3*0.25,0.25)</f>
        <v>0.25</v>
      </c>
      <c r="I86" s="917">
        <v>0</v>
      </c>
      <c r="J86" s="630">
        <f>IF(J$3=1,H86+I86+0.5,0)</f>
        <v>0</v>
      </c>
      <c r="K86" s="24">
        <f t="shared" si="7"/>
        <v>0.25</v>
      </c>
      <c r="L86" s="493">
        <f>IF(L$3&gt;1,L$3*0.25,0.25)</f>
        <v>0.25</v>
      </c>
      <c r="M86" s="917">
        <v>0</v>
      </c>
      <c r="N86" s="630">
        <f>IF(N$3=1,L86+M86+0.5,0)</f>
        <v>0</v>
      </c>
      <c r="O86" s="24">
        <f t="shared" si="27"/>
        <v>0.25</v>
      </c>
      <c r="P86" s="493">
        <f>IF(P$3&gt;1,P$3*0.25,0.25)</f>
        <v>0.25</v>
      </c>
      <c r="Q86" s="917">
        <v>0</v>
      </c>
      <c r="R86" s="630">
        <f>IF(R$3=1,P86+Q86+0.5,0)</f>
        <v>0</v>
      </c>
      <c r="S86" s="24">
        <f t="shared" si="29"/>
        <v>0.25</v>
      </c>
      <c r="T86" s="493">
        <f>IF(T$3&gt;1,T$3*0.25,0.25)</f>
        <v>0.25</v>
      </c>
      <c r="U86" s="917">
        <v>0</v>
      </c>
      <c r="V86" s="630">
        <f>IF(V$3=1,T86+U86+0.5,0)</f>
        <v>0</v>
      </c>
      <c r="W86" s="24">
        <f t="shared" si="31"/>
        <v>0.25</v>
      </c>
      <c r="X86" s="493">
        <f>IF(X$3&gt;1,X$3*0.25,0.25)</f>
        <v>0.25</v>
      </c>
      <c r="Y86" s="917">
        <v>0</v>
      </c>
      <c r="Z86" s="630">
        <f>IF(Z$3=1,X86+Y86+0.5,0)</f>
        <v>0</v>
      </c>
      <c r="AA86" s="24">
        <f t="shared" si="33"/>
        <v>0.25</v>
      </c>
      <c r="AB86" s="493">
        <f>IF(AB$3&gt;1,AB$3*0.25,0.25)</f>
        <v>0.25</v>
      </c>
      <c r="AC86" s="917">
        <v>0</v>
      </c>
      <c r="AD86" s="630">
        <f>IF(AD$3=1,AB86+AC86+0.5,0)</f>
        <v>0</v>
      </c>
      <c r="AE86" s="24">
        <f t="shared" si="35"/>
        <v>0.25</v>
      </c>
      <c r="AF86" s="493">
        <f>IF(AF$3&gt;1,AF$3*0.25,0.25)</f>
        <v>0.25</v>
      </c>
      <c r="AG86" s="917">
        <v>0</v>
      </c>
      <c r="AH86" s="630">
        <f>IF(AH$3=1,AF86+AG86+0.5,0)</f>
        <v>0</v>
      </c>
      <c r="AI86" s="24">
        <f t="shared" si="37"/>
        <v>0.25</v>
      </c>
    </row>
    <row r="87" spans="1:35"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c r="AB87" s="329"/>
      <c r="AC87" s="329"/>
      <c r="AD87" s="327"/>
      <c r="AE87" s="327"/>
      <c r="AF87" s="329"/>
      <c r="AG87" s="329"/>
      <c r="AH87" s="327"/>
      <c r="AI87" s="396"/>
    </row>
    <row r="88" spans="1:35" ht="15.75" thickBot="1" x14ac:dyDescent="0.3">
      <c r="A88" s="1942" t="s">
        <v>23</v>
      </c>
      <c r="B88" s="1718" t="s">
        <v>32</v>
      </c>
      <c r="C88" s="324"/>
      <c r="D88" s="1714">
        <v>0.25</v>
      </c>
      <c r="E88" s="1704">
        <v>0</v>
      </c>
      <c r="F88" s="1705">
        <v>0</v>
      </c>
      <c r="G88" s="1706">
        <f t="shared" ref="G88:G93" si="62" xml:space="preserve"> SUM(D88:F88) + $C88</f>
        <v>0.25</v>
      </c>
      <c r="H88" s="1714">
        <v>0.25</v>
      </c>
      <c r="I88" s="1704">
        <v>0</v>
      </c>
      <c r="J88" s="1705">
        <v>0</v>
      </c>
      <c r="K88" s="1715">
        <f t="shared" si="7"/>
        <v>0.25</v>
      </c>
      <c r="L88" s="1714">
        <v>0.25</v>
      </c>
      <c r="M88" s="1704">
        <v>0</v>
      </c>
      <c r="N88" s="1705">
        <v>0</v>
      </c>
      <c r="O88" s="1706">
        <f t="shared" ref="O88:O93" si="63" xml:space="preserve"> SUM(L88:N88) + $C88</f>
        <v>0.25</v>
      </c>
      <c r="P88" s="1714">
        <v>0.25</v>
      </c>
      <c r="Q88" s="1704">
        <v>0</v>
      </c>
      <c r="R88" s="1705">
        <v>0</v>
      </c>
      <c r="S88" s="1754">
        <f t="shared" ref="S88:S93" si="64" xml:space="preserve"> SUM(P88:R88) + $C88</f>
        <v>0.25</v>
      </c>
      <c r="T88" s="1714">
        <v>0.25</v>
      </c>
      <c r="U88" s="1704">
        <v>0</v>
      </c>
      <c r="V88" s="1705">
        <v>0</v>
      </c>
      <c r="W88" s="1754">
        <f t="shared" ref="W88:W93" si="65" xml:space="preserve"> SUM(T88:V88) + $C88</f>
        <v>0.25</v>
      </c>
      <c r="X88" s="1714">
        <v>0.25</v>
      </c>
      <c r="Y88" s="1704">
        <v>0</v>
      </c>
      <c r="Z88" s="1705">
        <v>0</v>
      </c>
      <c r="AA88" s="1706">
        <f t="shared" ref="AA88:AA105" si="66" xml:space="preserve"> SUM(X88:Z88) + $C88</f>
        <v>0.25</v>
      </c>
      <c r="AB88" s="1714">
        <v>0.25</v>
      </c>
      <c r="AC88" s="1704">
        <v>0</v>
      </c>
      <c r="AD88" s="1705">
        <v>0</v>
      </c>
      <c r="AE88" s="1706">
        <f t="shared" ref="AE88:AE93" si="67" xml:space="preserve"> SUM(AB88:AD88) + $C88</f>
        <v>0.25</v>
      </c>
      <c r="AF88" s="1714">
        <v>0.25</v>
      </c>
      <c r="AG88" s="1704">
        <v>0</v>
      </c>
      <c r="AH88" s="1705">
        <v>0</v>
      </c>
      <c r="AI88" s="1706">
        <f t="shared" ref="AI88:AI93" si="68" xml:space="preserve"> SUM(AF88:AH88) + $C88</f>
        <v>0.25</v>
      </c>
    </row>
    <row r="89" spans="1:35" x14ac:dyDescent="0.25">
      <c r="A89" s="1942"/>
      <c r="B89" s="19" t="s">
        <v>33</v>
      </c>
      <c r="C89" s="22"/>
      <c r="D89" s="2331" t="s">
        <v>1772</v>
      </c>
      <c r="E89" s="2331" t="s">
        <v>1772</v>
      </c>
      <c r="F89" s="2331" t="s">
        <v>1772</v>
      </c>
      <c r="G89" s="21">
        <f t="shared" si="62"/>
        <v>0</v>
      </c>
      <c r="H89" s="482" t="s">
        <v>1772</v>
      </c>
      <c r="I89" s="482" t="s">
        <v>1772</v>
      </c>
      <c r="J89" s="482" t="s">
        <v>1772</v>
      </c>
      <c r="K89" s="16">
        <f t="shared" si="7"/>
        <v>0</v>
      </c>
      <c r="L89" s="482" t="s">
        <v>1772</v>
      </c>
      <c r="M89" s="482" t="s">
        <v>1772</v>
      </c>
      <c r="N89" s="482" t="s">
        <v>1772</v>
      </c>
      <c r="O89" s="619">
        <f t="shared" si="63"/>
        <v>0</v>
      </c>
      <c r="P89" s="482" t="s">
        <v>1772</v>
      </c>
      <c r="Q89" s="482" t="s">
        <v>1772</v>
      </c>
      <c r="R89" s="482" t="s">
        <v>1772</v>
      </c>
      <c r="S89" s="683">
        <f t="shared" si="64"/>
        <v>0</v>
      </c>
      <c r="T89" s="482" t="s">
        <v>1772</v>
      </c>
      <c r="U89" s="482" t="s">
        <v>1772</v>
      </c>
      <c r="V89" s="482" t="s">
        <v>1772</v>
      </c>
      <c r="W89" s="683">
        <f t="shared" si="65"/>
        <v>0</v>
      </c>
      <c r="X89" s="482" t="s">
        <v>1772</v>
      </c>
      <c r="Y89" s="482" t="s">
        <v>1772</v>
      </c>
      <c r="Z89" s="482" t="s">
        <v>1772</v>
      </c>
      <c r="AA89" s="619">
        <f t="shared" si="66"/>
        <v>0</v>
      </c>
      <c r="AB89" s="482" t="s">
        <v>1772</v>
      </c>
      <c r="AC89" s="482" t="s">
        <v>1772</v>
      </c>
      <c r="AD89" s="482" t="s">
        <v>1772</v>
      </c>
      <c r="AE89" s="619">
        <f t="shared" si="67"/>
        <v>0</v>
      </c>
      <c r="AF89" s="482" t="s">
        <v>1772</v>
      </c>
      <c r="AG89" s="482" t="s">
        <v>1772</v>
      </c>
      <c r="AH89" s="482" t="s">
        <v>1772</v>
      </c>
      <c r="AI89" s="619">
        <f t="shared" si="68"/>
        <v>0</v>
      </c>
    </row>
    <row r="90" spans="1:35" x14ac:dyDescent="0.25">
      <c r="A90" s="1942"/>
      <c r="B90" s="19" t="s">
        <v>34</v>
      </c>
      <c r="C90" s="22"/>
      <c r="D90" s="2331" t="s">
        <v>1772</v>
      </c>
      <c r="E90" s="2331" t="s">
        <v>1772</v>
      </c>
      <c r="F90" s="2331" t="s">
        <v>1772</v>
      </c>
      <c r="G90" s="21">
        <f t="shared" si="62"/>
        <v>0</v>
      </c>
      <c r="H90" s="482" t="s">
        <v>1772</v>
      </c>
      <c r="I90" s="482" t="s">
        <v>1772</v>
      </c>
      <c r="J90" s="482" t="s">
        <v>1772</v>
      </c>
      <c r="K90" s="16">
        <f t="shared" si="7"/>
        <v>0</v>
      </c>
      <c r="L90" s="482" t="s">
        <v>1772</v>
      </c>
      <c r="M90" s="482" t="s">
        <v>1772</v>
      </c>
      <c r="N90" s="482" t="s">
        <v>1772</v>
      </c>
      <c r="O90" s="619">
        <f t="shared" si="63"/>
        <v>0</v>
      </c>
      <c r="P90" s="482" t="s">
        <v>1772</v>
      </c>
      <c r="Q90" s="482" t="s">
        <v>1772</v>
      </c>
      <c r="R90" s="482" t="s">
        <v>1772</v>
      </c>
      <c r="S90" s="619">
        <f t="shared" si="64"/>
        <v>0</v>
      </c>
      <c r="T90" s="482" t="s">
        <v>1772</v>
      </c>
      <c r="U90" s="482" t="s">
        <v>1772</v>
      </c>
      <c r="V90" s="482" t="s">
        <v>1772</v>
      </c>
      <c r="W90" s="619">
        <f t="shared" si="65"/>
        <v>0</v>
      </c>
      <c r="X90" s="482" t="s">
        <v>1772</v>
      </c>
      <c r="Y90" s="482" t="s">
        <v>1772</v>
      </c>
      <c r="Z90" s="482" t="s">
        <v>1772</v>
      </c>
      <c r="AA90" s="619">
        <f t="shared" si="66"/>
        <v>0</v>
      </c>
      <c r="AB90" s="482" t="s">
        <v>1772</v>
      </c>
      <c r="AC90" s="482" t="s">
        <v>1772</v>
      </c>
      <c r="AD90" s="482" t="s">
        <v>1772</v>
      </c>
      <c r="AE90" s="619">
        <f t="shared" si="67"/>
        <v>0</v>
      </c>
      <c r="AF90" s="482" t="s">
        <v>1772</v>
      </c>
      <c r="AG90" s="482" t="s">
        <v>1772</v>
      </c>
      <c r="AH90" s="482" t="s">
        <v>1772</v>
      </c>
      <c r="AI90" s="619">
        <f t="shared" si="68"/>
        <v>0</v>
      </c>
    </row>
    <row r="91" spans="1:35" x14ac:dyDescent="0.25">
      <c r="A91" s="1935" t="s">
        <v>24</v>
      </c>
      <c r="B91" s="1721" t="s">
        <v>32</v>
      </c>
      <c r="C91" s="22"/>
      <c r="D91" s="1707">
        <v>6</v>
      </c>
      <c r="E91" s="1701">
        <f>IF($E$3&gt;1,8,4)</f>
        <v>4</v>
      </c>
      <c r="F91" s="1709">
        <f>0.5*$F$3</f>
        <v>0</v>
      </c>
      <c r="G91" s="1699">
        <f t="shared" si="62"/>
        <v>10</v>
      </c>
      <c r="H91" s="1707">
        <v>6</v>
      </c>
      <c r="I91" s="1701">
        <f>IF($E$3&gt;1,8,4)</f>
        <v>4</v>
      </c>
      <c r="J91" s="1709">
        <f>0.5*$F$3</f>
        <v>0</v>
      </c>
      <c r="K91" s="1716">
        <f t="shared" si="7"/>
        <v>10</v>
      </c>
      <c r="L91" s="1707">
        <v>6</v>
      </c>
      <c r="M91" s="1701">
        <f>IF($E$3&gt;1,8,4)</f>
        <v>4</v>
      </c>
      <c r="N91" s="1709">
        <f>0.5*$F$3</f>
        <v>0</v>
      </c>
      <c r="O91" s="1699">
        <f t="shared" si="63"/>
        <v>10</v>
      </c>
      <c r="P91" s="1707">
        <v>6</v>
      </c>
      <c r="Q91" s="1701">
        <f>IF($E$3&gt;1,8,4)</f>
        <v>4</v>
      </c>
      <c r="R91" s="1709">
        <f>0.5*$F$3</f>
        <v>0</v>
      </c>
      <c r="S91" s="1699">
        <f t="shared" si="64"/>
        <v>10</v>
      </c>
      <c r="T91" s="1707">
        <v>6</v>
      </c>
      <c r="U91" s="1701">
        <f>IF($E$3&gt;1,8,4)</f>
        <v>4</v>
      </c>
      <c r="V91" s="1709">
        <f>0.5*$F$3</f>
        <v>0</v>
      </c>
      <c r="W91" s="1699">
        <f t="shared" si="65"/>
        <v>10</v>
      </c>
      <c r="X91" s="1707">
        <v>6</v>
      </c>
      <c r="Y91" s="1701">
        <f>IF($E$3&gt;1,8,4)</f>
        <v>4</v>
      </c>
      <c r="Z91" s="1709">
        <f>0.5*$F$3</f>
        <v>0</v>
      </c>
      <c r="AA91" s="1699">
        <f t="shared" si="66"/>
        <v>10</v>
      </c>
      <c r="AB91" s="1707">
        <v>6</v>
      </c>
      <c r="AC91" s="1701">
        <f>IF($E$3&gt;1,8,4)</f>
        <v>4</v>
      </c>
      <c r="AD91" s="1709">
        <f>0.5*$F$3</f>
        <v>0</v>
      </c>
      <c r="AE91" s="1699">
        <f t="shared" si="67"/>
        <v>10</v>
      </c>
      <c r="AF91" s="1707">
        <v>6</v>
      </c>
      <c r="AG91" s="1701">
        <f>IF($E$3&gt;1,8,4)</f>
        <v>4</v>
      </c>
      <c r="AH91" s="1709">
        <f>0.5*$F$3</f>
        <v>0</v>
      </c>
      <c r="AI91" s="1699">
        <f t="shared" si="68"/>
        <v>10</v>
      </c>
    </row>
    <row r="92" spans="1:35" x14ac:dyDescent="0.25">
      <c r="A92" s="1935"/>
      <c r="B92" s="19" t="s">
        <v>33</v>
      </c>
      <c r="C92" s="22"/>
      <c r="D92" s="2331">
        <v>1</v>
      </c>
      <c r="E92" s="2330">
        <f>IF(E$3&gt;1,0.25*E$3,0.5)</f>
        <v>0.5</v>
      </c>
      <c r="F92" s="2328">
        <f>IF(F$3=1,D92+E92+6,0)</f>
        <v>0</v>
      </c>
      <c r="G92" s="21">
        <f t="shared" si="62"/>
        <v>1.5</v>
      </c>
      <c r="H92" s="482">
        <v>1</v>
      </c>
      <c r="I92" s="478">
        <f>IF(I$3&gt;1,0.25*I$3,0.5)</f>
        <v>0.5</v>
      </c>
      <c r="J92" s="630">
        <f>IF(J$3=1,H92+I92+6,0)</f>
        <v>0</v>
      </c>
      <c r="K92" s="16">
        <f t="shared" si="7"/>
        <v>1.5</v>
      </c>
      <c r="L92" s="482">
        <v>1</v>
      </c>
      <c r="M92" s="478">
        <f>IF(M$3&gt;1,0.25*M$3,0.5)</f>
        <v>0.5</v>
      </c>
      <c r="N92" s="630">
        <f>IF(N$3=1,L92+M92+6,0)</f>
        <v>0</v>
      </c>
      <c r="O92" s="619">
        <f t="shared" si="63"/>
        <v>1.5</v>
      </c>
      <c r="P92" s="482">
        <v>1</v>
      </c>
      <c r="Q92" s="478">
        <f>IF(Q$3&gt;1,0.25*Q$3,0.5)</f>
        <v>0.5</v>
      </c>
      <c r="R92" s="630">
        <f>IF(R$3=1,P92+Q92+6,0)</f>
        <v>0</v>
      </c>
      <c r="S92" s="619">
        <f t="shared" si="64"/>
        <v>1.5</v>
      </c>
      <c r="T92" s="482">
        <v>1</v>
      </c>
      <c r="U92" s="478">
        <f>IF(U$3&gt;1,0.25*U$3,0.5)</f>
        <v>0.5</v>
      </c>
      <c r="V92" s="630">
        <f>IF(V$3=1,T92+U92+6,0)</f>
        <v>0</v>
      </c>
      <c r="W92" s="619">
        <f t="shared" si="65"/>
        <v>1.5</v>
      </c>
      <c r="X92" s="482">
        <v>1</v>
      </c>
      <c r="Y92" s="478">
        <f>IF(Y$3&gt;1,0.25*Y$3,0.5)</f>
        <v>0.5</v>
      </c>
      <c r="Z92" s="630">
        <f>IF(Z$3=1,X92+Y92+6,0)</f>
        <v>0</v>
      </c>
      <c r="AA92" s="619">
        <f t="shared" si="66"/>
        <v>1.5</v>
      </c>
      <c r="AB92" s="482">
        <v>1</v>
      </c>
      <c r="AC92" s="478">
        <f>IF(AC$3&gt;1,0.25*AC$3,0.5)</f>
        <v>0.5</v>
      </c>
      <c r="AD92" s="630">
        <f>IF(AD$3=1,AB92+AC92+6,0)</f>
        <v>0</v>
      </c>
      <c r="AE92" s="619">
        <f t="shared" si="67"/>
        <v>1.5</v>
      </c>
      <c r="AF92" s="482">
        <v>1</v>
      </c>
      <c r="AG92" s="478">
        <f>IF(AG$3&gt;1,0.25*AG$3,0.5)</f>
        <v>0.5</v>
      </c>
      <c r="AH92" s="630">
        <f>IF(AH$3=1,AF92+AG92+6,0)</f>
        <v>0</v>
      </c>
      <c r="AI92" s="619">
        <f t="shared" si="68"/>
        <v>1.5</v>
      </c>
    </row>
    <row r="93" spans="1:35" x14ac:dyDescent="0.25">
      <c r="A93" s="1935"/>
      <c r="B93" s="19" t="s">
        <v>34</v>
      </c>
      <c r="C93" s="22"/>
      <c r="D93" s="2331">
        <v>2</v>
      </c>
      <c r="E93" s="2330">
        <f>IF(E$3&gt;1,0.25*E$3,0.5)</f>
        <v>0.5</v>
      </c>
      <c r="F93" s="2328">
        <f>IF(F$3=1,D93+E93+8,0)</f>
        <v>0</v>
      </c>
      <c r="G93" s="21">
        <f t="shared" si="62"/>
        <v>2.5</v>
      </c>
      <c r="H93" s="482">
        <v>2</v>
      </c>
      <c r="I93" s="478">
        <f>IF(I$3&gt;1,0.25*I$3,0.5)</f>
        <v>0.5</v>
      </c>
      <c r="J93" s="630">
        <f>IF(J$3=1,H93+I93+8,0)</f>
        <v>0</v>
      </c>
      <c r="K93" s="16">
        <f t="shared" si="7"/>
        <v>2.5</v>
      </c>
      <c r="L93" s="482">
        <v>2</v>
      </c>
      <c r="M93" s="478">
        <f>IF(M$3&gt;1,0.25*M$3,0.5)</f>
        <v>0.5</v>
      </c>
      <c r="N93" s="630">
        <f>IF(N$3=1,L93+M93+8,0)</f>
        <v>0</v>
      </c>
      <c r="O93" s="619">
        <f t="shared" si="63"/>
        <v>2.5</v>
      </c>
      <c r="P93" s="482">
        <v>2</v>
      </c>
      <c r="Q93" s="478">
        <f>IF(Q$3&gt;1,0.25*Q$3,0.5)</f>
        <v>0.5</v>
      </c>
      <c r="R93" s="630">
        <f>IF(R$3=1,P93+Q93+8,0)</f>
        <v>0</v>
      </c>
      <c r="S93" s="619">
        <f t="shared" si="64"/>
        <v>2.5</v>
      </c>
      <c r="T93" s="482">
        <v>2</v>
      </c>
      <c r="U93" s="478">
        <f>IF(U$3&gt;1,0.25*U$3,0.5)</f>
        <v>0.5</v>
      </c>
      <c r="V93" s="630">
        <f>IF(V$3=1,T93+U93+8,0)</f>
        <v>0</v>
      </c>
      <c r="W93" s="619">
        <f t="shared" si="65"/>
        <v>2.5</v>
      </c>
      <c r="X93" s="482">
        <v>2</v>
      </c>
      <c r="Y93" s="478">
        <f>IF(Y$3&gt;1,0.25*Y$3,0.5)</f>
        <v>0.5</v>
      </c>
      <c r="Z93" s="630">
        <f>IF(Z$3=1,X93+Y93+8,0)</f>
        <v>0</v>
      </c>
      <c r="AA93" s="619">
        <f t="shared" si="66"/>
        <v>2.5</v>
      </c>
      <c r="AB93" s="482">
        <v>2</v>
      </c>
      <c r="AC93" s="478">
        <f>IF(AC$3&gt;1,0.25*AC$3,0.5)</f>
        <v>0.5</v>
      </c>
      <c r="AD93" s="630">
        <f>IF(AD$3=1,AB93+AC93+8,0)</f>
        <v>0</v>
      </c>
      <c r="AE93" s="619">
        <f t="shared" si="67"/>
        <v>2.5</v>
      </c>
      <c r="AF93" s="482">
        <v>2</v>
      </c>
      <c r="AG93" s="478">
        <f>IF(AG$3&gt;1,0.25*AG$3,0.5)</f>
        <v>0.5</v>
      </c>
      <c r="AH93" s="630">
        <f>IF(AH$3=1,AF93+AG93+8,0)</f>
        <v>0</v>
      </c>
      <c r="AI93" s="619">
        <f t="shared" si="68"/>
        <v>2.5</v>
      </c>
    </row>
    <row r="94" spans="1:35" x14ac:dyDescent="0.25">
      <c r="A94" s="1935" t="s">
        <v>25</v>
      </c>
      <c r="B94" s="1721" t="s">
        <v>32</v>
      </c>
      <c r="C94" s="22"/>
      <c r="D94" s="1707">
        <v>0</v>
      </c>
      <c r="E94" s="1701">
        <f>IF(E$3&gt;1,8,6)</f>
        <v>6</v>
      </c>
      <c r="F94" s="1709">
        <v>0</v>
      </c>
      <c r="G94" s="1699">
        <f t="shared" ref="G94:G105" si="69" xml:space="preserve"> SUM(D94:F94) + $C94</f>
        <v>6</v>
      </c>
      <c r="H94" s="1707">
        <v>0</v>
      </c>
      <c r="I94" s="1701">
        <f>IF(I$3&gt;1,8,6)</f>
        <v>6</v>
      </c>
      <c r="J94" s="1709">
        <v>0</v>
      </c>
      <c r="K94" s="1716">
        <f t="shared" ref="K94:K105" si="70" xml:space="preserve"> SUM(H94:J94) + $C94</f>
        <v>6</v>
      </c>
      <c r="L94" s="1707">
        <v>0</v>
      </c>
      <c r="M94" s="1701">
        <f>IF(M$3&gt;1,8,6)</f>
        <v>6</v>
      </c>
      <c r="N94" s="1709">
        <v>0</v>
      </c>
      <c r="O94" s="1699">
        <f t="shared" ref="O94:O105" si="71" xml:space="preserve"> SUM(L94:N94) + $C94</f>
        <v>6</v>
      </c>
      <c r="P94" s="1707">
        <v>0</v>
      </c>
      <c r="Q94" s="1701">
        <f>IF(Q$3&gt;1,8,6)</f>
        <v>6</v>
      </c>
      <c r="R94" s="1709">
        <v>0</v>
      </c>
      <c r="S94" s="1699">
        <f t="shared" ref="S94:S105" si="72" xml:space="preserve"> SUM(P94:R94) + $C94</f>
        <v>6</v>
      </c>
      <c r="T94" s="1707">
        <v>0</v>
      </c>
      <c r="U94" s="1701">
        <f>IF(U$3&gt;1,8,6)</f>
        <v>6</v>
      </c>
      <c r="V94" s="1709">
        <v>0</v>
      </c>
      <c r="W94" s="1699">
        <f t="shared" ref="W94:W105" si="73" xml:space="preserve"> SUM(T94:V94) + $C94</f>
        <v>6</v>
      </c>
      <c r="X94" s="1707">
        <v>0</v>
      </c>
      <c r="Y94" s="1701">
        <f>IF(Y$3&gt;1,8,6)</f>
        <v>6</v>
      </c>
      <c r="Z94" s="1709">
        <v>0</v>
      </c>
      <c r="AA94" s="1699">
        <f t="shared" si="66"/>
        <v>6</v>
      </c>
      <c r="AB94" s="1707">
        <v>0</v>
      </c>
      <c r="AC94" s="1701">
        <f>IF(AC$3&gt;1,8,6)</f>
        <v>6</v>
      </c>
      <c r="AD94" s="1709">
        <v>0</v>
      </c>
      <c r="AE94" s="1699">
        <f t="shared" ref="AE94:AE105" si="74" xml:space="preserve"> SUM(AB94:AD94) + $C94</f>
        <v>6</v>
      </c>
      <c r="AF94" s="1707">
        <v>0</v>
      </c>
      <c r="AG94" s="1701">
        <f>IF(AG$3&gt;1,8,6)</f>
        <v>6</v>
      </c>
      <c r="AH94" s="1709">
        <v>0</v>
      </c>
      <c r="AI94" s="1699">
        <f t="shared" ref="AI94:AI105" si="75" xml:space="preserve"> SUM(AF94:AH94) + $C94</f>
        <v>6</v>
      </c>
    </row>
    <row r="95" spans="1:35" x14ac:dyDescent="0.25">
      <c r="A95" s="1935"/>
      <c r="B95" s="19" t="s">
        <v>33</v>
      </c>
      <c r="C95" s="22"/>
      <c r="D95" s="2331">
        <v>1</v>
      </c>
      <c r="E95" s="2330">
        <f>IF(E$3&gt;1,0.25*E$3,0.5)</f>
        <v>0.5</v>
      </c>
      <c r="F95" s="2328">
        <f>IF(F$3=1,D95+E95+6,0)</f>
        <v>0</v>
      </c>
      <c r="G95" s="21">
        <f t="shared" si="69"/>
        <v>1.5</v>
      </c>
      <c r="H95" s="482">
        <v>1</v>
      </c>
      <c r="I95" s="478">
        <f>IF(I$3&gt;1,0.25*I$3,0.5)</f>
        <v>0.5</v>
      </c>
      <c r="J95" s="630">
        <f>IF(J$3=1,H95+I95+6,0)</f>
        <v>0</v>
      </c>
      <c r="K95" s="16">
        <f t="shared" si="70"/>
        <v>1.5</v>
      </c>
      <c r="L95" s="482">
        <v>1</v>
      </c>
      <c r="M95" s="478">
        <f>IF(M$3&gt;1,0.25*M$3,0.5)</f>
        <v>0.5</v>
      </c>
      <c r="N95" s="630">
        <f>IF(N$3=1,L95+M95+6,0)</f>
        <v>0</v>
      </c>
      <c r="O95" s="619">
        <f t="shared" si="71"/>
        <v>1.5</v>
      </c>
      <c r="P95" s="482">
        <v>1</v>
      </c>
      <c r="Q95" s="478">
        <f>IF(Q$3&gt;1,0.25*Q$3,0.5)</f>
        <v>0.5</v>
      </c>
      <c r="R95" s="630">
        <f>IF(R$3=1,P95+Q95+6,0)</f>
        <v>0</v>
      </c>
      <c r="S95" s="619">
        <f t="shared" si="72"/>
        <v>1.5</v>
      </c>
      <c r="T95" s="482">
        <v>1</v>
      </c>
      <c r="U95" s="478">
        <f>IF(U$3&gt;1,0.25*U$3,0.5)</f>
        <v>0.5</v>
      </c>
      <c r="V95" s="630">
        <f>IF(V$3=1,T95+U95+6,0)</f>
        <v>0</v>
      </c>
      <c r="W95" s="619">
        <f t="shared" si="73"/>
        <v>1.5</v>
      </c>
      <c r="X95" s="482">
        <v>1</v>
      </c>
      <c r="Y95" s="478">
        <f>IF(Y$3&gt;1,0.25*Y$3,0.5)</f>
        <v>0.5</v>
      </c>
      <c r="Z95" s="630">
        <f>IF(Z$3=1,X95+Y95+6,0)</f>
        <v>0</v>
      </c>
      <c r="AA95" s="619">
        <f t="shared" si="66"/>
        <v>1.5</v>
      </c>
      <c r="AB95" s="482">
        <v>1</v>
      </c>
      <c r="AC95" s="478">
        <f>IF(AC$3&gt;1,0.25*AC$3,0.5)</f>
        <v>0.5</v>
      </c>
      <c r="AD95" s="630">
        <f>IF(AD$3=1,AB95+AC95+6,0)</f>
        <v>0</v>
      </c>
      <c r="AE95" s="619">
        <f t="shared" si="74"/>
        <v>1.5</v>
      </c>
      <c r="AF95" s="482">
        <v>1</v>
      </c>
      <c r="AG95" s="478">
        <f>IF(AG$3&gt;1,0.25*AG$3,0.5)</f>
        <v>0.5</v>
      </c>
      <c r="AH95" s="630">
        <f>IF(AH$3=1,AF95+AG95+6,0)</f>
        <v>0</v>
      </c>
      <c r="AI95" s="619">
        <f t="shared" si="75"/>
        <v>1.5</v>
      </c>
    </row>
    <row r="96" spans="1:35" x14ac:dyDescent="0.25">
      <c r="A96" s="1935"/>
      <c r="B96" s="19" t="s">
        <v>34</v>
      </c>
      <c r="C96" s="22"/>
      <c r="D96" s="2331">
        <v>2</v>
      </c>
      <c r="E96" s="2330">
        <f>IF(E$3&gt;1,0.25*E$3,0.5)</f>
        <v>0.5</v>
      </c>
      <c r="F96" s="2328">
        <f>IF(F$3=1,D96+E96+8,0)</f>
        <v>0</v>
      </c>
      <c r="G96" s="21">
        <f t="shared" si="69"/>
        <v>2.5</v>
      </c>
      <c r="H96" s="482">
        <v>2</v>
      </c>
      <c r="I96" s="478">
        <f>IF(I$3&gt;1,0.25*I$3,0.5)</f>
        <v>0.5</v>
      </c>
      <c r="J96" s="630">
        <f>IF(J$3=1,H96+I96+8,0)</f>
        <v>0</v>
      </c>
      <c r="K96" s="16">
        <f t="shared" si="70"/>
        <v>2.5</v>
      </c>
      <c r="L96" s="482">
        <v>2</v>
      </c>
      <c r="M96" s="478">
        <f>IF(M$3&gt;1,0.25*M$3,0.5)</f>
        <v>0.5</v>
      </c>
      <c r="N96" s="630">
        <f>IF(N$3=1,L96+M96+8,0)</f>
        <v>0</v>
      </c>
      <c r="O96" s="619">
        <f t="shared" si="71"/>
        <v>2.5</v>
      </c>
      <c r="P96" s="482">
        <v>2</v>
      </c>
      <c r="Q96" s="478">
        <f>IF(Q$3&gt;1,0.25*Q$3,0.5)</f>
        <v>0.5</v>
      </c>
      <c r="R96" s="630">
        <f>IF(R$3=1,P96+Q96+8,0)</f>
        <v>0</v>
      </c>
      <c r="S96" s="619">
        <f t="shared" si="72"/>
        <v>2.5</v>
      </c>
      <c r="T96" s="482">
        <v>2</v>
      </c>
      <c r="U96" s="478">
        <f>IF(U$3&gt;1,0.25*U$3,0.5)</f>
        <v>0.5</v>
      </c>
      <c r="V96" s="630">
        <f>IF(V$3=1,T96+U96+8,0)</f>
        <v>0</v>
      </c>
      <c r="W96" s="619">
        <f t="shared" si="73"/>
        <v>2.5</v>
      </c>
      <c r="X96" s="482">
        <v>2</v>
      </c>
      <c r="Y96" s="478">
        <f>IF(Y$3&gt;1,0.25*Y$3,0.5)</f>
        <v>0.5</v>
      </c>
      <c r="Z96" s="630">
        <f>IF(Z$3=1,X96+Y96+8,0)</f>
        <v>0</v>
      </c>
      <c r="AA96" s="619">
        <f t="shared" si="66"/>
        <v>2.5</v>
      </c>
      <c r="AB96" s="482">
        <v>2</v>
      </c>
      <c r="AC96" s="478">
        <f>IF(AC$3&gt;1,0.25*AC$3,0.5)</f>
        <v>0.5</v>
      </c>
      <c r="AD96" s="630">
        <f>IF(AD$3=1,AB96+AC96+8,0)</f>
        <v>0</v>
      </c>
      <c r="AE96" s="619">
        <f t="shared" si="74"/>
        <v>2.5</v>
      </c>
      <c r="AF96" s="482">
        <v>2</v>
      </c>
      <c r="AG96" s="478">
        <f>IF(AG$3&gt;1,0.25*AG$3,0.5)</f>
        <v>0.5</v>
      </c>
      <c r="AH96" s="630">
        <f>IF(AH$3=1,AF96+AG96+8,0)</f>
        <v>0</v>
      </c>
      <c r="AI96" s="619">
        <f t="shared" si="75"/>
        <v>2.5</v>
      </c>
    </row>
    <row r="97" spans="1:35" x14ac:dyDescent="0.25">
      <c r="A97" s="1935" t="s">
        <v>26</v>
      </c>
      <c r="B97" s="1721" t="s">
        <v>32</v>
      </c>
      <c r="C97" s="22"/>
      <c r="D97" s="1707">
        <v>6</v>
      </c>
      <c r="E97" s="1701">
        <v>0</v>
      </c>
      <c r="F97" s="1709">
        <v>0</v>
      </c>
      <c r="G97" s="1699">
        <f t="shared" si="69"/>
        <v>6</v>
      </c>
      <c r="H97" s="1707">
        <v>6</v>
      </c>
      <c r="I97" s="1701">
        <v>0</v>
      </c>
      <c r="J97" s="1709">
        <v>0</v>
      </c>
      <c r="K97" s="1716">
        <f t="shared" si="70"/>
        <v>6</v>
      </c>
      <c r="L97" s="1707">
        <v>6</v>
      </c>
      <c r="M97" s="1701">
        <v>0</v>
      </c>
      <c r="N97" s="1709">
        <v>0</v>
      </c>
      <c r="O97" s="1699">
        <f t="shared" si="71"/>
        <v>6</v>
      </c>
      <c r="P97" s="1707">
        <v>6</v>
      </c>
      <c r="Q97" s="1701">
        <v>0</v>
      </c>
      <c r="R97" s="1709">
        <v>0</v>
      </c>
      <c r="S97" s="1699">
        <f t="shared" si="72"/>
        <v>6</v>
      </c>
      <c r="T97" s="1707">
        <v>6</v>
      </c>
      <c r="U97" s="1701">
        <v>0</v>
      </c>
      <c r="V97" s="1709">
        <v>0</v>
      </c>
      <c r="W97" s="1699">
        <f t="shared" si="73"/>
        <v>6</v>
      </c>
      <c r="X97" s="1707">
        <v>6</v>
      </c>
      <c r="Y97" s="1701">
        <v>0</v>
      </c>
      <c r="Z97" s="1709">
        <v>0</v>
      </c>
      <c r="AA97" s="1699">
        <f t="shared" si="66"/>
        <v>6</v>
      </c>
      <c r="AB97" s="1707">
        <v>6</v>
      </c>
      <c r="AC97" s="1701">
        <v>0</v>
      </c>
      <c r="AD97" s="1709">
        <v>0</v>
      </c>
      <c r="AE97" s="1699">
        <f t="shared" si="74"/>
        <v>6</v>
      </c>
      <c r="AF97" s="1707">
        <v>6</v>
      </c>
      <c r="AG97" s="1701">
        <v>0</v>
      </c>
      <c r="AH97" s="1709">
        <v>0</v>
      </c>
      <c r="AI97" s="1699">
        <f t="shared" si="75"/>
        <v>6</v>
      </c>
    </row>
    <row r="98" spans="1:35" x14ac:dyDescent="0.25">
      <c r="A98" s="1935"/>
      <c r="B98" s="19" t="s">
        <v>33</v>
      </c>
      <c r="C98" s="22"/>
      <c r="D98" s="2331">
        <v>1</v>
      </c>
      <c r="E98" s="2330">
        <v>0</v>
      </c>
      <c r="F98" s="2328">
        <f>IF(F$3=1,D98+E98+4,0)</f>
        <v>0</v>
      </c>
      <c r="G98" s="21">
        <f t="shared" si="69"/>
        <v>1</v>
      </c>
      <c r="H98" s="482">
        <v>1</v>
      </c>
      <c r="I98" s="486">
        <v>0</v>
      </c>
      <c r="J98" s="630">
        <f>IF(J$3=1,H98+I98+4,0)</f>
        <v>0</v>
      </c>
      <c r="K98" s="16">
        <f t="shared" si="70"/>
        <v>1</v>
      </c>
      <c r="L98" s="482">
        <v>1</v>
      </c>
      <c r="M98" s="486">
        <v>0</v>
      </c>
      <c r="N98" s="630">
        <f>IF(N$3=1,L98+M98+4,0)</f>
        <v>0</v>
      </c>
      <c r="O98" s="619">
        <f t="shared" si="71"/>
        <v>1</v>
      </c>
      <c r="P98" s="482">
        <v>1</v>
      </c>
      <c r="Q98" s="486">
        <v>0</v>
      </c>
      <c r="R98" s="630">
        <f>IF(R$3=1,P98+Q98+4,0)</f>
        <v>0</v>
      </c>
      <c r="S98" s="619">
        <f t="shared" si="72"/>
        <v>1</v>
      </c>
      <c r="T98" s="482">
        <v>1</v>
      </c>
      <c r="U98" s="486">
        <v>0</v>
      </c>
      <c r="V98" s="630">
        <f>IF(V$3=1,T98+U98+4,0)</f>
        <v>0</v>
      </c>
      <c r="W98" s="619">
        <f t="shared" si="73"/>
        <v>1</v>
      </c>
      <c r="X98" s="482">
        <v>1</v>
      </c>
      <c r="Y98" s="486">
        <v>0</v>
      </c>
      <c r="Z98" s="630">
        <f>IF(Z$3=1,X98+Y98+4,0)</f>
        <v>0</v>
      </c>
      <c r="AA98" s="619">
        <f t="shared" si="66"/>
        <v>1</v>
      </c>
      <c r="AB98" s="482">
        <v>1</v>
      </c>
      <c r="AC98" s="486">
        <v>0</v>
      </c>
      <c r="AD98" s="630">
        <f>IF(AD$3=1,AB98+AC98+4,0)</f>
        <v>0</v>
      </c>
      <c r="AE98" s="619">
        <f t="shared" si="74"/>
        <v>1</v>
      </c>
      <c r="AF98" s="482">
        <v>1</v>
      </c>
      <c r="AG98" s="486">
        <v>0</v>
      </c>
      <c r="AH98" s="630">
        <f>IF(AH$3=1,AF98+AG98+4,0)</f>
        <v>0</v>
      </c>
      <c r="AI98" s="619">
        <f t="shared" si="75"/>
        <v>1</v>
      </c>
    </row>
    <row r="99" spans="1:35" x14ac:dyDescent="0.25">
      <c r="A99" s="1935"/>
      <c r="B99" s="19" t="s">
        <v>34</v>
      </c>
      <c r="C99" s="22"/>
      <c r="D99" s="2331">
        <v>2</v>
      </c>
      <c r="E99" s="2330">
        <v>0</v>
      </c>
      <c r="F99" s="2328">
        <f>IF(F$3=1,D99+E99+6,0)</f>
        <v>0</v>
      </c>
      <c r="G99" s="21">
        <f t="shared" si="69"/>
        <v>2</v>
      </c>
      <c r="H99" s="482">
        <v>2</v>
      </c>
      <c r="I99" s="486">
        <v>0</v>
      </c>
      <c r="J99" s="630">
        <f>IF(J$3=1,H99+I99+6,0)</f>
        <v>0</v>
      </c>
      <c r="K99" s="16">
        <f t="shared" si="70"/>
        <v>2</v>
      </c>
      <c r="L99" s="482">
        <v>2</v>
      </c>
      <c r="M99" s="486">
        <v>0</v>
      </c>
      <c r="N99" s="630">
        <f>IF(N$3=1,L99+M99+6,0)</f>
        <v>0</v>
      </c>
      <c r="O99" s="619">
        <f t="shared" si="71"/>
        <v>2</v>
      </c>
      <c r="P99" s="482">
        <v>2</v>
      </c>
      <c r="Q99" s="486">
        <v>0</v>
      </c>
      <c r="R99" s="630">
        <f>IF(R$3=1,P99+Q99+6,0)</f>
        <v>0</v>
      </c>
      <c r="S99" s="619">
        <f t="shared" si="72"/>
        <v>2</v>
      </c>
      <c r="T99" s="482">
        <v>2</v>
      </c>
      <c r="U99" s="486">
        <v>0</v>
      </c>
      <c r="V99" s="630">
        <f>IF(V$3=1,T99+U99+6,0)</f>
        <v>0</v>
      </c>
      <c r="W99" s="619">
        <f t="shared" si="73"/>
        <v>2</v>
      </c>
      <c r="X99" s="482">
        <v>2</v>
      </c>
      <c r="Y99" s="486">
        <v>0</v>
      </c>
      <c r="Z99" s="630">
        <f>IF(Z$3=1,X99+Y99+6,0)</f>
        <v>0</v>
      </c>
      <c r="AA99" s="619">
        <f t="shared" si="66"/>
        <v>2</v>
      </c>
      <c r="AB99" s="482">
        <v>2</v>
      </c>
      <c r="AC99" s="486">
        <v>0</v>
      </c>
      <c r="AD99" s="630">
        <f>IF(AD$3=1,AB99+AC99+6,0)</f>
        <v>0</v>
      </c>
      <c r="AE99" s="619">
        <f t="shared" si="74"/>
        <v>2</v>
      </c>
      <c r="AF99" s="482">
        <v>2</v>
      </c>
      <c r="AG99" s="486">
        <v>0</v>
      </c>
      <c r="AH99" s="630">
        <f>IF(AH$3=1,AF99+AG99+6,0)</f>
        <v>0</v>
      </c>
      <c r="AI99" s="619">
        <f t="shared" si="75"/>
        <v>2</v>
      </c>
    </row>
    <row r="100" spans="1:35" x14ac:dyDescent="0.25">
      <c r="A100" s="1935" t="s">
        <v>27</v>
      </c>
      <c r="B100" s="1721" t="s">
        <v>32</v>
      </c>
      <c r="C100" s="22"/>
      <c r="D100" s="1707">
        <f>IF($D$3&gt;1,4,2)</f>
        <v>2</v>
      </c>
      <c r="E100" s="1707">
        <v>0</v>
      </c>
      <c r="F100" s="1717">
        <v>0</v>
      </c>
      <c r="G100" s="1699">
        <f t="shared" si="69"/>
        <v>2</v>
      </c>
      <c r="H100" s="1707">
        <f>IF($D$3&gt;1,4,2)</f>
        <v>2</v>
      </c>
      <c r="I100" s="1707">
        <v>0</v>
      </c>
      <c r="J100" s="1717">
        <v>0</v>
      </c>
      <c r="K100" s="1716">
        <f t="shared" si="70"/>
        <v>2</v>
      </c>
      <c r="L100" s="1707">
        <f>IF($D$3&gt;1,4,2)</f>
        <v>2</v>
      </c>
      <c r="M100" s="1707">
        <v>0</v>
      </c>
      <c r="N100" s="1717">
        <v>0</v>
      </c>
      <c r="O100" s="1699">
        <f t="shared" si="71"/>
        <v>2</v>
      </c>
      <c r="P100" s="1707">
        <f>IF($D$3&gt;1,4,2)</f>
        <v>2</v>
      </c>
      <c r="Q100" s="1707">
        <v>0</v>
      </c>
      <c r="R100" s="1717">
        <v>0</v>
      </c>
      <c r="S100" s="1699">
        <f t="shared" si="72"/>
        <v>2</v>
      </c>
      <c r="T100" s="1707">
        <f>IF($D$3&gt;1,4,2)</f>
        <v>2</v>
      </c>
      <c r="U100" s="1707">
        <v>0</v>
      </c>
      <c r="V100" s="1717">
        <v>0</v>
      </c>
      <c r="W100" s="1699">
        <f t="shared" si="73"/>
        <v>2</v>
      </c>
      <c r="X100" s="1707">
        <f>IF($D$3&gt;1,4,2)</f>
        <v>2</v>
      </c>
      <c r="Y100" s="1707">
        <v>0</v>
      </c>
      <c r="Z100" s="1717">
        <v>0</v>
      </c>
      <c r="AA100" s="1699">
        <f t="shared" si="66"/>
        <v>2</v>
      </c>
      <c r="AB100" s="1707">
        <f>IF($D$3&gt;1,4,2)</f>
        <v>2</v>
      </c>
      <c r="AC100" s="1707">
        <v>0</v>
      </c>
      <c r="AD100" s="1717">
        <v>0</v>
      </c>
      <c r="AE100" s="1699">
        <f t="shared" si="74"/>
        <v>2</v>
      </c>
      <c r="AF100" s="1707">
        <f>IF($D$3&gt;1,4,2)</f>
        <v>2</v>
      </c>
      <c r="AG100" s="1707">
        <v>0</v>
      </c>
      <c r="AH100" s="1717">
        <v>0</v>
      </c>
      <c r="AI100" s="1699">
        <f t="shared" si="75"/>
        <v>2</v>
      </c>
    </row>
    <row r="101" spans="1:35" x14ac:dyDescent="0.25">
      <c r="A101" s="1935"/>
      <c r="B101" s="19" t="s">
        <v>33</v>
      </c>
      <c r="C101" s="22"/>
      <c r="D101" s="2331">
        <f>IF(D$3&gt;1,D$3*0.25+1,1)</f>
        <v>1</v>
      </c>
      <c r="E101" s="2331">
        <v>0</v>
      </c>
      <c r="F101" s="2328">
        <f>IF(F$3=1,D101+E101+4,0)</f>
        <v>0</v>
      </c>
      <c r="G101" s="21">
        <f t="shared" si="69"/>
        <v>1</v>
      </c>
      <c r="H101" s="493">
        <f>IF(H$3&gt;1,H$3*0.25+1,1)</f>
        <v>1</v>
      </c>
      <c r="I101" s="482">
        <v>0</v>
      </c>
      <c r="J101" s="630">
        <f>IF(J$3=1,H101+I101+4,0)</f>
        <v>0</v>
      </c>
      <c r="K101" s="16">
        <f t="shared" si="70"/>
        <v>1</v>
      </c>
      <c r="L101" s="493">
        <f>IF(L$3&gt;1,L$3*0.25+1,1)</f>
        <v>1</v>
      </c>
      <c r="M101" s="482">
        <v>0</v>
      </c>
      <c r="N101" s="630">
        <f>IF(N$3=1,L101+M101+4,0)</f>
        <v>0</v>
      </c>
      <c r="O101" s="619">
        <f t="shared" si="71"/>
        <v>1</v>
      </c>
      <c r="P101" s="493">
        <f>IF(P$3&gt;1,P$3*0.25+1,1)</f>
        <v>1</v>
      </c>
      <c r="Q101" s="482">
        <v>0</v>
      </c>
      <c r="R101" s="630">
        <f>IF(R$3=1,P101+Q101+4,0)</f>
        <v>0</v>
      </c>
      <c r="S101" s="619">
        <f t="shared" si="72"/>
        <v>1</v>
      </c>
      <c r="T101" s="493">
        <f>IF(T$3&gt;1,T$3*0.25+1,1)</f>
        <v>1</v>
      </c>
      <c r="U101" s="482">
        <v>0</v>
      </c>
      <c r="V101" s="630">
        <f>IF(V$3=1,T101+U101+4,0)</f>
        <v>0</v>
      </c>
      <c r="W101" s="619">
        <f t="shared" si="73"/>
        <v>1</v>
      </c>
      <c r="X101" s="493">
        <f>IF(X$3&gt;1,X$3*0.25+1,1)</f>
        <v>1</v>
      </c>
      <c r="Y101" s="482">
        <v>0</v>
      </c>
      <c r="Z101" s="630">
        <f>IF(Z$3=1,X101+Y101+4,0)</f>
        <v>0</v>
      </c>
      <c r="AA101" s="619">
        <f t="shared" si="66"/>
        <v>1</v>
      </c>
      <c r="AB101" s="493">
        <f>IF(AB$3&gt;1,AB$3*0.25+1,1)</f>
        <v>1</v>
      </c>
      <c r="AC101" s="482">
        <v>0</v>
      </c>
      <c r="AD101" s="630">
        <f>IF(AD$3=1,AB101+AC101+4,0)</f>
        <v>0</v>
      </c>
      <c r="AE101" s="619">
        <f t="shared" si="74"/>
        <v>1</v>
      </c>
      <c r="AF101" s="493">
        <f>IF(AF$3&gt;1,AF$3*0.25+1,1)</f>
        <v>1</v>
      </c>
      <c r="AG101" s="482">
        <v>0</v>
      </c>
      <c r="AH101" s="630">
        <f>IF(AH$3=1,AF101+AG101+4,0)</f>
        <v>0</v>
      </c>
      <c r="AI101" s="619">
        <f t="shared" si="75"/>
        <v>1</v>
      </c>
    </row>
    <row r="102" spans="1:35" x14ac:dyDescent="0.25">
      <c r="A102" s="1935"/>
      <c r="B102" s="19" t="s">
        <v>34</v>
      </c>
      <c r="C102" s="22"/>
      <c r="D102" s="2331">
        <f>IF(D$3&gt;1,D$3*0.25+2,2)</f>
        <v>2</v>
      </c>
      <c r="E102" s="2331">
        <v>0</v>
      </c>
      <c r="F102" s="2328">
        <f>IF(F$3=1,D102+E102+6,0)</f>
        <v>0</v>
      </c>
      <c r="G102" s="21">
        <f t="shared" si="69"/>
        <v>2</v>
      </c>
      <c r="H102" s="493">
        <f>IF(H$3&gt;1,H$3*0.25+2,2)</f>
        <v>2</v>
      </c>
      <c r="I102" s="482">
        <v>0</v>
      </c>
      <c r="J102" s="630">
        <f>IF(J$3=1,H102+I102+6,0)</f>
        <v>0</v>
      </c>
      <c r="K102" s="16">
        <f t="shared" si="70"/>
        <v>2</v>
      </c>
      <c r="L102" s="493">
        <f>IF(L$3&gt;1,L$3*0.25+2,2)</f>
        <v>2</v>
      </c>
      <c r="M102" s="482">
        <v>0</v>
      </c>
      <c r="N102" s="630">
        <f>IF(N$3=1,L102+M102+6,0)</f>
        <v>0</v>
      </c>
      <c r="O102" s="619">
        <f t="shared" si="71"/>
        <v>2</v>
      </c>
      <c r="P102" s="493">
        <f>IF(P$3&gt;1,P$3*0.25+2,2)</f>
        <v>2</v>
      </c>
      <c r="Q102" s="482">
        <v>0</v>
      </c>
      <c r="R102" s="630">
        <f>IF(R$3=1,P102+Q102+6,0)</f>
        <v>0</v>
      </c>
      <c r="S102" s="619">
        <f t="shared" si="72"/>
        <v>2</v>
      </c>
      <c r="T102" s="493">
        <f>IF(T$3&gt;1,T$3*0.25+2,2)</f>
        <v>2</v>
      </c>
      <c r="U102" s="482">
        <v>0</v>
      </c>
      <c r="V102" s="630">
        <f>IF(V$3=1,T102+U102+6,0)</f>
        <v>0</v>
      </c>
      <c r="W102" s="619">
        <f t="shared" si="73"/>
        <v>2</v>
      </c>
      <c r="X102" s="493">
        <f>IF(X$3&gt;1,X$3*0.25+2,2)</f>
        <v>2</v>
      </c>
      <c r="Y102" s="482">
        <v>0</v>
      </c>
      <c r="Z102" s="630">
        <f>IF(Z$3=1,X102+Y102+6,0)</f>
        <v>0</v>
      </c>
      <c r="AA102" s="619">
        <f t="shared" si="66"/>
        <v>2</v>
      </c>
      <c r="AB102" s="493">
        <f>IF(AB$3&gt;1,AB$3*0.25+2,2)</f>
        <v>2</v>
      </c>
      <c r="AC102" s="482">
        <v>0</v>
      </c>
      <c r="AD102" s="630">
        <f>IF(AD$3=1,AB102+AC102+6,0)</f>
        <v>0</v>
      </c>
      <c r="AE102" s="619">
        <f t="shared" si="74"/>
        <v>2</v>
      </c>
      <c r="AF102" s="493">
        <f>IF(AF$3&gt;1,AF$3*0.25+2,2)</f>
        <v>2</v>
      </c>
      <c r="AG102" s="482">
        <v>0</v>
      </c>
      <c r="AH102" s="630">
        <f>IF(AH$3=1,AF102+AG102+6,0)</f>
        <v>0</v>
      </c>
      <c r="AI102" s="619">
        <f t="shared" si="75"/>
        <v>2</v>
      </c>
    </row>
    <row r="103" spans="1:35" x14ac:dyDescent="0.25">
      <c r="A103" s="1942" t="s">
        <v>28</v>
      </c>
      <c r="B103" s="1721" t="s">
        <v>32</v>
      </c>
      <c r="C103" s="22"/>
      <c r="D103" s="1707">
        <v>2</v>
      </c>
      <c r="E103" s="1701">
        <f>IF($E$3&gt;1,2,1)</f>
        <v>1</v>
      </c>
      <c r="F103" s="1709">
        <f>0.25*F$3</f>
        <v>0</v>
      </c>
      <c r="G103" s="1699">
        <f t="shared" si="69"/>
        <v>3</v>
      </c>
      <c r="H103" s="1707">
        <v>2</v>
      </c>
      <c r="I103" s="1701">
        <f>IF($E$3&gt;1,2,1)</f>
        <v>1</v>
      </c>
      <c r="J103" s="1709">
        <f>0.25*J$3</f>
        <v>0</v>
      </c>
      <c r="K103" s="1716">
        <f t="shared" si="70"/>
        <v>3</v>
      </c>
      <c r="L103" s="1707">
        <v>2</v>
      </c>
      <c r="M103" s="1701">
        <f>IF($E$3&gt;1,2,1)</f>
        <v>1</v>
      </c>
      <c r="N103" s="1709">
        <f>0.25*N$3</f>
        <v>0</v>
      </c>
      <c r="O103" s="1699">
        <f t="shared" si="71"/>
        <v>3</v>
      </c>
      <c r="P103" s="1707">
        <v>2</v>
      </c>
      <c r="Q103" s="1701">
        <f>IF($E$3&gt;1,2,1)</f>
        <v>1</v>
      </c>
      <c r="R103" s="1709">
        <f>0.25*R$3</f>
        <v>0</v>
      </c>
      <c r="S103" s="1699">
        <f t="shared" si="72"/>
        <v>3</v>
      </c>
      <c r="T103" s="1707">
        <v>2</v>
      </c>
      <c r="U103" s="1701">
        <f>IF($E$3&gt;1,2,1)</f>
        <v>1</v>
      </c>
      <c r="V103" s="1709">
        <f>0.25*V$3</f>
        <v>0</v>
      </c>
      <c r="W103" s="1699">
        <f t="shared" si="73"/>
        <v>3</v>
      </c>
      <c r="X103" s="1707">
        <v>2</v>
      </c>
      <c r="Y103" s="1701">
        <f>IF($E$3&gt;1,2,1)</f>
        <v>1</v>
      </c>
      <c r="Z103" s="1709">
        <f>0.25*Z$3</f>
        <v>0</v>
      </c>
      <c r="AA103" s="1699">
        <f t="shared" si="66"/>
        <v>3</v>
      </c>
      <c r="AB103" s="1707">
        <v>2</v>
      </c>
      <c r="AC103" s="1701">
        <f>IF($E$3&gt;1,2,1)</f>
        <v>1</v>
      </c>
      <c r="AD103" s="1709">
        <f>0.25*AD$3</f>
        <v>0</v>
      </c>
      <c r="AE103" s="1699">
        <f t="shared" si="74"/>
        <v>3</v>
      </c>
      <c r="AF103" s="1707">
        <v>2</v>
      </c>
      <c r="AG103" s="1701">
        <f>IF($E$3&gt;1,2,1)</f>
        <v>1</v>
      </c>
      <c r="AH103" s="1709">
        <f>0.25*AH$3</f>
        <v>0</v>
      </c>
      <c r="AI103" s="1699">
        <f t="shared" si="75"/>
        <v>3</v>
      </c>
    </row>
    <row r="104" spans="1:35" x14ac:dyDescent="0.25">
      <c r="A104" s="1942"/>
      <c r="B104" s="19" t="s">
        <v>33</v>
      </c>
      <c r="C104" s="22"/>
      <c r="D104" s="2331">
        <v>1</v>
      </c>
      <c r="E104" s="2331">
        <v>0</v>
      </c>
      <c r="F104" s="2328">
        <f>IF(F$3=1,D104+E104+4,0)</f>
        <v>0</v>
      </c>
      <c r="G104" s="21">
        <f t="shared" si="69"/>
        <v>1</v>
      </c>
      <c r="H104" s="482">
        <v>1</v>
      </c>
      <c r="I104" s="482">
        <v>0</v>
      </c>
      <c r="J104" s="630">
        <f>IF(J$3=1,H104+I104+4,0)</f>
        <v>0</v>
      </c>
      <c r="K104" s="16">
        <f t="shared" si="70"/>
        <v>1</v>
      </c>
      <c r="L104" s="482">
        <v>1</v>
      </c>
      <c r="M104" s="482">
        <v>0</v>
      </c>
      <c r="N104" s="630">
        <f>IF(N$3=1,L104+M104+4,0)</f>
        <v>0</v>
      </c>
      <c r="O104" s="619">
        <f t="shared" si="71"/>
        <v>1</v>
      </c>
      <c r="P104" s="482">
        <v>1</v>
      </c>
      <c r="Q104" s="482">
        <v>0</v>
      </c>
      <c r="R104" s="630">
        <f>IF(R$3=1,P104+Q104+4,0)</f>
        <v>0</v>
      </c>
      <c r="S104" s="619">
        <f t="shared" si="72"/>
        <v>1</v>
      </c>
      <c r="T104" s="482">
        <v>1</v>
      </c>
      <c r="U104" s="482">
        <v>0</v>
      </c>
      <c r="V104" s="630">
        <f>IF(V$3=1,T104+U104+4,0)</f>
        <v>0</v>
      </c>
      <c r="W104" s="619">
        <f t="shared" si="73"/>
        <v>1</v>
      </c>
      <c r="X104" s="482">
        <v>1</v>
      </c>
      <c r="Y104" s="482">
        <v>0</v>
      </c>
      <c r="Z104" s="630">
        <f>IF(Z$3=1,X104+Y104+4,0)</f>
        <v>0</v>
      </c>
      <c r="AA104" s="619">
        <f t="shared" si="66"/>
        <v>1</v>
      </c>
      <c r="AB104" s="482">
        <v>1</v>
      </c>
      <c r="AC104" s="482">
        <v>0</v>
      </c>
      <c r="AD104" s="630">
        <f>IF(AD$3=1,AB104+AC104+4,0)</f>
        <v>0</v>
      </c>
      <c r="AE104" s="619">
        <f t="shared" si="74"/>
        <v>1</v>
      </c>
      <c r="AF104" s="482">
        <v>1</v>
      </c>
      <c r="AG104" s="482">
        <v>0</v>
      </c>
      <c r="AH104" s="630">
        <f>IF(AH$3=1,AF104+AG104+4,0)</f>
        <v>0</v>
      </c>
      <c r="AI104" s="619">
        <f t="shared" si="75"/>
        <v>1</v>
      </c>
    </row>
    <row r="105" spans="1:35" ht="15.75" thickBot="1" x14ac:dyDescent="0.3">
      <c r="A105" s="1943"/>
      <c r="B105" s="20" t="s">
        <v>34</v>
      </c>
      <c r="C105" s="23"/>
      <c r="D105" s="2340">
        <v>2</v>
      </c>
      <c r="E105" s="2334">
        <v>0</v>
      </c>
      <c r="F105" s="2341">
        <f>IF(F$3=1,D105+E105+6,0)</f>
        <v>0</v>
      </c>
      <c r="G105" s="24">
        <f t="shared" si="69"/>
        <v>2</v>
      </c>
      <c r="H105" s="507">
        <v>2</v>
      </c>
      <c r="I105" s="491">
        <v>0</v>
      </c>
      <c r="J105" s="1695">
        <f>IF(J$3=1,H105+I105+6,0)</f>
        <v>0</v>
      </c>
      <c r="K105" s="17">
        <f t="shared" si="70"/>
        <v>2</v>
      </c>
      <c r="L105" s="507">
        <v>2</v>
      </c>
      <c r="M105" s="491">
        <v>0</v>
      </c>
      <c r="N105" s="1695">
        <f>IF(N$3=1,L105+M105+6,0)</f>
        <v>0</v>
      </c>
      <c r="O105" s="622">
        <f t="shared" si="71"/>
        <v>2</v>
      </c>
      <c r="P105" s="507">
        <v>2</v>
      </c>
      <c r="Q105" s="491">
        <v>0</v>
      </c>
      <c r="R105" s="1695">
        <f>IF(R$3=1,P105+Q105+6,0)</f>
        <v>0</v>
      </c>
      <c r="S105" s="622">
        <f t="shared" si="72"/>
        <v>2</v>
      </c>
      <c r="T105" s="507">
        <v>2</v>
      </c>
      <c r="U105" s="491">
        <v>0</v>
      </c>
      <c r="V105" s="1695">
        <f>IF(V$3=1,T105+U105+6,0)</f>
        <v>0</v>
      </c>
      <c r="W105" s="622">
        <f t="shared" si="73"/>
        <v>2</v>
      </c>
      <c r="X105" s="507">
        <v>2</v>
      </c>
      <c r="Y105" s="491">
        <v>0</v>
      </c>
      <c r="Z105" s="1695">
        <f>IF(Z$3=1,X105+Y105+6,0)</f>
        <v>0</v>
      </c>
      <c r="AA105" s="622">
        <f t="shared" si="66"/>
        <v>2</v>
      </c>
      <c r="AB105" s="507">
        <v>2</v>
      </c>
      <c r="AC105" s="491">
        <v>0</v>
      </c>
      <c r="AD105" s="1695">
        <f>IF(AD$3=1,AB105+AC105+6,0)</f>
        <v>0</v>
      </c>
      <c r="AE105" s="622">
        <f t="shared" si="74"/>
        <v>2</v>
      </c>
      <c r="AF105" s="507">
        <v>2</v>
      </c>
      <c r="AG105" s="491">
        <v>0</v>
      </c>
      <c r="AH105" s="1695">
        <f>IF(AH$3=1,AF105+AG105+6,0)</f>
        <v>0</v>
      </c>
      <c r="AI105" s="622">
        <f t="shared" si="75"/>
        <v>2</v>
      </c>
    </row>
    <row r="107" spans="1:35" ht="15.75" x14ac:dyDescent="0.25">
      <c r="A107" s="1691" t="s">
        <v>1706</v>
      </c>
      <c r="B107" s="1691" t="s">
        <v>1707</v>
      </c>
      <c r="D107" s="1696"/>
      <c r="E107" t="s">
        <v>1708</v>
      </c>
    </row>
    <row r="108" spans="1:35" ht="101.45" customHeight="1" x14ac:dyDescent="0.25">
      <c r="A108" s="1692" t="s">
        <v>549</v>
      </c>
      <c r="B108" s="1692" t="s">
        <v>1785</v>
      </c>
    </row>
    <row r="109" spans="1:35" ht="60" x14ac:dyDescent="0.25">
      <c r="A109" s="1692" t="s">
        <v>1771</v>
      </c>
      <c r="B109" s="1692" t="s">
        <v>1709</v>
      </c>
    </row>
    <row r="110" spans="1:35" ht="60" x14ac:dyDescent="0.25">
      <c r="A110" s="1692" t="s">
        <v>1710</v>
      </c>
      <c r="B110" s="1692" t="s">
        <v>1820</v>
      </c>
    </row>
    <row r="112" spans="1:35" s="1690" customFormat="1" ht="19.899999999999999" customHeight="1" x14ac:dyDescent="0.25">
      <c r="A112" s="1693" t="s">
        <v>89</v>
      </c>
    </row>
    <row r="113" spans="1:8" s="1690" customFormat="1" ht="19.899999999999999" customHeight="1" x14ac:dyDescent="0.25">
      <c r="A113" s="1946" t="str">
        <f>A5</f>
        <v>ТЗ</v>
      </c>
      <c r="B113" s="1947"/>
      <c r="D113" s="1694" t="s">
        <v>66</v>
      </c>
      <c r="E113" s="1694" t="s">
        <v>65</v>
      </c>
      <c r="F113" s="1694" t="s">
        <v>64</v>
      </c>
    </row>
    <row r="114" spans="1:8" s="1690" customFormat="1" ht="19.899999999999999" customHeight="1" x14ac:dyDescent="0.25">
      <c r="A114" s="132" t="s">
        <v>1711</v>
      </c>
      <c r="B114" s="905" t="s">
        <v>33</v>
      </c>
      <c r="D114" s="880"/>
      <c r="E114" s="880"/>
      <c r="F114" s="814" t="s">
        <v>1810</v>
      </c>
    </row>
    <row r="115" spans="1:8" s="1690" customFormat="1" ht="19.899999999999999" customHeight="1" x14ac:dyDescent="0.25">
      <c r="A115" s="132" t="s">
        <v>1712</v>
      </c>
      <c r="B115" s="905" t="s">
        <v>34</v>
      </c>
      <c r="D115" s="880"/>
      <c r="E115" s="880"/>
      <c r="F115" s="814" t="s">
        <v>1808</v>
      </c>
    </row>
    <row r="116" spans="1:8" s="1690" customFormat="1" ht="19.899999999999999" customHeight="1" x14ac:dyDescent="0.25">
      <c r="A116" s="1946" t="str">
        <f>A8</f>
        <v>ФТТ</v>
      </c>
      <c r="B116" s="1947"/>
      <c r="D116" s="1694" t="s">
        <v>66</v>
      </c>
      <c r="E116" s="1694" t="s">
        <v>65</v>
      </c>
      <c r="F116" s="1694" t="s">
        <v>64</v>
      </c>
    </row>
    <row r="117" spans="1:8" s="1690" customFormat="1" ht="19.899999999999999" customHeight="1" x14ac:dyDescent="0.25">
      <c r="A117" s="132" t="s">
        <v>1713</v>
      </c>
      <c r="B117" s="905" t="s">
        <v>33</v>
      </c>
      <c r="D117" s="880"/>
      <c r="E117" s="814"/>
      <c r="F117" s="814" t="s">
        <v>1810</v>
      </c>
    </row>
    <row r="118" spans="1:8" s="1690" customFormat="1" ht="19.899999999999999" customHeight="1" x14ac:dyDescent="0.25">
      <c r="A118" s="132" t="s">
        <v>1714</v>
      </c>
      <c r="B118" s="905" t="s">
        <v>34</v>
      </c>
      <c r="D118" s="880"/>
      <c r="E118" s="814"/>
      <c r="F118" s="814" t="s">
        <v>1808</v>
      </c>
    </row>
    <row r="119" spans="1:8" ht="19.899999999999999" customHeight="1" x14ac:dyDescent="0.25">
      <c r="A119" s="1946" t="str">
        <f>A12</f>
        <v>Пояснительная записка к эскизному проекту</v>
      </c>
      <c r="B119" s="1947"/>
      <c r="D119" s="1694" t="s">
        <v>66</v>
      </c>
      <c r="E119" s="1694" t="s">
        <v>65</v>
      </c>
      <c r="F119" s="1694" t="s">
        <v>64</v>
      </c>
      <c r="G119" s="1690"/>
      <c r="H119" s="1690"/>
    </row>
    <row r="120" spans="1:8" ht="19.899999999999999" customHeight="1" x14ac:dyDescent="0.25">
      <c r="A120" s="132" t="s">
        <v>1715</v>
      </c>
      <c r="B120" s="905" t="s">
        <v>33</v>
      </c>
      <c r="D120" s="129"/>
      <c r="E120" s="814" t="s">
        <v>1774</v>
      </c>
      <c r="F120" s="814" t="s">
        <v>1813</v>
      </c>
      <c r="G120" s="1690"/>
      <c r="H120" s="1690"/>
    </row>
    <row r="121" spans="1:8" ht="19.899999999999999" customHeight="1" x14ac:dyDescent="0.25">
      <c r="A121" s="132" t="s">
        <v>1716</v>
      </c>
      <c r="B121" s="905" t="s">
        <v>34</v>
      </c>
      <c r="D121" s="129"/>
      <c r="E121" s="814" t="s">
        <v>1774</v>
      </c>
      <c r="F121" s="814" t="s">
        <v>1814</v>
      </c>
      <c r="G121" s="1690"/>
      <c r="H121" s="1690"/>
    </row>
    <row r="122" spans="1:8" s="1690" customFormat="1" ht="19.899999999999999" customHeight="1" x14ac:dyDescent="0.25">
      <c r="A122" s="1946" t="str">
        <f>A19</f>
        <v xml:space="preserve">Ведомость покупных изделий </v>
      </c>
      <c r="B122" s="1947"/>
      <c r="D122" s="1694" t="s">
        <v>66</v>
      </c>
      <c r="E122" s="1694" t="s">
        <v>65</v>
      </c>
      <c r="F122" s="1694" t="s">
        <v>64</v>
      </c>
    </row>
    <row r="123" spans="1:8" s="1690" customFormat="1" ht="19.899999999999999" customHeight="1" x14ac:dyDescent="0.25">
      <c r="A123" s="132" t="s">
        <v>1717</v>
      </c>
      <c r="B123" s="905" t="s">
        <v>33</v>
      </c>
      <c r="D123" s="814" t="s">
        <v>1773</v>
      </c>
      <c r="E123" s="814"/>
      <c r="F123" s="129"/>
    </row>
    <row r="124" spans="1:8" s="1690" customFormat="1" ht="19.899999999999999" customHeight="1" x14ac:dyDescent="0.25">
      <c r="A124" s="132" t="s">
        <v>1718</v>
      </c>
      <c r="B124" s="905" t="s">
        <v>34</v>
      </c>
      <c r="D124" s="814" t="s">
        <v>1773</v>
      </c>
      <c r="E124" s="814"/>
      <c r="F124" s="129"/>
    </row>
    <row r="125" spans="1:8" s="1690" customFormat="1" ht="19.899999999999999" customHeight="1" x14ac:dyDescent="0.25">
      <c r="A125" s="1946" t="str">
        <f>A22</f>
        <v xml:space="preserve">Пояснительная записка к техническому проекту </v>
      </c>
      <c r="B125" s="1947"/>
      <c r="D125" s="1694" t="s">
        <v>66</v>
      </c>
      <c r="E125" s="1694" t="s">
        <v>65</v>
      </c>
      <c r="F125" s="1694" t="s">
        <v>64</v>
      </c>
    </row>
    <row r="126" spans="1:8" ht="19.899999999999999" customHeight="1" x14ac:dyDescent="0.25">
      <c r="A126" s="132" t="s">
        <v>1719</v>
      </c>
      <c r="B126" s="905" t="s">
        <v>33</v>
      </c>
      <c r="D126" s="129"/>
      <c r="E126" s="814" t="s">
        <v>1774</v>
      </c>
      <c r="F126" s="814" t="s">
        <v>1813</v>
      </c>
      <c r="G126" s="1690"/>
      <c r="H126" s="1690"/>
    </row>
    <row r="127" spans="1:8" ht="19.899999999999999" customHeight="1" x14ac:dyDescent="0.25">
      <c r="A127" s="132" t="s">
        <v>1720</v>
      </c>
      <c r="B127" s="905" t="s">
        <v>34</v>
      </c>
      <c r="D127" s="129"/>
      <c r="E127" s="814" t="s">
        <v>1774</v>
      </c>
      <c r="F127" s="814" t="s">
        <v>1814</v>
      </c>
      <c r="G127" s="1690"/>
      <c r="H127" s="1690"/>
    </row>
    <row r="128" spans="1:8" ht="19.899999999999999" customHeight="1" x14ac:dyDescent="0.25">
      <c r="A128" s="1946" t="str">
        <f>A25</f>
        <v xml:space="preserve">Описание комплекса технических средств </v>
      </c>
      <c r="B128" s="1947"/>
      <c r="D128" s="1694" t="s">
        <v>66</v>
      </c>
      <c r="E128" s="1694" t="s">
        <v>65</v>
      </c>
      <c r="F128" s="1694" t="s">
        <v>64</v>
      </c>
      <c r="G128" s="1690"/>
      <c r="H128" s="1690"/>
    </row>
    <row r="129" spans="1:8" ht="19.899999999999999" customHeight="1" x14ac:dyDescent="0.25">
      <c r="A129" s="132" t="s">
        <v>1721</v>
      </c>
      <c r="B129" s="905" t="s">
        <v>33</v>
      </c>
      <c r="D129" s="129"/>
      <c r="E129" s="129"/>
      <c r="F129" s="814" t="s">
        <v>1804</v>
      </c>
      <c r="G129" s="1690"/>
      <c r="H129" s="1690"/>
    </row>
    <row r="130" spans="1:8" ht="19.899999999999999" customHeight="1" x14ac:dyDescent="0.25">
      <c r="A130" s="132" t="s">
        <v>1722</v>
      </c>
      <c r="B130" s="905" t="s">
        <v>34</v>
      </c>
      <c r="D130" s="129"/>
      <c r="E130" s="129"/>
      <c r="F130" s="814" t="s">
        <v>1803</v>
      </c>
      <c r="G130" s="1690"/>
      <c r="H130" s="1690"/>
    </row>
    <row r="131" spans="1:8" ht="19.899999999999999" customHeight="1" x14ac:dyDescent="0.25">
      <c r="A131" s="1946" t="str">
        <f>A28</f>
        <v xml:space="preserve">Описание программного обеспечения </v>
      </c>
      <c r="B131" s="1947"/>
      <c r="D131" s="1694" t="s">
        <v>66</v>
      </c>
      <c r="E131" s="1694" t="s">
        <v>65</v>
      </c>
      <c r="F131" s="1694" t="s">
        <v>64</v>
      </c>
      <c r="G131" s="1690"/>
      <c r="H131" s="1690"/>
    </row>
    <row r="132" spans="1:8" ht="19.899999999999999" customHeight="1" x14ac:dyDescent="0.25">
      <c r="A132" s="132" t="s">
        <v>1723</v>
      </c>
      <c r="B132" s="905" t="s">
        <v>33</v>
      </c>
      <c r="D132" s="129"/>
      <c r="E132" s="814" t="s">
        <v>1775</v>
      </c>
      <c r="F132" s="814" t="s">
        <v>1810</v>
      </c>
      <c r="G132" s="1690"/>
      <c r="H132" s="1690"/>
    </row>
    <row r="133" spans="1:8" ht="19.899999999999999" customHeight="1" x14ac:dyDescent="0.25">
      <c r="A133" s="132" t="s">
        <v>1724</v>
      </c>
      <c r="B133" s="905" t="s">
        <v>34</v>
      </c>
      <c r="D133" s="129"/>
      <c r="E133" s="814" t="s">
        <v>1775</v>
      </c>
      <c r="F133" s="814" t="s">
        <v>1808</v>
      </c>
      <c r="G133" s="1690"/>
      <c r="H133" s="1690"/>
    </row>
    <row r="134" spans="1:8" ht="19.899999999999999" customHeight="1" x14ac:dyDescent="0.25">
      <c r="A134" s="1946" t="str">
        <f>A31</f>
        <v>Схема структурная</v>
      </c>
      <c r="B134" s="1947"/>
      <c r="D134" s="1694" t="s">
        <v>66</v>
      </c>
      <c r="E134" s="1694" t="s">
        <v>65</v>
      </c>
      <c r="F134" s="1694" t="s">
        <v>64</v>
      </c>
      <c r="G134" s="1690"/>
      <c r="H134" s="1690"/>
    </row>
    <row r="135" spans="1:8" ht="19.899999999999999" customHeight="1" x14ac:dyDescent="0.25">
      <c r="A135" s="132" t="s">
        <v>1725</v>
      </c>
      <c r="B135" s="905" t="s">
        <v>33</v>
      </c>
      <c r="D135" s="814" t="s">
        <v>1777</v>
      </c>
      <c r="E135" s="129"/>
      <c r="F135" s="814" t="s">
        <v>1810</v>
      </c>
      <c r="G135" s="1690"/>
      <c r="H135" s="1690"/>
    </row>
    <row r="136" spans="1:8" ht="19.899999999999999" customHeight="1" x14ac:dyDescent="0.25">
      <c r="A136" s="132" t="s">
        <v>1726</v>
      </c>
      <c r="B136" s="905" t="s">
        <v>34</v>
      </c>
      <c r="D136" s="814" t="s">
        <v>1777</v>
      </c>
      <c r="E136" s="129"/>
      <c r="F136" s="814" t="s">
        <v>1808</v>
      </c>
      <c r="G136" s="1690"/>
      <c r="H136" s="1690"/>
    </row>
    <row r="137" spans="1:8" ht="19.899999999999999" customHeight="1" x14ac:dyDescent="0.25">
      <c r="A137" s="1946" t="str">
        <f>A34</f>
        <v>Схема функциональная</v>
      </c>
      <c r="B137" s="1947"/>
      <c r="D137" s="1694" t="s">
        <v>66</v>
      </c>
      <c r="E137" s="1694" t="s">
        <v>65</v>
      </c>
      <c r="F137" s="1694" t="s">
        <v>64</v>
      </c>
      <c r="G137" s="1690"/>
      <c r="H137" s="1690"/>
    </row>
    <row r="138" spans="1:8" ht="19.899999999999999" customHeight="1" x14ac:dyDescent="0.25">
      <c r="A138" s="132" t="s">
        <v>1727</v>
      </c>
      <c r="B138" s="905" t="s">
        <v>33</v>
      </c>
      <c r="D138" s="129"/>
      <c r="E138" s="814" t="s">
        <v>1776</v>
      </c>
      <c r="F138" s="814" t="s">
        <v>1810</v>
      </c>
      <c r="G138" s="1690"/>
      <c r="H138" s="1690"/>
    </row>
    <row r="139" spans="1:8" ht="19.899999999999999" customHeight="1" x14ac:dyDescent="0.25">
      <c r="A139" s="132" t="s">
        <v>1728</v>
      </c>
      <c r="B139" s="905" t="s">
        <v>34</v>
      </c>
      <c r="D139" s="129"/>
      <c r="E139" s="814" t="s">
        <v>1776</v>
      </c>
      <c r="F139" s="814" t="s">
        <v>1827</v>
      </c>
      <c r="G139" s="1690"/>
      <c r="H139" s="1690"/>
    </row>
    <row r="140" spans="1:8" ht="19.899999999999999" customHeight="1" x14ac:dyDescent="0.25">
      <c r="A140" s="1946" t="str">
        <f>A38</f>
        <v xml:space="preserve">Пояснительная записка к технорабочему проекту </v>
      </c>
      <c r="B140" s="1947"/>
      <c r="D140" s="1694" t="s">
        <v>66</v>
      </c>
      <c r="E140" s="1694" t="s">
        <v>65</v>
      </c>
      <c r="F140" s="1694" t="s">
        <v>64</v>
      </c>
      <c r="G140" s="1690"/>
      <c r="H140" s="1690"/>
    </row>
    <row r="141" spans="1:8" ht="19.899999999999999" customHeight="1" x14ac:dyDescent="0.25">
      <c r="A141" s="132" t="s">
        <v>1729</v>
      </c>
      <c r="B141" s="905" t="s">
        <v>33</v>
      </c>
      <c r="D141" s="129"/>
      <c r="E141" s="814" t="s">
        <v>1774</v>
      </c>
      <c r="F141" s="814" t="s">
        <v>1829</v>
      </c>
      <c r="G141" s="1690"/>
      <c r="H141" s="1690"/>
    </row>
    <row r="142" spans="1:8" ht="19.899999999999999" customHeight="1" x14ac:dyDescent="0.25">
      <c r="A142" s="132" t="s">
        <v>1730</v>
      </c>
      <c r="B142" s="905" t="s">
        <v>34</v>
      </c>
      <c r="D142" s="129"/>
      <c r="E142" s="814" t="s">
        <v>1774</v>
      </c>
      <c r="F142" s="814" t="s">
        <v>1824</v>
      </c>
      <c r="G142" s="1690"/>
      <c r="H142" s="1690"/>
    </row>
    <row r="143" spans="1:8" ht="19.899999999999999" customHeight="1" x14ac:dyDescent="0.25">
      <c r="A143" s="1946" t="str">
        <f>A42</f>
        <v>Спецификация оборудования</v>
      </c>
      <c r="B143" s="1947"/>
      <c r="D143" s="1694" t="s">
        <v>66</v>
      </c>
      <c r="E143" s="1694" t="s">
        <v>65</v>
      </c>
      <c r="F143" s="1694" t="s">
        <v>64</v>
      </c>
      <c r="G143" s="1690"/>
      <c r="H143" s="1690"/>
    </row>
    <row r="144" spans="1:8" ht="19.899999999999999" customHeight="1" x14ac:dyDescent="0.25">
      <c r="A144" s="132" t="s">
        <v>1731</v>
      </c>
      <c r="B144" s="905" t="s">
        <v>33</v>
      </c>
      <c r="D144" s="814" t="s">
        <v>1773</v>
      </c>
      <c r="E144" s="129"/>
      <c r="F144" s="129"/>
      <c r="G144" s="1690"/>
      <c r="H144" s="1690"/>
    </row>
    <row r="145" spans="1:8" ht="19.899999999999999" customHeight="1" x14ac:dyDescent="0.25">
      <c r="A145" s="132" t="s">
        <v>1732</v>
      </c>
      <c r="B145" s="905" t="s">
        <v>34</v>
      </c>
      <c r="D145" s="814" t="s">
        <v>1773</v>
      </c>
      <c r="E145" s="129"/>
      <c r="F145" s="129"/>
      <c r="G145" s="1690"/>
      <c r="H145" s="1690"/>
    </row>
    <row r="146" spans="1:8" ht="19.899999999999999" customHeight="1" x14ac:dyDescent="0.25">
      <c r="A146" s="1946" t="str">
        <f>A45</f>
        <v>Инструкция по установке и настройке</v>
      </c>
      <c r="B146" s="1947"/>
      <c r="D146" s="1694" t="s">
        <v>66</v>
      </c>
      <c r="E146" s="1694" t="s">
        <v>65</v>
      </c>
      <c r="F146" s="1694" t="s">
        <v>64</v>
      </c>
      <c r="G146" s="1690"/>
      <c r="H146" s="1690"/>
    </row>
    <row r="147" spans="1:8" ht="19.899999999999999" customHeight="1" x14ac:dyDescent="0.25">
      <c r="A147" s="132" t="s">
        <v>1733</v>
      </c>
      <c r="B147" s="905" t="s">
        <v>33</v>
      </c>
      <c r="D147" s="129"/>
      <c r="E147" s="814" t="s">
        <v>1776</v>
      </c>
      <c r="F147" s="814" t="s">
        <v>1810</v>
      </c>
      <c r="G147" s="1690"/>
      <c r="H147" s="1690"/>
    </row>
    <row r="148" spans="1:8" ht="19.899999999999999" customHeight="1" x14ac:dyDescent="0.25">
      <c r="A148" s="132" t="s">
        <v>1734</v>
      </c>
      <c r="B148" s="905" t="s">
        <v>34</v>
      </c>
      <c r="D148" s="129"/>
      <c r="E148" s="814" t="s">
        <v>1776</v>
      </c>
      <c r="F148" s="814" t="s">
        <v>1810</v>
      </c>
      <c r="G148" s="1690"/>
      <c r="H148" s="1690"/>
    </row>
    <row r="149" spans="1:8" ht="19.899999999999999" customHeight="1" x14ac:dyDescent="0.25">
      <c r="A149" s="1946" t="str">
        <f>A48</f>
        <v>Схема соединений внешних проводок</v>
      </c>
      <c r="B149" s="1947"/>
      <c r="D149" s="1694" t="s">
        <v>66</v>
      </c>
      <c r="E149" s="1694" t="s">
        <v>65</v>
      </c>
      <c r="F149" s="1694" t="s">
        <v>64</v>
      </c>
      <c r="G149" s="1690"/>
      <c r="H149" s="1690"/>
    </row>
    <row r="150" spans="1:8" ht="19.899999999999999" customHeight="1" x14ac:dyDescent="0.25">
      <c r="A150" s="132" t="s">
        <v>1735</v>
      </c>
      <c r="B150" s="905" t="s">
        <v>33</v>
      </c>
      <c r="D150" s="814" t="s">
        <v>1773</v>
      </c>
      <c r="E150" s="129"/>
      <c r="F150" s="814" t="s">
        <v>1804</v>
      </c>
      <c r="G150" s="1690"/>
      <c r="H150" s="1690"/>
    </row>
    <row r="151" spans="1:8" ht="19.899999999999999" customHeight="1" x14ac:dyDescent="0.25">
      <c r="A151" s="132" t="s">
        <v>1736</v>
      </c>
      <c r="B151" s="905" t="s">
        <v>34</v>
      </c>
      <c r="D151" s="814" t="s">
        <v>1773</v>
      </c>
      <c r="E151" s="129"/>
      <c r="F151" s="814" t="s">
        <v>1804</v>
      </c>
      <c r="G151" s="1690"/>
      <c r="H151" s="1690"/>
    </row>
    <row r="152" spans="1:8" ht="19.899999999999999" customHeight="1" x14ac:dyDescent="0.25">
      <c r="A152" s="1946" t="str">
        <f>A51</f>
        <v>Таблица соединений и подключений</v>
      </c>
      <c r="B152" s="1947"/>
      <c r="D152" s="1694" t="s">
        <v>66</v>
      </c>
      <c r="E152" s="1694" t="s">
        <v>65</v>
      </c>
      <c r="F152" s="1694" t="s">
        <v>64</v>
      </c>
      <c r="G152" s="1690"/>
      <c r="H152" s="1690"/>
    </row>
    <row r="153" spans="1:8" ht="19.899999999999999" customHeight="1" x14ac:dyDescent="0.25">
      <c r="A153" s="132" t="s">
        <v>1737</v>
      </c>
      <c r="B153" s="905" t="s">
        <v>33</v>
      </c>
      <c r="D153" s="814" t="s">
        <v>1773</v>
      </c>
      <c r="E153" s="129"/>
      <c r="F153" s="814" t="s">
        <v>1804</v>
      </c>
      <c r="G153" s="1690"/>
      <c r="H153" s="1690"/>
    </row>
    <row r="154" spans="1:8" ht="19.899999999999999" customHeight="1" x14ac:dyDescent="0.25">
      <c r="A154" s="132" t="s">
        <v>1738</v>
      </c>
      <c r="B154" s="905" t="s">
        <v>34</v>
      </c>
      <c r="D154" s="814" t="s">
        <v>1773</v>
      </c>
      <c r="E154" s="129"/>
      <c r="F154" s="814" t="s">
        <v>1804</v>
      </c>
      <c r="G154" s="1690"/>
      <c r="H154" s="1690"/>
    </row>
    <row r="155" spans="1:8" ht="19.899999999999999" customHeight="1" x14ac:dyDescent="0.25">
      <c r="A155" s="1946" t="str">
        <f>A54</f>
        <v>План расположения</v>
      </c>
      <c r="B155" s="1947"/>
      <c r="D155" s="1694" t="s">
        <v>66</v>
      </c>
      <c r="E155" s="1694" t="s">
        <v>65</v>
      </c>
      <c r="F155" s="1694" t="s">
        <v>64</v>
      </c>
      <c r="G155" s="1690"/>
      <c r="H155" s="1690"/>
    </row>
    <row r="156" spans="1:8" ht="19.899999999999999" customHeight="1" x14ac:dyDescent="0.25">
      <c r="A156" s="132" t="s">
        <v>1739</v>
      </c>
      <c r="B156" s="905" t="s">
        <v>33</v>
      </c>
      <c r="D156" s="814" t="s">
        <v>1777</v>
      </c>
      <c r="E156" s="129"/>
      <c r="F156" s="814" t="s">
        <v>1804</v>
      </c>
      <c r="G156" s="1690"/>
      <c r="H156" s="1690"/>
    </row>
    <row r="157" spans="1:8" ht="19.899999999999999" customHeight="1" x14ac:dyDescent="0.25">
      <c r="A157" s="132" t="s">
        <v>1740</v>
      </c>
      <c r="B157" s="905" t="s">
        <v>34</v>
      </c>
      <c r="D157" s="814" t="s">
        <v>1777</v>
      </c>
      <c r="E157" s="129"/>
      <c r="F157" s="814" t="s">
        <v>1804</v>
      </c>
      <c r="G157" s="1690"/>
      <c r="H157" s="1690"/>
    </row>
    <row r="158" spans="1:8" ht="19.899999999999999" customHeight="1" x14ac:dyDescent="0.25">
      <c r="A158" s="1946" t="str">
        <f>A57</f>
        <v>Паспорт</v>
      </c>
      <c r="B158" s="1947"/>
      <c r="D158" s="1694" t="s">
        <v>66</v>
      </c>
      <c r="E158" s="1694" t="s">
        <v>65</v>
      </c>
      <c r="F158" s="1694" t="s">
        <v>64</v>
      </c>
      <c r="G158" s="1690"/>
      <c r="H158" s="1690"/>
    </row>
    <row r="159" spans="1:8" ht="19.899999999999999" customHeight="1" x14ac:dyDescent="0.25">
      <c r="A159" s="132" t="s">
        <v>1748</v>
      </c>
      <c r="B159" s="905" t="s">
        <v>33</v>
      </c>
      <c r="D159" s="129"/>
      <c r="E159" s="814" t="s">
        <v>1774</v>
      </c>
      <c r="F159" s="814" t="s">
        <v>1813</v>
      </c>
      <c r="G159" s="1690"/>
      <c r="H159" s="1690"/>
    </row>
    <row r="160" spans="1:8" ht="19.899999999999999" customHeight="1" x14ac:dyDescent="0.25">
      <c r="A160" s="132" t="s">
        <v>1747</v>
      </c>
      <c r="B160" s="905" t="s">
        <v>34</v>
      </c>
      <c r="D160" s="129"/>
      <c r="E160" s="814" t="s">
        <v>1774</v>
      </c>
      <c r="F160" s="814" t="s">
        <v>1824</v>
      </c>
      <c r="G160" s="1690"/>
      <c r="H160" s="1690"/>
    </row>
    <row r="161" spans="1:8" ht="19.899999999999999" customHeight="1" x14ac:dyDescent="0.25">
      <c r="A161" s="1946" t="str">
        <f>A60</f>
        <v>ПиМИ</v>
      </c>
      <c r="B161" s="1947"/>
      <c r="D161" s="1694" t="s">
        <v>66</v>
      </c>
      <c r="E161" s="1694" t="s">
        <v>65</v>
      </c>
      <c r="F161" s="1694" t="s">
        <v>64</v>
      </c>
      <c r="G161" s="1690"/>
      <c r="H161" s="1690"/>
    </row>
    <row r="162" spans="1:8" ht="19.899999999999999" customHeight="1" x14ac:dyDescent="0.25">
      <c r="A162" s="132" t="s">
        <v>1746</v>
      </c>
      <c r="B162" s="905" t="s">
        <v>33</v>
      </c>
      <c r="D162" s="129"/>
      <c r="E162" s="814" t="s">
        <v>1776</v>
      </c>
      <c r="F162" s="814" t="s">
        <v>1810</v>
      </c>
      <c r="G162" s="1690"/>
      <c r="H162" s="1690"/>
    </row>
    <row r="163" spans="1:8" ht="19.899999999999999" customHeight="1" x14ac:dyDescent="0.25">
      <c r="A163" s="132" t="s">
        <v>1745</v>
      </c>
      <c r="B163" s="905" t="s">
        <v>34</v>
      </c>
      <c r="D163" s="129"/>
      <c r="E163" s="814" t="s">
        <v>1776</v>
      </c>
      <c r="F163" s="814" t="s">
        <v>1811</v>
      </c>
      <c r="G163" s="1690"/>
      <c r="H163" s="1690"/>
    </row>
    <row r="164" spans="1:8" ht="19.899999999999999" customHeight="1" x14ac:dyDescent="0.25">
      <c r="A164" s="1946" t="str">
        <f>A63</f>
        <v>Технические условия для монтажа оборудования</v>
      </c>
      <c r="B164" s="1947"/>
      <c r="D164" s="1694" t="s">
        <v>66</v>
      </c>
      <c r="E164" s="1694" t="s">
        <v>65</v>
      </c>
      <c r="F164" s="1694" t="s">
        <v>64</v>
      </c>
      <c r="G164" s="1690"/>
      <c r="H164" s="1690"/>
    </row>
    <row r="165" spans="1:8" ht="19.899999999999999" customHeight="1" x14ac:dyDescent="0.25">
      <c r="A165" s="132" t="s">
        <v>1744</v>
      </c>
      <c r="B165" s="905" t="s">
        <v>33</v>
      </c>
      <c r="D165" s="814"/>
      <c r="E165" s="129"/>
      <c r="F165" s="129"/>
      <c r="G165" s="1690"/>
      <c r="H165" s="1690"/>
    </row>
    <row r="166" spans="1:8" ht="19.899999999999999" customHeight="1" x14ac:dyDescent="0.25">
      <c r="A166" s="132" t="s">
        <v>1743</v>
      </c>
      <c r="B166" s="905" t="s">
        <v>34</v>
      </c>
      <c r="D166" s="814"/>
      <c r="E166" s="129"/>
      <c r="F166" s="129"/>
      <c r="G166" s="1690"/>
      <c r="H166" s="1690"/>
    </row>
    <row r="167" spans="1:8" ht="19.899999999999999" customHeight="1" x14ac:dyDescent="0.25">
      <c r="A167" s="1946" t="str">
        <f>A66</f>
        <v>Эскизная схема расположения оборудования</v>
      </c>
      <c r="B167" s="1947"/>
      <c r="D167" s="1694" t="s">
        <v>66</v>
      </c>
      <c r="E167" s="1694" t="s">
        <v>65</v>
      </c>
      <c r="F167" s="1694" t="s">
        <v>64</v>
      </c>
      <c r="G167" s="1690"/>
      <c r="H167" s="1690"/>
    </row>
    <row r="168" spans="1:8" ht="19.899999999999999" customHeight="1" x14ac:dyDescent="0.25">
      <c r="A168" s="132" t="s">
        <v>1741</v>
      </c>
      <c r="B168" s="905" t="s">
        <v>33</v>
      </c>
      <c r="D168" s="814" t="s">
        <v>1777</v>
      </c>
      <c r="E168" s="129"/>
      <c r="F168" s="814" t="s">
        <v>1804</v>
      </c>
      <c r="G168" s="1690"/>
      <c r="H168" s="1690"/>
    </row>
    <row r="169" spans="1:8" ht="19.899999999999999" customHeight="1" x14ac:dyDescent="0.25">
      <c r="A169" s="132" t="s">
        <v>1742</v>
      </c>
      <c r="B169" s="905" t="s">
        <v>34</v>
      </c>
      <c r="D169" s="814" t="s">
        <v>1777</v>
      </c>
      <c r="E169" s="129"/>
      <c r="F169" s="814" t="s">
        <v>1804</v>
      </c>
      <c r="G169" s="1690"/>
      <c r="H169" s="1690"/>
    </row>
    <row r="170" spans="1:8" ht="19.899999999999999" customHeight="1" x14ac:dyDescent="0.25">
      <c r="A170" s="1946" t="str">
        <f>A69</f>
        <v>Сетевая схема L2</v>
      </c>
      <c r="B170" s="1947"/>
      <c r="D170" s="1694" t="s">
        <v>66</v>
      </c>
      <c r="E170" s="1694" t="s">
        <v>65</v>
      </c>
      <c r="F170" s="1694" t="s">
        <v>64</v>
      </c>
      <c r="G170" s="1690"/>
      <c r="H170" s="1690"/>
    </row>
    <row r="171" spans="1:8" ht="19.899999999999999" customHeight="1" x14ac:dyDescent="0.25">
      <c r="A171" s="132" t="s">
        <v>1749</v>
      </c>
      <c r="B171" s="905" t="s">
        <v>33</v>
      </c>
      <c r="D171" s="129"/>
      <c r="E171" s="129"/>
      <c r="F171" s="129"/>
      <c r="G171" s="1690"/>
      <c r="H171" s="1690"/>
    </row>
    <row r="172" spans="1:8" ht="19.899999999999999" customHeight="1" x14ac:dyDescent="0.25">
      <c r="A172" s="132" t="s">
        <v>1750</v>
      </c>
      <c r="B172" s="905" t="s">
        <v>34</v>
      </c>
      <c r="D172" s="129"/>
      <c r="E172" s="129"/>
      <c r="F172" s="129"/>
      <c r="G172" s="1690"/>
      <c r="H172" s="1690"/>
    </row>
    <row r="173" spans="1:8" ht="19.899999999999999" customHeight="1" x14ac:dyDescent="0.25">
      <c r="A173" s="1946" t="str">
        <f>A72</f>
        <v>Сетевая схема L3</v>
      </c>
      <c r="B173" s="1947"/>
      <c r="D173" s="1694" t="s">
        <v>66</v>
      </c>
      <c r="E173" s="1694" t="s">
        <v>65</v>
      </c>
      <c r="F173" s="1694" t="s">
        <v>64</v>
      </c>
      <c r="G173" s="1690"/>
      <c r="H173" s="1690"/>
    </row>
    <row r="174" spans="1:8" ht="19.899999999999999" customHeight="1" x14ac:dyDescent="0.25">
      <c r="A174" s="132" t="s">
        <v>1751</v>
      </c>
      <c r="B174" s="905" t="s">
        <v>33</v>
      </c>
      <c r="D174" s="129"/>
      <c r="E174" s="129"/>
      <c r="F174" s="129"/>
      <c r="G174" s="1690"/>
      <c r="H174" s="1690"/>
    </row>
    <row r="175" spans="1:8" ht="19.899999999999999" customHeight="1" x14ac:dyDescent="0.25">
      <c r="A175" s="132" t="s">
        <v>1752</v>
      </c>
      <c r="B175" s="905" t="s">
        <v>34</v>
      </c>
      <c r="D175" s="129"/>
      <c r="E175" s="129"/>
      <c r="F175" s="129"/>
      <c r="G175" s="1690"/>
      <c r="H175" s="1690"/>
    </row>
    <row r="176" spans="1:8" ht="19.899999999999999" customHeight="1" x14ac:dyDescent="0.25">
      <c r="A176" s="1946" t="str">
        <f>A78</f>
        <v>Принципиальная схема электропитания оборудования (СБ)</v>
      </c>
      <c r="B176" s="1947"/>
      <c r="D176" s="1694" t="s">
        <v>66</v>
      </c>
      <c r="E176" s="1694" t="s">
        <v>65</v>
      </c>
      <c r="F176" s="1694" t="s">
        <v>64</v>
      </c>
      <c r="G176" s="1690"/>
      <c r="H176" s="1690"/>
    </row>
    <row r="177" spans="1:8" ht="19.899999999999999" customHeight="1" x14ac:dyDescent="0.25">
      <c r="A177" s="132" t="s">
        <v>1753</v>
      </c>
      <c r="B177" s="905" t="s">
        <v>33</v>
      </c>
      <c r="D177" s="814" t="s">
        <v>1773</v>
      </c>
      <c r="E177" s="129"/>
      <c r="F177" s="814" t="s">
        <v>1804</v>
      </c>
      <c r="G177" s="1690"/>
      <c r="H177" s="1690"/>
    </row>
    <row r="178" spans="1:8" ht="19.899999999999999" customHeight="1" x14ac:dyDescent="0.25">
      <c r="A178" s="132" t="s">
        <v>1754</v>
      </c>
      <c r="B178" s="905" t="s">
        <v>34</v>
      </c>
      <c r="D178" s="814" t="s">
        <v>1773</v>
      </c>
      <c r="E178" s="129"/>
      <c r="F178" s="814" t="s">
        <v>1804</v>
      </c>
      <c r="G178" s="1690"/>
      <c r="H178" s="1690"/>
    </row>
    <row r="179" spans="1:8" ht="19.899999999999999" customHeight="1" x14ac:dyDescent="0.25">
      <c r="A179" s="1946" t="str">
        <f>A81</f>
        <v>Схема подключения внешних проводок (С5)</v>
      </c>
      <c r="B179" s="1947"/>
      <c r="D179" s="1694" t="s">
        <v>66</v>
      </c>
      <c r="E179" s="1694" t="s">
        <v>65</v>
      </c>
      <c r="F179" s="1694" t="s">
        <v>64</v>
      </c>
      <c r="G179" s="1690"/>
      <c r="H179" s="1690"/>
    </row>
    <row r="180" spans="1:8" ht="19.899999999999999" customHeight="1" x14ac:dyDescent="0.25">
      <c r="A180" s="132" t="s">
        <v>1755</v>
      </c>
      <c r="B180" s="905" t="s">
        <v>33</v>
      </c>
      <c r="D180" s="814" t="s">
        <v>1773</v>
      </c>
      <c r="E180" s="129"/>
      <c r="F180" s="814" t="s">
        <v>1804</v>
      </c>
      <c r="G180" s="1690"/>
      <c r="H180" s="1690"/>
    </row>
    <row r="181" spans="1:8" ht="19.899999999999999" customHeight="1" x14ac:dyDescent="0.25">
      <c r="A181" s="132" t="s">
        <v>1756</v>
      </c>
      <c r="B181" s="905" t="s">
        <v>34</v>
      </c>
      <c r="D181" s="814" t="s">
        <v>1773</v>
      </c>
      <c r="E181" s="129"/>
      <c r="F181" s="814" t="s">
        <v>1804</v>
      </c>
      <c r="G181" s="1690"/>
      <c r="H181" s="1690"/>
    </row>
    <row r="182" spans="1:8" ht="19.899999999999999" customHeight="1" x14ac:dyDescent="0.25">
      <c r="A182" s="1946" t="str">
        <f>A84</f>
        <v>Чертеж установки технических средств (СА)</v>
      </c>
      <c r="B182" s="1947"/>
      <c r="D182" s="1694" t="s">
        <v>66</v>
      </c>
      <c r="E182" s="1694" t="s">
        <v>65</v>
      </c>
      <c r="F182" s="1694" t="s">
        <v>64</v>
      </c>
      <c r="G182" s="1690"/>
      <c r="H182" s="1690"/>
    </row>
    <row r="183" spans="1:8" ht="19.899999999999999" customHeight="1" x14ac:dyDescent="0.25">
      <c r="A183" s="132" t="s">
        <v>1757</v>
      </c>
      <c r="B183" s="905" t="s">
        <v>33</v>
      </c>
      <c r="D183" s="814" t="s">
        <v>1777</v>
      </c>
      <c r="E183" s="129"/>
      <c r="F183" s="814" t="s">
        <v>1804</v>
      </c>
      <c r="G183" s="1690"/>
      <c r="H183" s="1690"/>
    </row>
    <row r="184" spans="1:8" ht="19.899999999999999" customHeight="1" x14ac:dyDescent="0.25">
      <c r="A184" s="132" t="s">
        <v>1758</v>
      </c>
      <c r="B184" s="905" t="s">
        <v>34</v>
      </c>
      <c r="D184" s="814" t="s">
        <v>1777</v>
      </c>
      <c r="E184" s="129"/>
      <c r="F184" s="814" t="s">
        <v>1804</v>
      </c>
      <c r="G184" s="1690"/>
      <c r="H184" s="1690"/>
    </row>
    <row r="185" spans="1:8" ht="19.899999999999999" customHeight="1" x14ac:dyDescent="0.25">
      <c r="A185" s="1946" t="str">
        <f>A88</f>
        <v xml:space="preserve">Ведомость эксплуатационных документов </v>
      </c>
      <c r="B185" s="1947"/>
      <c r="D185" s="1694" t="s">
        <v>66</v>
      </c>
      <c r="E185" s="1694" t="s">
        <v>65</v>
      </c>
      <c r="F185" s="1694" t="s">
        <v>64</v>
      </c>
      <c r="G185" s="1690"/>
      <c r="H185" s="1690"/>
    </row>
    <row r="186" spans="1:8" ht="19.899999999999999" customHeight="1" x14ac:dyDescent="0.25">
      <c r="A186" s="132" t="s">
        <v>1759</v>
      </c>
      <c r="B186" s="905" t="s">
        <v>33</v>
      </c>
      <c r="D186" s="129"/>
      <c r="E186" s="129"/>
      <c r="F186" s="129"/>
      <c r="G186" s="1690"/>
      <c r="H186" s="1690"/>
    </row>
    <row r="187" spans="1:8" ht="19.899999999999999" customHeight="1" x14ac:dyDescent="0.25">
      <c r="A187" s="132" t="s">
        <v>1760</v>
      </c>
      <c r="B187" s="905" t="s">
        <v>34</v>
      </c>
      <c r="D187" s="129"/>
      <c r="E187" s="129"/>
      <c r="F187" s="129"/>
      <c r="G187" s="1690"/>
      <c r="H187" s="1690"/>
    </row>
    <row r="188" spans="1:8" ht="19.899999999999999" customHeight="1" x14ac:dyDescent="0.25">
      <c r="A188" s="1946" t="str">
        <f>A91</f>
        <v>Руководство администратора</v>
      </c>
      <c r="B188" s="1947"/>
      <c r="D188" s="1694" t="s">
        <v>66</v>
      </c>
      <c r="E188" s="1694" t="s">
        <v>65</v>
      </c>
      <c r="F188" s="1694" t="s">
        <v>64</v>
      </c>
      <c r="G188" s="1690"/>
      <c r="H188" s="1690"/>
    </row>
    <row r="189" spans="1:8" ht="19.899999999999999" customHeight="1" x14ac:dyDescent="0.25">
      <c r="A189" s="132" t="s">
        <v>1761</v>
      </c>
      <c r="B189" s="905" t="s">
        <v>33</v>
      </c>
      <c r="D189" s="129"/>
      <c r="E189" s="814" t="s">
        <v>1776</v>
      </c>
      <c r="F189" s="814" t="s">
        <v>1811</v>
      </c>
      <c r="G189" s="1690"/>
      <c r="H189" s="1690"/>
    </row>
    <row r="190" spans="1:8" ht="19.899999999999999" customHeight="1" x14ac:dyDescent="0.25">
      <c r="A190" s="132" t="s">
        <v>1762</v>
      </c>
      <c r="B190" s="905" t="s">
        <v>34</v>
      </c>
      <c r="D190" s="129"/>
      <c r="E190" s="814" t="s">
        <v>1776</v>
      </c>
      <c r="F190" s="814" t="s">
        <v>1809</v>
      </c>
      <c r="G190" s="1690"/>
      <c r="H190" s="1690"/>
    </row>
    <row r="191" spans="1:8" ht="19.899999999999999" customHeight="1" x14ac:dyDescent="0.25">
      <c r="A191" s="1946" t="str">
        <f>A94</f>
        <v xml:space="preserve">Руководство пользователя </v>
      </c>
      <c r="B191" s="1947"/>
      <c r="D191" s="1694" t="s">
        <v>66</v>
      </c>
      <c r="E191" s="1694" t="s">
        <v>65</v>
      </c>
      <c r="F191" s="1694" t="s">
        <v>64</v>
      </c>
      <c r="G191" s="1690"/>
      <c r="H191" s="1690"/>
    </row>
    <row r="192" spans="1:8" ht="19.899999999999999" customHeight="1" x14ac:dyDescent="0.25">
      <c r="A192" s="132" t="s">
        <v>1763</v>
      </c>
      <c r="B192" s="905" t="s">
        <v>33</v>
      </c>
      <c r="D192" s="129"/>
      <c r="E192" s="814" t="s">
        <v>1776</v>
      </c>
      <c r="F192" s="814" t="s">
        <v>1811</v>
      </c>
      <c r="G192" s="1690"/>
      <c r="H192" s="1690"/>
    </row>
    <row r="193" spans="1:8" ht="19.899999999999999" customHeight="1" x14ac:dyDescent="0.25">
      <c r="A193" s="132" t="s">
        <v>1764</v>
      </c>
      <c r="B193" s="905" t="s">
        <v>34</v>
      </c>
      <c r="D193" s="129"/>
      <c r="E193" s="814" t="s">
        <v>1776</v>
      </c>
      <c r="F193" s="814" t="s">
        <v>1809</v>
      </c>
      <c r="G193" s="1690"/>
      <c r="H193" s="1690"/>
    </row>
    <row r="194" spans="1:8" ht="19.899999999999999" customHeight="1" x14ac:dyDescent="0.25">
      <c r="A194" s="1946" t="str">
        <f>A97</f>
        <v>Руководство по мониторингу</v>
      </c>
      <c r="B194" s="1947"/>
      <c r="D194" s="1694" t="s">
        <v>66</v>
      </c>
      <c r="E194" s="1694" t="s">
        <v>65</v>
      </c>
      <c r="F194" s="1694" t="s">
        <v>64</v>
      </c>
      <c r="G194" s="1690"/>
      <c r="H194" s="1690"/>
    </row>
    <row r="195" spans="1:8" ht="19.899999999999999" customHeight="1" x14ac:dyDescent="0.25">
      <c r="A195" s="132" t="s">
        <v>1765</v>
      </c>
      <c r="B195" s="905" t="s">
        <v>33</v>
      </c>
      <c r="D195" s="129"/>
      <c r="E195" s="129"/>
      <c r="F195" s="814" t="s">
        <v>1808</v>
      </c>
      <c r="G195" s="1690"/>
      <c r="H195" s="1690"/>
    </row>
    <row r="196" spans="1:8" ht="19.899999999999999" customHeight="1" x14ac:dyDescent="0.25">
      <c r="A196" s="132" t="s">
        <v>1766</v>
      </c>
      <c r="B196" s="905" t="s">
        <v>34</v>
      </c>
      <c r="D196" s="129"/>
      <c r="E196" s="129"/>
      <c r="F196" s="814" t="s">
        <v>1811</v>
      </c>
      <c r="G196" s="1690"/>
      <c r="H196" s="1690"/>
    </row>
    <row r="197" spans="1:8" ht="19.899999999999999" customHeight="1" x14ac:dyDescent="0.25">
      <c r="A197" s="1946" t="str">
        <f>A100</f>
        <v>План резервного копирования</v>
      </c>
      <c r="B197" s="1947"/>
      <c r="D197" s="1694" t="s">
        <v>66</v>
      </c>
      <c r="E197" s="1694" t="s">
        <v>65</v>
      </c>
      <c r="F197" s="1694" t="s">
        <v>64</v>
      </c>
      <c r="G197" s="1690"/>
      <c r="H197" s="1690"/>
    </row>
    <row r="198" spans="1:8" ht="19.899999999999999" customHeight="1" x14ac:dyDescent="0.25">
      <c r="A198" s="132" t="s">
        <v>1767</v>
      </c>
      <c r="B198" s="905" t="s">
        <v>33</v>
      </c>
      <c r="D198" s="814" t="s">
        <v>1801</v>
      </c>
      <c r="E198" s="129"/>
      <c r="F198" s="814" t="s">
        <v>1808</v>
      </c>
      <c r="G198" s="1690"/>
      <c r="H198" s="1690"/>
    </row>
    <row r="199" spans="1:8" ht="19.899999999999999" customHeight="1" x14ac:dyDescent="0.25">
      <c r="A199" s="132" t="s">
        <v>1768</v>
      </c>
      <c r="B199" s="905" t="s">
        <v>34</v>
      </c>
      <c r="D199" s="814" t="s">
        <v>1816</v>
      </c>
      <c r="E199" s="129"/>
      <c r="F199" s="814" t="s">
        <v>1811</v>
      </c>
      <c r="G199" s="1690"/>
      <c r="H199" s="1690"/>
    </row>
    <row r="200" spans="1:8" ht="19.899999999999999" customHeight="1" x14ac:dyDescent="0.25">
      <c r="A200" s="1946" t="str">
        <f>A103</f>
        <v>План опытной эксплуатации</v>
      </c>
      <c r="B200" s="1947"/>
      <c r="D200" s="1694" t="s">
        <v>66</v>
      </c>
      <c r="E200" s="1694" t="s">
        <v>65</v>
      </c>
      <c r="F200" s="1694" t="s">
        <v>64</v>
      </c>
      <c r="G200" s="1690"/>
      <c r="H200" s="1690"/>
    </row>
    <row r="201" spans="1:8" ht="19.899999999999999" customHeight="1" x14ac:dyDescent="0.25">
      <c r="A201" s="132" t="s">
        <v>1769</v>
      </c>
      <c r="B201" s="905" t="s">
        <v>33</v>
      </c>
      <c r="D201" s="129"/>
      <c r="E201" s="129"/>
      <c r="F201" s="814" t="s">
        <v>1782</v>
      </c>
      <c r="G201" s="1690"/>
      <c r="H201" s="1690"/>
    </row>
    <row r="202" spans="1:8" ht="19.899999999999999" customHeight="1" x14ac:dyDescent="0.25">
      <c r="A202" s="132" t="s">
        <v>1770</v>
      </c>
      <c r="B202" s="905" t="s">
        <v>34</v>
      </c>
      <c r="D202" s="129"/>
      <c r="E202" s="129"/>
      <c r="F202" s="814" t="s">
        <v>1783</v>
      </c>
      <c r="G202" s="1690"/>
      <c r="H202" s="1690"/>
    </row>
  </sheetData>
  <autoFilter ref="A2:AI105"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79">
    <mergeCell ref="A113:B113"/>
    <mergeCell ref="A116:B116"/>
    <mergeCell ref="A119:B119"/>
    <mergeCell ref="A128:B128"/>
    <mergeCell ref="A131:B131"/>
    <mergeCell ref="A122:B122"/>
    <mergeCell ref="A125:B125"/>
    <mergeCell ref="A134:B134"/>
    <mergeCell ref="A137:B137"/>
    <mergeCell ref="A140:B140"/>
    <mergeCell ref="A188:B188"/>
    <mergeCell ref="A191:B191"/>
    <mergeCell ref="A149:B149"/>
    <mergeCell ref="A152:B152"/>
    <mergeCell ref="A155:B155"/>
    <mergeCell ref="A158:B158"/>
    <mergeCell ref="A143:B143"/>
    <mergeCell ref="A146:B146"/>
    <mergeCell ref="A161:B161"/>
    <mergeCell ref="A164:B164"/>
    <mergeCell ref="A167:B167"/>
    <mergeCell ref="A170:B170"/>
    <mergeCell ref="A173:B173"/>
    <mergeCell ref="A194:B194"/>
    <mergeCell ref="A197:B197"/>
    <mergeCell ref="A200:B200"/>
    <mergeCell ref="A176:B176"/>
    <mergeCell ref="A179:B179"/>
    <mergeCell ref="A182:B182"/>
    <mergeCell ref="A185:B185"/>
    <mergeCell ref="A5:A7"/>
    <mergeCell ref="A60:A62"/>
    <mergeCell ref="A97:A99"/>
    <mergeCell ref="A100:A102"/>
    <mergeCell ref="A103:A105"/>
    <mergeCell ref="A75:A77"/>
    <mergeCell ref="A88:A90"/>
    <mergeCell ref="A91:A93"/>
    <mergeCell ref="A94:A96"/>
    <mergeCell ref="A78:A80"/>
    <mergeCell ref="A81:A83"/>
    <mergeCell ref="A84:A86"/>
    <mergeCell ref="A63:A65"/>
    <mergeCell ref="A66:A68"/>
    <mergeCell ref="A69:A71"/>
    <mergeCell ref="A72:A74"/>
    <mergeCell ref="A34:A36"/>
    <mergeCell ref="A38:A40"/>
    <mergeCell ref="A51:A53"/>
    <mergeCell ref="A54:A56"/>
    <mergeCell ref="A57:A59"/>
    <mergeCell ref="D1:G1"/>
    <mergeCell ref="G2:G3"/>
    <mergeCell ref="A48:A50"/>
    <mergeCell ref="H1:K1"/>
    <mergeCell ref="A8:A10"/>
    <mergeCell ref="A12:A14"/>
    <mergeCell ref="A19:A21"/>
    <mergeCell ref="A22:A24"/>
    <mergeCell ref="A16:A18"/>
    <mergeCell ref="K2:K3"/>
    <mergeCell ref="C2:C3"/>
    <mergeCell ref="A42:A44"/>
    <mergeCell ref="A45:A47"/>
    <mergeCell ref="A25:A27"/>
    <mergeCell ref="A28:A30"/>
    <mergeCell ref="A31:A33"/>
    <mergeCell ref="AB1:AE1"/>
    <mergeCell ref="AE2:AE3"/>
    <mergeCell ref="AF1:AI1"/>
    <mergeCell ref="AI2:AI3"/>
    <mergeCell ref="L1:O1"/>
    <mergeCell ref="O2:O3"/>
    <mergeCell ref="X1:AA1"/>
    <mergeCell ref="AA2:AA3"/>
    <mergeCell ref="P1:S1"/>
    <mergeCell ref="S2:S3"/>
    <mergeCell ref="T1:W1"/>
    <mergeCell ref="W2:W3"/>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48" t="s">
        <v>211</v>
      </c>
      <c r="B1" s="1948"/>
      <c r="C1" s="1948"/>
      <c r="D1" s="1948"/>
      <c r="E1" s="1948"/>
      <c r="F1" s="1948"/>
      <c r="G1" s="1948"/>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56" t="s">
        <v>147</v>
      </c>
      <c r="B2" s="1963" t="s">
        <v>272</v>
      </c>
      <c r="C2" s="1958" t="s">
        <v>148</v>
      </c>
      <c r="D2" s="1958" t="s">
        <v>149</v>
      </c>
      <c r="E2" s="1960" t="s">
        <v>150</v>
      </c>
      <c r="F2" s="1961"/>
      <c r="G2" s="1961"/>
      <c r="H2" s="1961"/>
      <c r="I2" s="1961"/>
      <c r="J2" s="1962" t="s">
        <v>151</v>
      </c>
      <c r="K2" s="1962"/>
      <c r="L2" s="1962"/>
      <c r="M2" s="1962"/>
      <c r="N2" s="1962"/>
      <c r="O2" s="1949" t="s">
        <v>152</v>
      </c>
      <c r="P2" s="1950"/>
      <c r="Q2" s="1950"/>
      <c r="R2" s="1950"/>
      <c r="S2" s="1950"/>
      <c r="T2" s="1950"/>
      <c r="U2" s="1950"/>
      <c r="V2" s="1950"/>
      <c r="W2" s="1950"/>
      <c r="X2" s="1950"/>
      <c r="Y2" s="1950"/>
      <c r="Z2" s="1950"/>
      <c r="AA2" s="1950"/>
      <c r="AB2" s="1950"/>
      <c r="AC2" s="1950"/>
      <c r="AD2" s="1950"/>
      <c r="AE2" s="1950"/>
      <c r="AF2" s="1950"/>
      <c r="AG2" s="1951"/>
      <c r="AH2" s="1952" t="s">
        <v>252</v>
      </c>
      <c r="AI2" s="1953"/>
      <c r="AJ2" s="1953"/>
      <c r="AK2" s="1954" t="s">
        <v>253</v>
      </c>
      <c r="AL2" s="1954"/>
      <c r="AM2" s="1955" t="s">
        <v>271</v>
      </c>
      <c r="AN2" s="1955"/>
      <c r="AO2" s="1955"/>
      <c r="AP2" s="1955"/>
      <c r="AQ2" s="1955"/>
      <c r="AR2" s="1955"/>
      <c r="AS2" s="1955"/>
      <c r="AT2" s="1955"/>
      <c r="AU2" s="1955"/>
      <c r="AV2" s="1955"/>
      <c r="AW2" s="1955"/>
      <c r="AX2" s="1955"/>
      <c r="AY2" s="151"/>
    </row>
    <row r="3" spans="1:51" ht="120.75" thickBot="1" x14ac:dyDescent="0.3">
      <c r="A3" s="1957"/>
      <c r="B3" s="1964"/>
      <c r="C3" s="1959"/>
      <c r="D3" s="1959"/>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15" priority="8" operator="greaterThan">
      <formula>0</formula>
    </cfRule>
  </conditionalFormatting>
  <conditionalFormatting sqref="D4:D42 E5:I27 K4:R42 T4:AY42">
    <cfRule type="cellIs" dxfId="14" priority="7" operator="greaterThan">
      <formula>0</formula>
    </cfRule>
  </conditionalFormatting>
  <conditionalFormatting sqref="AZ43:BA43">
    <cfRule type="cellIs" dxfId="13" priority="6" operator="greaterThan">
      <formula>0</formula>
    </cfRule>
  </conditionalFormatting>
  <conditionalFormatting sqref="J5:J42 E4:J4">
    <cfRule type="cellIs" dxfId="12" priority="5" operator="greaterThan">
      <formula>0</formula>
    </cfRule>
  </conditionalFormatting>
  <conditionalFormatting sqref="C28:C42">
    <cfRule type="cellIs" dxfId="11" priority="4" operator="greaterThan">
      <formula>0</formula>
    </cfRule>
  </conditionalFormatting>
  <conditionalFormatting sqref="E38:I42">
    <cfRule type="cellIs" dxfId="10" priority="3" operator="greaterThan">
      <formula>0</formula>
    </cfRule>
  </conditionalFormatting>
  <conditionalFormatting sqref="E28:I37">
    <cfRule type="cellIs" dxfId="9" priority="2" operator="greaterThan">
      <formula>0</formula>
    </cfRule>
  </conditionalFormatting>
  <conditionalFormatting sqref="S4:S42">
    <cfRule type="cellIs" dxfId="8"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68" t="s">
        <v>512</v>
      </c>
      <c r="B1" s="1969"/>
      <c r="C1" s="1970"/>
      <c r="D1" s="281" t="s">
        <v>302</v>
      </c>
      <c r="E1" s="271" t="s">
        <v>301</v>
      </c>
    </row>
    <row r="2" spans="1:5" ht="16.5" thickBot="1" x14ac:dyDescent="0.3">
      <c r="A2" s="1965" t="s">
        <v>448</v>
      </c>
      <c r="B2" s="1966"/>
      <c r="C2" s="1966"/>
      <c r="D2" s="1966"/>
      <c r="E2" s="1967"/>
    </row>
    <row r="3" spans="1:5" ht="45" x14ac:dyDescent="0.25">
      <c r="A3" s="358" t="s">
        <v>0</v>
      </c>
      <c r="B3" s="359" t="s">
        <v>75</v>
      </c>
      <c r="C3" s="360" t="s">
        <v>293</v>
      </c>
      <c r="D3" s="1971" t="s">
        <v>312</v>
      </c>
      <c r="E3" s="276"/>
    </row>
    <row r="4" spans="1:5" ht="30.75" thickBot="1" x14ac:dyDescent="0.3">
      <c r="A4" s="361" t="s">
        <v>449</v>
      </c>
      <c r="B4" s="362" t="s">
        <v>75</v>
      </c>
      <c r="C4" s="363" t="s">
        <v>513</v>
      </c>
      <c r="D4" s="1972"/>
      <c r="E4" s="272"/>
    </row>
    <row r="5" spans="1:5" ht="16.5" thickBot="1" x14ac:dyDescent="0.3">
      <c r="A5" s="1965" t="s">
        <v>1</v>
      </c>
      <c r="B5" s="1966"/>
      <c r="C5" s="1966"/>
      <c r="D5" s="1966"/>
      <c r="E5" s="1967"/>
    </row>
    <row r="6" spans="1:5" ht="30.75" thickBot="1" x14ac:dyDescent="0.3">
      <c r="A6" s="364" t="s">
        <v>2</v>
      </c>
      <c r="B6" s="359" t="s">
        <v>75</v>
      </c>
      <c r="C6" s="365" t="s">
        <v>319</v>
      </c>
      <c r="D6" s="282" t="s">
        <v>306</v>
      </c>
      <c r="E6" s="272"/>
    </row>
    <row r="7" spans="1:5" ht="16.5" thickBot="1" x14ac:dyDescent="0.3">
      <c r="A7" s="1965" t="s">
        <v>3</v>
      </c>
      <c r="B7" s="1966"/>
      <c r="C7" s="1966"/>
      <c r="D7" s="1966"/>
      <c r="E7" s="1967"/>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65" t="s">
        <v>291</v>
      </c>
      <c r="B18" s="1966"/>
      <c r="C18" s="1966"/>
      <c r="D18" s="1966"/>
      <c r="E18" s="1967"/>
    </row>
    <row r="19" spans="1:5" ht="45.75" thickBot="1" x14ac:dyDescent="0.3">
      <c r="A19" s="376" t="s">
        <v>6</v>
      </c>
      <c r="B19" s="359" t="s">
        <v>75</v>
      </c>
      <c r="C19" s="367" t="s">
        <v>320</v>
      </c>
      <c r="D19" s="377" t="s">
        <v>3</v>
      </c>
      <c r="E19" s="273"/>
    </row>
    <row r="20" spans="1:5" ht="16.5" thickBot="1" x14ac:dyDescent="0.3">
      <c r="A20" s="1965" t="s">
        <v>13</v>
      </c>
      <c r="B20" s="1966"/>
      <c r="C20" s="1966"/>
      <c r="D20" s="1966"/>
      <c r="E20" s="1967"/>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65" t="s">
        <v>22</v>
      </c>
      <c r="B36" s="1966"/>
      <c r="C36" s="1966"/>
      <c r="D36" s="1966"/>
      <c r="E36" s="1967"/>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34" t="s">
        <v>360</v>
      </c>
      <c r="E1" s="1934"/>
      <c r="F1" s="1934"/>
      <c r="G1" s="1934"/>
      <c r="H1" s="1934" t="s">
        <v>361</v>
      </c>
      <c r="I1" s="1934"/>
      <c r="J1" s="1934"/>
      <c r="K1" s="1934"/>
      <c r="L1" s="1934" t="s">
        <v>362</v>
      </c>
      <c r="M1" s="1934"/>
      <c r="N1" s="1934"/>
      <c r="O1" s="1934"/>
    </row>
    <row r="2" spans="1:15" ht="31.5" x14ac:dyDescent="0.25">
      <c r="B2" s="41" t="s">
        <v>37</v>
      </c>
      <c r="C2" s="1940" t="s">
        <v>35</v>
      </c>
      <c r="D2" s="547" t="s">
        <v>94</v>
      </c>
      <c r="E2" s="548" t="s">
        <v>203</v>
      </c>
      <c r="F2" s="438" t="s">
        <v>572</v>
      </c>
      <c r="G2" s="1933" t="s">
        <v>38</v>
      </c>
      <c r="H2" s="547" t="s">
        <v>94</v>
      </c>
      <c r="I2" s="548" t="s">
        <v>203</v>
      </c>
      <c r="J2" s="548" t="s">
        <v>572</v>
      </c>
      <c r="K2" s="1933" t="s">
        <v>38</v>
      </c>
      <c r="L2" s="547" t="s">
        <v>94</v>
      </c>
      <c r="M2" s="548" t="s">
        <v>203</v>
      </c>
      <c r="N2" s="548" t="s">
        <v>572</v>
      </c>
      <c r="O2" s="1933" t="s">
        <v>38</v>
      </c>
    </row>
    <row r="3" spans="1:15" ht="16.5" thickBot="1" x14ac:dyDescent="0.3">
      <c r="A3" s="12" t="s">
        <v>36</v>
      </c>
      <c r="B3" s="42">
        <f xml:space="preserve"> 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row>
    <row r="4" spans="1:15" ht="16.5" thickBot="1" x14ac:dyDescent="0.3">
      <c r="A4" s="326" t="s">
        <v>448</v>
      </c>
      <c r="B4" s="327"/>
      <c r="C4" s="327"/>
      <c r="D4" s="327"/>
      <c r="E4" s="327"/>
      <c r="F4" s="327"/>
      <c r="G4" s="327"/>
      <c r="H4" s="327"/>
      <c r="I4" s="327"/>
      <c r="J4" s="327"/>
      <c r="K4" s="327"/>
      <c r="L4" s="327"/>
      <c r="M4" s="327"/>
      <c r="N4" s="327"/>
      <c r="O4" s="396"/>
    </row>
    <row r="5" spans="1:15" x14ac:dyDescent="0.25">
      <c r="A5" s="1942"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42"/>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75"/>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42"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42"/>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42"/>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42"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42"/>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42"/>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39"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38"/>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38"/>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38"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38"/>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38"/>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38"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38"/>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38"/>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38"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38"/>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38"/>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38"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38"/>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38"/>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38"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38"/>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38"/>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38"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38"/>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36"/>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42"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42"/>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42"/>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42"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42"/>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42"/>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35"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35"/>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35"/>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35"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35"/>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35"/>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35"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35"/>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35"/>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35"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35"/>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35"/>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35"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35"/>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35"/>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35"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35"/>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35"/>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35"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35"/>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35"/>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35"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35"/>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35"/>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45"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45"/>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45"/>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35"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35"/>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35"/>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35"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35"/>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35"/>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35"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35"/>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35"/>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35"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35"/>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35"/>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44"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44"/>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44"/>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922"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922"/>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922"/>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73"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73"/>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73"/>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73"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73"/>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73"/>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73"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73"/>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73"/>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73"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73"/>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73"/>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922"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922"/>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74"/>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30" t="s">
        <v>357</v>
      </c>
      <c r="E1" s="1931"/>
      <c r="F1" s="1931"/>
      <c r="G1" s="1932"/>
      <c r="H1" s="1930" t="s">
        <v>358</v>
      </c>
      <c r="I1" s="1931"/>
      <c r="J1" s="1931"/>
      <c r="K1" s="1932"/>
      <c r="L1" s="1930" t="s">
        <v>356</v>
      </c>
      <c r="M1" s="1931"/>
      <c r="N1" s="1931"/>
      <c r="O1" s="1932"/>
      <c r="P1" s="1930" t="s">
        <v>283</v>
      </c>
      <c r="Q1" s="1931"/>
      <c r="R1" s="1931"/>
      <c r="S1" s="1932"/>
    </row>
    <row r="2" spans="1:19" ht="31.5" x14ac:dyDescent="0.25">
      <c r="B2" s="41" t="s">
        <v>37</v>
      </c>
      <c r="C2" s="1940" t="s">
        <v>35</v>
      </c>
      <c r="D2" s="547" t="s">
        <v>184</v>
      </c>
      <c r="E2" s="548" t="s">
        <v>185</v>
      </c>
      <c r="F2" s="548" t="s">
        <v>186</v>
      </c>
      <c r="G2" s="1933" t="s">
        <v>38</v>
      </c>
      <c r="H2" s="547" t="s">
        <v>184</v>
      </c>
      <c r="I2" s="548" t="s">
        <v>185</v>
      </c>
      <c r="J2" s="548" t="s">
        <v>186</v>
      </c>
      <c r="K2" s="1933" t="s">
        <v>38</v>
      </c>
      <c r="L2" s="547" t="s">
        <v>184</v>
      </c>
      <c r="M2" s="548" t="s">
        <v>185</v>
      </c>
      <c r="N2" s="548" t="s">
        <v>186</v>
      </c>
      <c r="O2" s="1933" t="s">
        <v>38</v>
      </c>
      <c r="P2" s="547" t="s">
        <v>184</v>
      </c>
      <c r="Q2" s="548" t="s">
        <v>185</v>
      </c>
      <c r="R2" s="548" t="s">
        <v>186</v>
      </c>
      <c r="S2" s="1933" t="s">
        <v>38</v>
      </c>
    </row>
    <row r="3" spans="1:19" ht="16.5" thickBot="1" x14ac:dyDescent="0.3">
      <c r="A3" s="12" t="s">
        <v>36</v>
      </c>
      <c r="B3" s="42">
        <f>ТрЗ_ОП!F5</f>
        <v>1</v>
      </c>
      <c r="C3" s="1941"/>
      <c r="D3" s="40">
        <f>INDEX(ТрЗ_ОП!$P$11:$P$102,MATCH(D2,ТрЗ_ОП!$O$11:$O$102,0))</f>
        <v>0</v>
      </c>
      <c r="E3" s="40">
        <f>INDEX(ТрЗ_ОП!$P$11:$P$102,MATCH(E2,ТрЗ_ОП!$O$11:$O$102,0))</f>
        <v>0</v>
      </c>
      <c r="F3" s="40">
        <f>INDEX(ТрЗ_ОП!$P$11:$P$102,MATCH(F2,ТрЗ_ОП!$O$11:$O$102,0))</f>
        <v>0</v>
      </c>
      <c r="G3" s="1933"/>
      <c r="H3" s="40">
        <f>INDEX(ТрЗ_ОП!$P$11:$P$102,MATCH(H2,ТрЗ_ОП!$O$11:$O$102,0))</f>
        <v>0</v>
      </c>
      <c r="I3" s="40">
        <f>INDEX(ТрЗ_ОП!$P$11:$P$102,MATCH(I2,ТрЗ_ОП!$O$11:$O$102,0))</f>
        <v>0</v>
      </c>
      <c r="J3" s="40">
        <f>INDEX(ТрЗ_ОП!$P$11:$P$102,MATCH(J2,ТрЗ_ОП!$O$11:$O$102,0))</f>
        <v>0</v>
      </c>
      <c r="K3" s="1933"/>
      <c r="L3" s="40">
        <f>INDEX(ТрЗ_ОП!$P$11:$P$102,MATCH(L2,ТрЗ_ОП!$O$11:$O$102,0))</f>
        <v>0</v>
      </c>
      <c r="M3" s="40">
        <f>INDEX(ТрЗ_ОП!$P$11:$P$102,MATCH(M2,ТрЗ_ОП!$O$11:$O$102,0))</f>
        <v>0</v>
      </c>
      <c r="N3" s="40">
        <f>INDEX(ТрЗ_ОП!$P$11:$P$102,MATCH(N2,ТрЗ_ОП!$O$11:$O$102,0))</f>
        <v>0</v>
      </c>
      <c r="O3" s="1933"/>
      <c r="P3" s="40">
        <f>INDEX(ТрЗ_ОП!$P$11:$P$102,MATCH(P2,ТрЗ_ОП!$O$11:$O$102,0))</f>
        <v>0</v>
      </c>
      <c r="Q3" s="40">
        <f>INDEX(ТрЗ_ОП!$P$11:$P$102,MATCH(Q2,ТрЗ_ОП!$O$11:$O$102,0))</f>
        <v>0</v>
      </c>
      <c r="R3" s="40">
        <f>INDEX(ТрЗ_ОП!$P$11:$P$102,MATCH(R2,ТрЗ_ОП!$O$11:$O$102,0))</f>
        <v>0</v>
      </c>
      <c r="S3" s="1976"/>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37"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37"/>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39"/>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42"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42"/>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42"/>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42"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42"/>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42"/>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39"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38"/>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38"/>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38"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38"/>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38"/>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38"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38"/>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38"/>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38"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38"/>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38"/>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38"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38"/>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38"/>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38"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38"/>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38"/>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38"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38"/>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36"/>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42"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42"/>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42"/>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42"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42"/>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42"/>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35"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35"/>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35"/>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35"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35"/>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35"/>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35"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35"/>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35"/>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35"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35"/>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35"/>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35"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35"/>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35"/>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35"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35"/>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35"/>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35"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35"/>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35"/>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35"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35"/>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35"/>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45"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45"/>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45"/>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35"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35"/>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35"/>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73"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73"/>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73"/>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35"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35"/>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35"/>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35"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35"/>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35"/>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44"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44"/>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44"/>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42"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42"/>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42"/>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73"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73"/>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73"/>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73"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73"/>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73"/>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73"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73"/>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73"/>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73"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73"/>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73"/>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922"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922"/>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74"/>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79" t="s">
        <v>288</v>
      </c>
      <c r="E1" s="1934"/>
      <c r="F1" s="1934"/>
      <c r="G1" s="1980"/>
      <c r="H1" s="1930" t="s">
        <v>371</v>
      </c>
      <c r="I1" s="1931"/>
      <c r="J1" s="1931"/>
      <c r="K1" s="1932"/>
    </row>
    <row r="2" spans="1:11" ht="15.75" x14ac:dyDescent="0.25">
      <c r="B2" s="41" t="s">
        <v>37</v>
      </c>
      <c r="C2" s="1940" t="s">
        <v>35</v>
      </c>
      <c r="D2" s="684" t="s">
        <v>574</v>
      </c>
      <c r="E2" s="645" t="s">
        <v>92</v>
      </c>
      <c r="F2" s="645" t="s">
        <v>573</v>
      </c>
      <c r="G2" s="1978" t="s">
        <v>38</v>
      </c>
      <c r="H2" s="684" t="s">
        <v>574</v>
      </c>
      <c r="I2" s="645" t="s">
        <v>92</v>
      </c>
      <c r="J2" s="645" t="s">
        <v>573</v>
      </c>
      <c r="K2" s="1977" t="s">
        <v>38</v>
      </c>
    </row>
    <row r="3" spans="1:11" ht="16.5" thickBot="1" x14ac:dyDescent="0.3">
      <c r="A3" s="12" t="s">
        <v>36</v>
      </c>
      <c r="B3" s="42">
        <f>ТрЗ_ОП!F5</f>
        <v>1</v>
      </c>
      <c r="C3" s="1941"/>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78"/>
    </row>
    <row r="4" spans="1:11" ht="16.5" thickBot="1" x14ac:dyDescent="0.3">
      <c r="A4" s="326" t="s">
        <v>448</v>
      </c>
      <c r="B4" s="327"/>
      <c r="C4" s="327"/>
      <c r="D4" s="327"/>
      <c r="E4" s="327"/>
      <c r="F4" s="327"/>
      <c r="G4" s="327"/>
      <c r="H4" s="327"/>
      <c r="I4" s="327"/>
      <c r="J4" s="327"/>
      <c r="K4" s="396"/>
    </row>
    <row r="5" spans="1:11" x14ac:dyDescent="0.25">
      <c r="A5" s="1981"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42"/>
      <c r="B6" s="19" t="s">
        <v>33</v>
      </c>
      <c r="C6" s="198"/>
      <c r="D6" s="647">
        <v>2</v>
      </c>
      <c r="E6" s="615">
        <v>0.5</v>
      </c>
      <c r="F6" s="655">
        <v>0</v>
      </c>
      <c r="G6" s="21">
        <f xml:space="preserve"> SUM(D6:F6) + $C6</f>
        <v>2.5</v>
      </c>
      <c r="H6" s="647">
        <v>2</v>
      </c>
      <c r="I6" s="615">
        <v>0.5</v>
      </c>
      <c r="J6" s="655">
        <v>0</v>
      </c>
      <c r="K6" s="21">
        <f t="shared" si="0"/>
        <v>2.5</v>
      </c>
    </row>
    <row r="7" spans="1:11" x14ac:dyDescent="0.25">
      <c r="A7" s="1975"/>
      <c r="B7" s="19" t="s">
        <v>34</v>
      </c>
      <c r="C7" s="198"/>
      <c r="D7" s="647">
        <v>2.5</v>
      </c>
      <c r="E7" s="615">
        <v>0.5</v>
      </c>
      <c r="F7" s="655">
        <v>0</v>
      </c>
      <c r="G7" s="21">
        <f xml:space="preserve"> SUM(D7:F7) + $C7</f>
        <v>3</v>
      </c>
      <c r="H7" s="647">
        <v>2.5</v>
      </c>
      <c r="I7" s="615">
        <v>0.5</v>
      </c>
      <c r="J7" s="655">
        <v>0</v>
      </c>
      <c r="K7" s="21">
        <f t="shared" si="0"/>
        <v>3</v>
      </c>
    </row>
    <row r="8" spans="1:11" x14ac:dyDescent="0.25">
      <c r="A8" s="1942" t="s">
        <v>449</v>
      </c>
      <c r="B8" s="404" t="s">
        <v>32</v>
      </c>
      <c r="C8" s="420"/>
      <c r="D8" s="681">
        <v>1.5</v>
      </c>
      <c r="E8" s="661">
        <v>0.4</v>
      </c>
      <c r="F8" s="686">
        <v>0</v>
      </c>
      <c r="G8" s="230">
        <f xml:space="preserve"> SUM(D8:F8) + $C8</f>
        <v>1.9</v>
      </c>
      <c r="H8" s="681">
        <v>1.5</v>
      </c>
      <c r="I8" s="661">
        <v>0.4</v>
      </c>
      <c r="J8" s="686">
        <v>0</v>
      </c>
      <c r="K8" s="21">
        <f t="shared" si="0"/>
        <v>1.9</v>
      </c>
    </row>
    <row r="9" spans="1:11" x14ac:dyDescent="0.25">
      <c r="A9" s="1942"/>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42"/>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42"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42"/>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42"/>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39"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38"/>
      <c r="B17" s="18" t="s">
        <v>33</v>
      </c>
      <c r="C17" s="198"/>
      <c r="D17" s="648">
        <f>0.5+0.5*D$3</f>
        <v>0.5</v>
      </c>
      <c r="E17" s="616">
        <v>0</v>
      </c>
      <c r="F17" s="646">
        <v>0</v>
      </c>
      <c r="G17" s="21">
        <f t="shared" si="1"/>
        <v>0.5</v>
      </c>
      <c r="H17" s="640">
        <v>1</v>
      </c>
      <c r="I17" s="616">
        <v>0</v>
      </c>
      <c r="J17" s="646">
        <v>0</v>
      </c>
      <c r="K17" s="21">
        <f t="shared" si="2"/>
        <v>1</v>
      </c>
    </row>
    <row r="18" spans="1:11" x14ac:dyDescent="0.25">
      <c r="A18" s="1938"/>
      <c r="B18" s="18" t="s">
        <v>34</v>
      </c>
      <c r="C18" s="198"/>
      <c r="D18" s="648">
        <f>1+0.5*D$3</f>
        <v>1</v>
      </c>
      <c r="E18" s="616">
        <v>0</v>
      </c>
      <c r="F18" s="646">
        <v>0</v>
      </c>
      <c r="G18" s="21">
        <f t="shared" si="1"/>
        <v>1</v>
      </c>
      <c r="H18" s="640">
        <v>1</v>
      </c>
      <c r="I18" s="616">
        <v>0</v>
      </c>
      <c r="J18" s="646">
        <v>0</v>
      </c>
      <c r="K18" s="21">
        <f t="shared" si="2"/>
        <v>1</v>
      </c>
    </row>
    <row r="19" spans="1:11" x14ac:dyDescent="0.25">
      <c r="A19" s="1938" t="s">
        <v>5</v>
      </c>
      <c r="B19" s="19" t="s">
        <v>32</v>
      </c>
      <c r="C19" s="198"/>
      <c r="D19" s="695">
        <v>1</v>
      </c>
      <c r="E19" s="616">
        <v>0</v>
      </c>
      <c r="F19" s="646">
        <v>0</v>
      </c>
      <c r="G19" s="21">
        <f t="shared" si="1"/>
        <v>1</v>
      </c>
      <c r="H19" s="695">
        <v>1</v>
      </c>
      <c r="I19" s="616">
        <v>0</v>
      </c>
      <c r="J19" s="646">
        <v>0</v>
      </c>
      <c r="K19" s="21">
        <f t="shared" si="2"/>
        <v>1</v>
      </c>
    </row>
    <row r="20" spans="1:11" x14ac:dyDescent="0.25">
      <c r="A20" s="1938"/>
      <c r="B20" s="19" t="s">
        <v>33</v>
      </c>
      <c r="C20" s="198"/>
      <c r="D20" s="695">
        <v>1</v>
      </c>
      <c r="E20" s="616">
        <v>0</v>
      </c>
      <c r="F20" s="646">
        <v>0</v>
      </c>
      <c r="G20" s="21">
        <f t="shared" si="1"/>
        <v>1</v>
      </c>
      <c r="H20" s="695">
        <v>1</v>
      </c>
      <c r="I20" s="616">
        <v>0</v>
      </c>
      <c r="J20" s="646">
        <v>0</v>
      </c>
      <c r="K20" s="21">
        <f t="shared" si="2"/>
        <v>1</v>
      </c>
    </row>
    <row r="21" spans="1:11" x14ac:dyDescent="0.25">
      <c r="A21" s="1938"/>
      <c r="B21" s="19" t="s">
        <v>34</v>
      </c>
      <c r="C21" s="198"/>
      <c r="D21" s="695">
        <v>1</v>
      </c>
      <c r="E21" s="616">
        <v>0</v>
      </c>
      <c r="F21" s="646">
        <v>0</v>
      </c>
      <c r="G21" s="21">
        <f t="shared" si="1"/>
        <v>1</v>
      </c>
      <c r="H21" s="695">
        <v>1</v>
      </c>
      <c r="I21" s="616">
        <v>0</v>
      </c>
      <c r="J21" s="646">
        <v>0</v>
      </c>
      <c r="K21" s="21">
        <f t="shared" si="2"/>
        <v>1</v>
      </c>
    </row>
    <row r="22" spans="1:11" x14ac:dyDescent="0.25">
      <c r="A22" s="1938" t="s">
        <v>6</v>
      </c>
      <c r="B22" s="19" t="s">
        <v>32</v>
      </c>
      <c r="C22" s="198"/>
      <c r="D22" s="647">
        <v>4.5</v>
      </c>
      <c r="E22" s="615">
        <v>0.5</v>
      </c>
      <c r="F22" s="655">
        <v>0.5</v>
      </c>
      <c r="G22" s="21">
        <f t="shared" si="1"/>
        <v>5.5</v>
      </c>
      <c r="H22" s="647">
        <v>4.5</v>
      </c>
      <c r="I22" s="615">
        <v>0.5</v>
      </c>
      <c r="J22" s="655">
        <v>0.5</v>
      </c>
      <c r="K22" s="21">
        <f t="shared" si="2"/>
        <v>5.5</v>
      </c>
    </row>
    <row r="23" spans="1:11" x14ac:dyDescent="0.25">
      <c r="A23" s="1938"/>
      <c r="B23" s="19" t="s">
        <v>33</v>
      </c>
      <c r="C23" s="198"/>
      <c r="D23" s="647">
        <v>5</v>
      </c>
      <c r="E23" s="615">
        <v>0.7</v>
      </c>
      <c r="F23" s="655">
        <v>1</v>
      </c>
      <c r="G23" s="21">
        <f t="shared" si="1"/>
        <v>6.7</v>
      </c>
      <c r="H23" s="647">
        <v>5</v>
      </c>
      <c r="I23" s="615">
        <v>0.7</v>
      </c>
      <c r="J23" s="655">
        <v>1</v>
      </c>
      <c r="K23" s="21">
        <f t="shared" si="2"/>
        <v>6.7</v>
      </c>
    </row>
    <row r="24" spans="1:11" x14ac:dyDescent="0.25">
      <c r="A24" s="1938"/>
      <c r="B24" s="19" t="s">
        <v>34</v>
      </c>
      <c r="C24" s="198"/>
      <c r="D24" s="647">
        <v>5.5</v>
      </c>
      <c r="E24" s="615">
        <v>0.7</v>
      </c>
      <c r="F24" s="655">
        <v>1.5</v>
      </c>
      <c r="G24" s="21">
        <f t="shared" si="1"/>
        <v>7.7</v>
      </c>
      <c r="H24" s="647">
        <v>5.5</v>
      </c>
      <c r="I24" s="615">
        <v>0.7</v>
      </c>
      <c r="J24" s="655">
        <v>1.5</v>
      </c>
      <c r="K24" s="21">
        <f t="shared" si="2"/>
        <v>7.7</v>
      </c>
    </row>
    <row r="25" spans="1:11" x14ac:dyDescent="0.25">
      <c r="A25" s="1938" t="s">
        <v>7</v>
      </c>
      <c r="B25" s="19" t="s">
        <v>32</v>
      </c>
      <c r="C25" s="198"/>
      <c r="D25" s="656">
        <f>3+D$3</f>
        <v>3</v>
      </c>
      <c r="E25" s="616">
        <v>0</v>
      </c>
      <c r="F25" s="646">
        <v>1</v>
      </c>
      <c r="G25" s="21">
        <f t="shared" si="1"/>
        <v>4</v>
      </c>
      <c r="H25" s="656">
        <f>3+H$3</f>
        <v>3</v>
      </c>
      <c r="I25" s="616">
        <v>0</v>
      </c>
      <c r="J25" s="646">
        <v>1</v>
      </c>
      <c r="K25" s="21">
        <f t="shared" si="2"/>
        <v>4</v>
      </c>
    </row>
    <row r="26" spans="1:11" x14ac:dyDescent="0.25">
      <c r="A26" s="1938"/>
      <c r="B26" s="19" t="s">
        <v>33</v>
      </c>
      <c r="C26" s="198"/>
      <c r="D26" s="656">
        <f>4+D$3</f>
        <v>4</v>
      </c>
      <c r="E26" s="616">
        <v>0</v>
      </c>
      <c r="F26" s="646">
        <v>1</v>
      </c>
      <c r="G26" s="21">
        <f t="shared" si="1"/>
        <v>5</v>
      </c>
      <c r="H26" s="656">
        <f>4+H$3</f>
        <v>4</v>
      </c>
      <c r="I26" s="616">
        <v>0</v>
      </c>
      <c r="J26" s="646">
        <v>1</v>
      </c>
      <c r="K26" s="21">
        <f t="shared" si="2"/>
        <v>5</v>
      </c>
    </row>
    <row r="27" spans="1:11" x14ac:dyDescent="0.25">
      <c r="A27" s="1938"/>
      <c r="B27" s="19" t="s">
        <v>34</v>
      </c>
      <c r="C27" s="198"/>
      <c r="D27" s="656">
        <f>5+D$3</f>
        <v>5</v>
      </c>
      <c r="E27" s="616">
        <v>0</v>
      </c>
      <c r="F27" s="646">
        <v>2</v>
      </c>
      <c r="G27" s="21">
        <f t="shared" si="1"/>
        <v>7</v>
      </c>
      <c r="H27" s="656">
        <f>5+H$3</f>
        <v>5</v>
      </c>
      <c r="I27" s="616">
        <v>0</v>
      </c>
      <c r="J27" s="646">
        <v>2</v>
      </c>
      <c r="K27" s="21">
        <f t="shared" si="2"/>
        <v>7</v>
      </c>
    </row>
    <row r="28" spans="1:11" x14ac:dyDescent="0.25">
      <c r="A28" s="1938" t="s">
        <v>8</v>
      </c>
      <c r="B28" s="19" t="s">
        <v>32</v>
      </c>
      <c r="C28" s="198"/>
      <c r="D28" s="640">
        <v>4</v>
      </c>
      <c r="E28" s="616">
        <v>0</v>
      </c>
      <c r="F28" s="646">
        <v>0</v>
      </c>
      <c r="G28" s="21">
        <f t="shared" si="1"/>
        <v>4</v>
      </c>
      <c r="H28" s="640">
        <v>4</v>
      </c>
      <c r="I28" s="616">
        <v>0</v>
      </c>
      <c r="J28" s="646">
        <v>0</v>
      </c>
      <c r="K28" s="21">
        <f t="shared" si="2"/>
        <v>4</v>
      </c>
    </row>
    <row r="29" spans="1:11" x14ac:dyDescent="0.25">
      <c r="A29" s="1938"/>
      <c r="B29" s="19" t="s">
        <v>33</v>
      </c>
      <c r="C29" s="198"/>
      <c r="D29" s="640">
        <v>4</v>
      </c>
      <c r="E29" s="616">
        <v>0</v>
      </c>
      <c r="F29" s="646">
        <v>0</v>
      </c>
      <c r="G29" s="21">
        <f t="shared" si="1"/>
        <v>4</v>
      </c>
      <c r="H29" s="640">
        <v>4</v>
      </c>
      <c r="I29" s="616">
        <v>0</v>
      </c>
      <c r="J29" s="646">
        <v>0</v>
      </c>
      <c r="K29" s="21">
        <f t="shared" si="2"/>
        <v>4</v>
      </c>
    </row>
    <row r="30" spans="1:11" x14ac:dyDescent="0.25">
      <c r="A30" s="1938"/>
      <c r="B30" s="19" t="s">
        <v>34</v>
      </c>
      <c r="C30" s="198"/>
      <c r="D30" s="640">
        <v>4</v>
      </c>
      <c r="E30" s="616">
        <v>0</v>
      </c>
      <c r="F30" s="646">
        <v>0</v>
      </c>
      <c r="G30" s="21">
        <f t="shared" si="1"/>
        <v>4</v>
      </c>
      <c r="H30" s="640">
        <v>4</v>
      </c>
      <c r="I30" s="616">
        <v>0</v>
      </c>
      <c r="J30" s="646">
        <v>0</v>
      </c>
      <c r="K30" s="21">
        <f t="shared" si="2"/>
        <v>4</v>
      </c>
    </row>
    <row r="31" spans="1:11" x14ac:dyDescent="0.25">
      <c r="A31" s="1938"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38"/>
      <c r="B32" s="19" t="s">
        <v>33</v>
      </c>
      <c r="C32" s="198"/>
      <c r="D32" s="648">
        <f>1+0.5*D$3</f>
        <v>1</v>
      </c>
      <c r="E32" s="616">
        <v>0</v>
      </c>
      <c r="F32" s="646">
        <v>0.5</v>
      </c>
      <c r="G32" s="21">
        <f t="shared" si="1"/>
        <v>1.5</v>
      </c>
      <c r="H32" s="648">
        <f>1+0.5*H$3</f>
        <v>1</v>
      </c>
      <c r="I32" s="616">
        <v>0</v>
      </c>
      <c r="J32" s="646">
        <v>0.5</v>
      </c>
      <c r="K32" s="21">
        <f t="shared" si="2"/>
        <v>1.5</v>
      </c>
    </row>
    <row r="33" spans="1:11" x14ac:dyDescent="0.25">
      <c r="A33" s="1938"/>
      <c r="B33" s="19" t="s">
        <v>34</v>
      </c>
      <c r="C33" s="198"/>
      <c r="D33" s="648">
        <f>2+0.5*D$3</f>
        <v>2</v>
      </c>
      <c r="E33" s="616">
        <v>0</v>
      </c>
      <c r="F33" s="646">
        <v>0.5</v>
      </c>
      <c r="G33" s="21">
        <f t="shared" si="1"/>
        <v>2.5</v>
      </c>
      <c r="H33" s="648">
        <f>2+0.5*H$3</f>
        <v>2</v>
      </c>
      <c r="I33" s="616">
        <v>0</v>
      </c>
      <c r="J33" s="646">
        <v>0.5</v>
      </c>
      <c r="K33" s="21">
        <f t="shared" si="2"/>
        <v>2.5</v>
      </c>
    </row>
    <row r="34" spans="1:11" x14ac:dyDescent="0.25">
      <c r="A34" s="1938" t="s">
        <v>10</v>
      </c>
      <c r="B34" s="19" t="s">
        <v>32</v>
      </c>
      <c r="C34" s="198"/>
      <c r="D34" s="640">
        <v>1.3</v>
      </c>
      <c r="E34" s="616">
        <v>0</v>
      </c>
      <c r="F34" s="646">
        <v>0</v>
      </c>
      <c r="G34" s="21">
        <f t="shared" si="1"/>
        <v>1.3</v>
      </c>
      <c r="H34" s="640">
        <v>1.3</v>
      </c>
      <c r="I34" s="616">
        <v>0</v>
      </c>
      <c r="J34" s="646">
        <v>0</v>
      </c>
      <c r="K34" s="21">
        <f t="shared" si="2"/>
        <v>1.3</v>
      </c>
    </row>
    <row r="35" spans="1:11" x14ac:dyDescent="0.25">
      <c r="A35" s="1938"/>
      <c r="B35" s="19" t="s">
        <v>33</v>
      </c>
      <c r="C35" s="198"/>
      <c r="D35" s="640">
        <v>1.5</v>
      </c>
      <c r="E35" s="616">
        <v>0</v>
      </c>
      <c r="F35" s="646">
        <v>0</v>
      </c>
      <c r="G35" s="21">
        <f t="shared" si="1"/>
        <v>1.5</v>
      </c>
      <c r="H35" s="640">
        <v>1.5</v>
      </c>
      <c r="I35" s="616">
        <v>0</v>
      </c>
      <c r="J35" s="646">
        <v>0</v>
      </c>
      <c r="K35" s="21">
        <f t="shared" si="2"/>
        <v>1.5</v>
      </c>
    </row>
    <row r="36" spans="1:11" ht="15.75" thickBot="1" x14ac:dyDescent="0.3">
      <c r="A36" s="1936"/>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42"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42"/>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42"/>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42"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42"/>
      <c r="B43" s="19" t="s">
        <v>33</v>
      </c>
      <c r="C43" s="198"/>
      <c r="D43" s="648">
        <f>0.5+0.5*D$3</f>
        <v>0.5</v>
      </c>
      <c r="E43" s="616">
        <v>0</v>
      </c>
      <c r="F43" s="646">
        <v>0</v>
      </c>
      <c r="G43" s="21">
        <f t="shared" si="1"/>
        <v>0.5</v>
      </c>
      <c r="H43" s="648">
        <f>0.5+0.5*H$3</f>
        <v>0.5</v>
      </c>
      <c r="I43" s="616">
        <v>0</v>
      </c>
      <c r="J43" s="646">
        <v>0</v>
      </c>
      <c r="K43" s="21">
        <f t="shared" si="3"/>
        <v>0.5</v>
      </c>
    </row>
    <row r="44" spans="1:11" x14ac:dyDescent="0.25">
      <c r="A44" s="1942"/>
      <c r="B44" s="19" t="s">
        <v>34</v>
      </c>
      <c r="C44" s="198"/>
      <c r="D44" s="648">
        <f>1+0.5*D$3</f>
        <v>1</v>
      </c>
      <c r="E44" s="616">
        <v>0</v>
      </c>
      <c r="F44" s="646">
        <v>0</v>
      </c>
      <c r="G44" s="21">
        <f t="shared" si="1"/>
        <v>1</v>
      </c>
      <c r="H44" s="648">
        <f>1+0.5*H$3</f>
        <v>1</v>
      </c>
      <c r="I44" s="616">
        <v>0</v>
      </c>
      <c r="J44" s="646">
        <v>0</v>
      </c>
      <c r="K44" s="21">
        <f t="shared" si="3"/>
        <v>1</v>
      </c>
    </row>
    <row r="45" spans="1:11" x14ac:dyDescent="0.25">
      <c r="A45" s="1935"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35"/>
      <c r="B46" s="19" t="s">
        <v>33</v>
      </c>
      <c r="C46" s="198"/>
      <c r="D46" s="640">
        <v>2.5</v>
      </c>
      <c r="E46" s="616">
        <v>0</v>
      </c>
      <c r="F46" s="646">
        <v>0</v>
      </c>
      <c r="G46" s="21">
        <f t="shared" si="1"/>
        <v>2.5</v>
      </c>
      <c r="H46" s="640">
        <v>2.5</v>
      </c>
      <c r="I46" s="616">
        <v>0</v>
      </c>
      <c r="J46" s="646">
        <v>0</v>
      </c>
      <c r="K46" s="21">
        <f t="shared" si="3"/>
        <v>2.5</v>
      </c>
    </row>
    <row r="47" spans="1:11" x14ac:dyDescent="0.25">
      <c r="A47" s="1935"/>
      <c r="B47" s="19" t="s">
        <v>34</v>
      </c>
      <c r="C47" s="198"/>
      <c r="D47" s="640">
        <v>2.5</v>
      </c>
      <c r="E47" s="616">
        <v>0</v>
      </c>
      <c r="F47" s="646">
        <v>0</v>
      </c>
      <c r="G47" s="21">
        <f t="shared" si="1"/>
        <v>2.5</v>
      </c>
      <c r="H47" s="640">
        <v>2.5</v>
      </c>
      <c r="I47" s="616">
        <v>0</v>
      </c>
      <c r="J47" s="646">
        <v>0</v>
      </c>
      <c r="K47" s="21">
        <f t="shared" si="3"/>
        <v>2.5</v>
      </c>
    </row>
    <row r="48" spans="1:11" x14ac:dyDescent="0.25">
      <c r="A48" s="1935"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35"/>
      <c r="B49" s="19" t="s">
        <v>33</v>
      </c>
      <c r="C49" s="198"/>
      <c r="D49" s="656">
        <f>IF(D$3=0,0,1)</f>
        <v>0</v>
      </c>
      <c r="E49" s="616">
        <v>0</v>
      </c>
      <c r="F49" s="646">
        <v>0</v>
      </c>
      <c r="G49" s="21">
        <f t="shared" si="1"/>
        <v>0</v>
      </c>
      <c r="H49" s="656">
        <f>IF(H$3=0,0,1)</f>
        <v>0</v>
      </c>
      <c r="I49" s="616">
        <v>0</v>
      </c>
      <c r="J49" s="646">
        <v>0</v>
      </c>
      <c r="K49" s="21">
        <f t="shared" si="3"/>
        <v>0</v>
      </c>
    </row>
    <row r="50" spans="1:13" x14ac:dyDescent="0.25">
      <c r="A50" s="1935"/>
      <c r="B50" s="19" t="s">
        <v>34</v>
      </c>
      <c r="C50" s="198"/>
      <c r="D50" s="656">
        <f>IF(D$3=0,0,1)</f>
        <v>0</v>
      </c>
      <c r="E50" s="616">
        <v>0</v>
      </c>
      <c r="F50" s="646">
        <v>0</v>
      </c>
      <c r="G50" s="21">
        <f t="shared" si="1"/>
        <v>0</v>
      </c>
      <c r="H50" s="656">
        <f>IF(H$3=0,0,1)</f>
        <v>0</v>
      </c>
      <c r="I50" s="616">
        <v>0</v>
      </c>
      <c r="J50" s="646">
        <v>0</v>
      </c>
      <c r="K50" s="21">
        <f t="shared" si="3"/>
        <v>0</v>
      </c>
    </row>
    <row r="51" spans="1:13" x14ac:dyDescent="0.25">
      <c r="A51" s="1935" t="s">
        <v>17</v>
      </c>
      <c r="B51" s="19" t="s">
        <v>32</v>
      </c>
      <c r="C51" s="198"/>
      <c r="D51" s="640">
        <v>0.8</v>
      </c>
      <c r="E51" s="616">
        <v>0</v>
      </c>
      <c r="F51" s="646">
        <v>0</v>
      </c>
      <c r="G51" s="21">
        <f t="shared" si="1"/>
        <v>0.8</v>
      </c>
      <c r="H51" s="640">
        <v>0.8</v>
      </c>
      <c r="I51" s="616">
        <v>0</v>
      </c>
      <c r="J51" s="646">
        <v>0</v>
      </c>
      <c r="K51" s="21">
        <f t="shared" si="3"/>
        <v>0.8</v>
      </c>
    </row>
    <row r="52" spans="1:13" x14ac:dyDescent="0.25">
      <c r="A52" s="1935"/>
      <c r="B52" s="19" t="s">
        <v>33</v>
      </c>
      <c r="C52" s="198"/>
      <c r="D52" s="640">
        <v>1</v>
      </c>
      <c r="E52" s="616">
        <v>0</v>
      </c>
      <c r="F52" s="646">
        <v>0</v>
      </c>
      <c r="G52" s="21">
        <f t="shared" si="1"/>
        <v>1</v>
      </c>
      <c r="H52" s="640">
        <v>1</v>
      </c>
      <c r="I52" s="616">
        <v>0</v>
      </c>
      <c r="J52" s="646">
        <v>0</v>
      </c>
      <c r="K52" s="21">
        <f t="shared" si="3"/>
        <v>1</v>
      </c>
    </row>
    <row r="53" spans="1:13" x14ac:dyDescent="0.25">
      <c r="A53" s="1935"/>
      <c r="B53" s="19" t="s">
        <v>34</v>
      </c>
      <c r="C53" s="198"/>
      <c r="D53" s="640">
        <v>1</v>
      </c>
      <c r="E53" s="616">
        <v>0</v>
      </c>
      <c r="F53" s="646">
        <v>0</v>
      </c>
      <c r="G53" s="21">
        <f t="shared" si="1"/>
        <v>1</v>
      </c>
      <c r="H53" s="640">
        <v>1</v>
      </c>
      <c r="I53" s="616">
        <v>0</v>
      </c>
      <c r="J53" s="646">
        <v>0</v>
      </c>
      <c r="K53" s="21">
        <f t="shared" si="3"/>
        <v>1</v>
      </c>
    </row>
    <row r="54" spans="1:13" x14ac:dyDescent="0.25">
      <c r="A54" s="1935" t="s">
        <v>18</v>
      </c>
      <c r="B54" s="19" t="s">
        <v>32</v>
      </c>
      <c r="C54" s="198"/>
      <c r="D54" s="648">
        <f>0.6*D$3</f>
        <v>0</v>
      </c>
      <c r="E54" s="616">
        <v>0</v>
      </c>
      <c r="F54" s="646">
        <v>0</v>
      </c>
      <c r="G54" s="21">
        <f t="shared" si="1"/>
        <v>0</v>
      </c>
      <c r="H54" s="648">
        <f>0.6*H$3</f>
        <v>0</v>
      </c>
      <c r="I54" s="616">
        <v>0</v>
      </c>
      <c r="J54" s="646">
        <v>0</v>
      </c>
      <c r="K54" s="21">
        <f t="shared" si="3"/>
        <v>0</v>
      </c>
    </row>
    <row r="55" spans="1:13" x14ac:dyDescent="0.25">
      <c r="A55" s="1935"/>
      <c r="B55" s="19" t="s">
        <v>33</v>
      </c>
      <c r="C55" s="198"/>
      <c r="D55" s="648">
        <f>0.8*D$3</f>
        <v>0</v>
      </c>
      <c r="E55" s="616">
        <v>0</v>
      </c>
      <c r="F55" s="646">
        <v>0</v>
      </c>
      <c r="G55" s="21">
        <f t="shared" si="1"/>
        <v>0</v>
      </c>
      <c r="H55" s="648">
        <f>0.8*H$3</f>
        <v>0</v>
      </c>
      <c r="I55" s="616">
        <v>0</v>
      </c>
      <c r="J55" s="646">
        <v>0</v>
      </c>
      <c r="K55" s="21">
        <f t="shared" si="3"/>
        <v>0</v>
      </c>
    </row>
    <row r="56" spans="1:13" x14ac:dyDescent="0.25">
      <c r="A56" s="1935"/>
      <c r="B56" s="19" t="s">
        <v>34</v>
      </c>
      <c r="C56" s="198"/>
      <c r="D56" s="648">
        <f>0.8*D$3</f>
        <v>0</v>
      </c>
      <c r="E56" s="616">
        <v>0</v>
      </c>
      <c r="F56" s="646">
        <v>0</v>
      </c>
      <c r="G56" s="21">
        <f t="shared" si="1"/>
        <v>0</v>
      </c>
      <c r="H56" s="648">
        <f>0.8*H$3</f>
        <v>0</v>
      </c>
      <c r="I56" s="616">
        <v>0</v>
      </c>
      <c r="J56" s="646">
        <v>0</v>
      </c>
      <c r="K56" s="21">
        <f t="shared" si="3"/>
        <v>0</v>
      </c>
    </row>
    <row r="57" spans="1:13" x14ac:dyDescent="0.25">
      <c r="A57" s="1935" t="s">
        <v>19</v>
      </c>
      <c r="B57" s="19" t="s">
        <v>32</v>
      </c>
      <c r="C57" s="198"/>
      <c r="D57" s="640">
        <v>1</v>
      </c>
      <c r="E57" s="616">
        <v>0</v>
      </c>
      <c r="F57" s="646">
        <v>0</v>
      </c>
      <c r="G57" s="21">
        <f t="shared" si="1"/>
        <v>1</v>
      </c>
      <c r="H57" s="640">
        <v>1</v>
      </c>
      <c r="I57" s="616">
        <v>0</v>
      </c>
      <c r="J57" s="646">
        <v>0</v>
      </c>
      <c r="K57" s="21">
        <f t="shared" si="3"/>
        <v>1</v>
      </c>
    </row>
    <row r="58" spans="1:13" x14ac:dyDescent="0.25">
      <c r="A58" s="1935"/>
      <c r="B58" s="19" t="s">
        <v>33</v>
      </c>
      <c r="C58" s="198"/>
      <c r="D58" s="640">
        <v>2</v>
      </c>
      <c r="E58" s="616">
        <v>0</v>
      </c>
      <c r="F58" s="646">
        <v>0</v>
      </c>
      <c r="G58" s="21">
        <f t="shared" si="1"/>
        <v>2</v>
      </c>
      <c r="H58" s="640">
        <v>2</v>
      </c>
      <c r="I58" s="616">
        <v>0</v>
      </c>
      <c r="J58" s="646">
        <v>0</v>
      </c>
      <c r="K58" s="21">
        <f t="shared" si="3"/>
        <v>2</v>
      </c>
    </row>
    <row r="59" spans="1:13" x14ac:dyDescent="0.25">
      <c r="A59" s="1935"/>
      <c r="B59" s="19" t="s">
        <v>34</v>
      </c>
      <c r="C59" s="198"/>
      <c r="D59" s="640">
        <v>4</v>
      </c>
      <c r="E59" s="616">
        <v>0</v>
      </c>
      <c r="F59" s="646">
        <v>0</v>
      </c>
      <c r="G59" s="21">
        <f t="shared" si="1"/>
        <v>4</v>
      </c>
      <c r="H59" s="640">
        <v>4</v>
      </c>
      <c r="I59" s="616">
        <v>0</v>
      </c>
      <c r="J59" s="646">
        <v>0</v>
      </c>
      <c r="K59" s="21">
        <f t="shared" si="3"/>
        <v>4</v>
      </c>
    </row>
    <row r="60" spans="1:13" x14ac:dyDescent="0.25">
      <c r="A60" s="1935"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35"/>
      <c r="B61" s="19" t="s">
        <v>33</v>
      </c>
      <c r="C61" s="198"/>
      <c r="D61" s="640">
        <v>4</v>
      </c>
      <c r="E61" s="630">
        <f>0.5*E$3</f>
        <v>0</v>
      </c>
      <c r="F61" s="646">
        <v>0</v>
      </c>
      <c r="G61" s="21">
        <f t="shared" si="1"/>
        <v>4</v>
      </c>
      <c r="H61" s="640">
        <v>4</v>
      </c>
      <c r="I61" s="630">
        <f>0.5*I$3</f>
        <v>0</v>
      </c>
      <c r="J61" s="646">
        <v>0</v>
      </c>
      <c r="K61" s="21">
        <f t="shared" si="3"/>
        <v>4</v>
      </c>
    </row>
    <row r="62" spans="1:13" x14ac:dyDescent="0.25">
      <c r="A62" s="1935"/>
      <c r="B62" s="19" t="s">
        <v>34</v>
      </c>
      <c r="C62" s="198"/>
      <c r="D62" s="640">
        <v>5</v>
      </c>
      <c r="E62" s="630">
        <f>0.5*E$3</f>
        <v>0</v>
      </c>
      <c r="F62" s="646">
        <v>0</v>
      </c>
      <c r="G62" s="21">
        <f t="shared" si="1"/>
        <v>5</v>
      </c>
      <c r="H62" s="640">
        <v>5</v>
      </c>
      <c r="I62" s="630">
        <f>0.5*I$3</f>
        <v>0</v>
      </c>
      <c r="J62" s="646">
        <v>0</v>
      </c>
      <c r="K62" s="21">
        <f t="shared" si="3"/>
        <v>5</v>
      </c>
    </row>
    <row r="63" spans="1:13" x14ac:dyDescent="0.25">
      <c r="A63" s="1935" t="s">
        <v>451</v>
      </c>
      <c r="B63" s="19" t="s">
        <v>32</v>
      </c>
      <c r="C63" s="198"/>
      <c r="D63" s="640">
        <v>2</v>
      </c>
      <c r="E63" s="616">
        <v>0</v>
      </c>
      <c r="F63" s="617">
        <v>0</v>
      </c>
      <c r="G63" s="21">
        <f t="shared" si="1"/>
        <v>2</v>
      </c>
      <c r="H63" s="640">
        <v>2</v>
      </c>
      <c r="I63" s="616">
        <v>0</v>
      </c>
      <c r="J63" s="617">
        <v>0</v>
      </c>
      <c r="K63" s="21">
        <f t="shared" si="3"/>
        <v>2</v>
      </c>
    </row>
    <row r="64" spans="1:13" x14ac:dyDescent="0.25">
      <c r="A64" s="1935"/>
      <c r="B64" s="19" t="s">
        <v>33</v>
      </c>
      <c r="C64" s="198"/>
      <c r="D64" s="640">
        <v>2</v>
      </c>
      <c r="E64" s="616">
        <v>0</v>
      </c>
      <c r="F64" s="617">
        <v>0</v>
      </c>
      <c r="G64" s="21">
        <f t="shared" si="1"/>
        <v>2</v>
      </c>
      <c r="H64" s="640">
        <v>2</v>
      </c>
      <c r="I64" s="616">
        <v>0</v>
      </c>
      <c r="J64" s="617">
        <v>0</v>
      </c>
      <c r="K64" s="21">
        <f t="shared" si="3"/>
        <v>2</v>
      </c>
    </row>
    <row r="65" spans="1:11" x14ac:dyDescent="0.25">
      <c r="A65" s="1935"/>
      <c r="B65" s="19" t="s">
        <v>34</v>
      </c>
      <c r="C65" s="198"/>
      <c r="D65" s="640">
        <v>2</v>
      </c>
      <c r="E65" s="616">
        <v>0</v>
      </c>
      <c r="F65" s="617">
        <v>0</v>
      </c>
      <c r="G65" s="21">
        <f t="shared" si="1"/>
        <v>2</v>
      </c>
      <c r="H65" s="640">
        <v>2</v>
      </c>
      <c r="I65" s="616">
        <v>0</v>
      </c>
      <c r="J65" s="617">
        <v>0</v>
      </c>
      <c r="K65" s="21">
        <f t="shared" si="3"/>
        <v>2</v>
      </c>
    </row>
    <row r="66" spans="1:11" x14ac:dyDescent="0.25">
      <c r="A66" s="1935" t="s">
        <v>452</v>
      </c>
      <c r="B66" s="19" t="s">
        <v>32</v>
      </c>
      <c r="C66" s="198"/>
      <c r="D66" s="640">
        <v>1</v>
      </c>
      <c r="E66" s="616">
        <v>0</v>
      </c>
      <c r="F66" s="617">
        <v>0.5</v>
      </c>
      <c r="G66" s="21">
        <f t="shared" si="1"/>
        <v>1.5</v>
      </c>
      <c r="H66" s="640">
        <v>1</v>
      </c>
      <c r="I66" s="616">
        <v>0</v>
      </c>
      <c r="J66" s="617">
        <v>0.5</v>
      </c>
      <c r="K66" s="21">
        <f t="shared" si="3"/>
        <v>1.5</v>
      </c>
    </row>
    <row r="67" spans="1:11" x14ac:dyDescent="0.25">
      <c r="A67" s="1935"/>
      <c r="B67" s="19" t="s">
        <v>33</v>
      </c>
      <c r="C67" s="198"/>
      <c r="D67" s="640">
        <v>1</v>
      </c>
      <c r="E67" s="616">
        <v>0</v>
      </c>
      <c r="F67" s="617">
        <v>0.5</v>
      </c>
      <c r="G67" s="21">
        <f t="shared" si="1"/>
        <v>1.5</v>
      </c>
      <c r="H67" s="640">
        <v>1</v>
      </c>
      <c r="I67" s="616">
        <v>0</v>
      </c>
      <c r="J67" s="617">
        <v>0.5</v>
      </c>
      <c r="K67" s="21">
        <f t="shared" si="3"/>
        <v>1.5</v>
      </c>
    </row>
    <row r="68" spans="1:11" x14ac:dyDescent="0.25">
      <c r="A68" s="1935"/>
      <c r="B68" s="19" t="s">
        <v>34</v>
      </c>
      <c r="C68" s="198"/>
      <c r="D68" s="640">
        <v>1</v>
      </c>
      <c r="E68" s="616">
        <v>0</v>
      </c>
      <c r="F68" s="617">
        <v>0.5</v>
      </c>
      <c r="G68" s="21">
        <f t="shared" si="1"/>
        <v>1.5</v>
      </c>
      <c r="H68" s="640">
        <v>1</v>
      </c>
      <c r="I68" s="616">
        <v>0</v>
      </c>
      <c r="J68" s="617">
        <v>0.5</v>
      </c>
      <c r="K68" s="21">
        <f t="shared" si="3"/>
        <v>1.5</v>
      </c>
    </row>
    <row r="69" spans="1:11" x14ac:dyDescent="0.25">
      <c r="A69" s="1945" t="s">
        <v>533</v>
      </c>
      <c r="B69" s="19" t="s">
        <v>32</v>
      </c>
      <c r="C69" s="198"/>
      <c r="D69" s="640">
        <v>2</v>
      </c>
      <c r="E69" s="616">
        <v>0</v>
      </c>
      <c r="F69" s="617">
        <v>1</v>
      </c>
      <c r="G69" s="21">
        <f t="shared" si="1"/>
        <v>3</v>
      </c>
      <c r="H69" s="640">
        <v>2</v>
      </c>
      <c r="I69" s="616">
        <v>0</v>
      </c>
      <c r="J69" s="617">
        <v>1</v>
      </c>
      <c r="K69" s="21">
        <f t="shared" si="3"/>
        <v>3</v>
      </c>
    </row>
    <row r="70" spans="1:11" x14ac:dyDescent="0.25">
      <c r="A70" s="1945"/>
      <c r="B70" s="19" t="s">
        <v>33</v>
      </c>
      <c r="C70" s="198"/>
      <c r="D70" s="640">
        <v>3</v>
      </c>
      <c r="E70" s="616">
        <v>0</v>
      </c>
      <c r="F70" s="617">
        <v>1</v>
      </c>
      <c r="G70" s="21">
        <f t="shared" si="1"/>
        <v>4</v>
      </c>
      <c r="H70" s="640">
        <v>3</v>
      </c>
      <c r="I70" s="616">
        <v>0</v>
      </c>
      <c r="J70" s="617">
        <v>1</v>
      </c>
      <c r="K70" s="21">
        <f t="shared" si="3"/>
        <v>4</v>
      </c>
    </row>
    <row r="71" spans="1:11" x14ac:dyDescent="0.25">
      <c r="A71" s="1945"/>
      <c r="B71" s="19" t="s">
        <v>34</v>
      </c>
      <c r="C71" s="198"/>
      <c r="D71" s="640">
        <v>4</v>
      </c>
      <c r="E71" s="616">
        <v>0</v>
      </c>
      <c r="F71" s="617">
        <v>2</v>
      </c>
      <c r="G71" s="21">
        <f t="shared" si="1"/>
        <v>6</v>
      </c>
      <c r="H71" s="640">
        <v>4</v>
      </c>
      <c r="I71" s="616">
        <v>0</v>
      </c>
      <c r="J71" s="617">
        <v>2</v>
      </c>
      <c r="K71" s="21">
        <f t="shared" si="3"/>
        <v>6</v>
      </c>
    </row>
    <row r="72" spans="1:11" x14ac:dyDescent="0.25">
      <c r="A72" s="1935" t="s">
        <v>534</v>
      </c>
      <c r="B72" s="19" t="s">
        <v>32</v>
      </c>
      <c r="C72" s="198"/>
      <c r="D72" s="640">
        <v>2</v>
      </c>
      <c r="E72" s="616">
        <v>0</v>
      </c>
      <c r="F72" s="617">
        <v>1</v>
      </c>
      <c r="G72" s="21">
        <f t="shared" si="1"/>
        <v>3</v>
      </c>
      <c r="H72" s="640">
        <v>2</v>
      </c>
      <c r="I72" s="616">
        <v>0</v>
      </c>
      <c r="J72" s="617">
        <v>1</v>
      </c>
      <c r="K72" s="21">
        <f t="shared" si="3"/>
        <v>3</v>
      </c>
    </row>
    <row r="73" spans="1:11" x14ac:dyDescent="0.25">
      <c r="A73" s="1935"/>
      <c r="B73" s="19" t="s">
        <v>33</v>
      </c>
      <c r="C73" s="198"/>
      <c r="D73" s="640">
        <v>3</v>
      </c>
      <c r="E73" s="616">
        <v>0</v>
      </c>
      <c r="F73" s="617">
        <v>1</v>
      </c>
      <c r="G73" s="21">
        <f t="shared" si="1"/>
        <v>4</v>
      </c>
      <c r="H73" s="640">
        <v>3</v>
      </c>
      <c r="I73" s="616">
        <v>0</v>
      </c>
      <c r="J73" s="617">
        <v>1</v>
      </c>
      <c r="K73" s="21">
        <f t="shared" si="3"/>
        <v>4</v>
      </c>
    </row>
    <row r="74" spans="1:11" x14ac:dyDescent="0.25">
      <c r="A74" s="1935"/>
      <c r="B74" s="19" t="s">
        <v>34</v>
      </c>
      <c r="C74" s="198"/>
      <c r="D74" s="640">
        <v>4</v>
      </c>
      <c r="E74" s="616">
        <v>0</v>
      </c>
      <c r="F74" s="617">
        <v>2</v>
      </c>
      <c r="G74" s="21">
        <f t="shared" si="1"/>
        <v>6</v>
      </c>
      <c r="H74" s="640">
        <v>4</v>
      </c>
      <c r="I74" s="616">
        <v>0</v>
      </c>
      <c r="J74" s="617">
        <v>2</v>
      </c>
      <c r="K74" s="21">
        <f t="shared" si="3"/>
        <v>6</v>
      </c>
    </row>
    <row r="75" spans="1:11" x14ac:dyDescent="0.25">
      <c r="A75" s="1935"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35"/>
      <c r="B76" s="19" t="s">
        <v>33</v>
      </c>
      <c r="C76" s="198"/>
      <c r="D76" s="190" t="s">
        <v>90</v>
      </c>
      <c r="E76" s="38" t="s">
        <v>90</v>
      </c>
      <c r="F76" s="16" t="s">
        <v>90</v>
      </c>
      <c r="G76" s="21">
        <f t="shared" si="1"/>
        <v>0</v>
      </c>
      <c r="H76" s="190" t="s">
        <v>90</v>
      </c>
      <c r="I76" s="38" t="s">
        <v>90</v>
      </c>
      <c r="J76" s="16" t="s">
        <v>90</v>
      </c>
      <c r="K76" s="21">
        <f t="shared" si="3"/>
        <v>0</v>
      </c>
    </row>
    <row r="77" spans="1:11" x14ac:dyDescent="0.25">
      <c r="A77" s="1935"/>
      <c r="B77" s="13" t="s">
        <v>34</v>
      </c>
      <c r="C77" s="220"/>
      <c r="D77" s="190" t="s">
        <v>90</v>
      </c>
      <c r="E77" s="38" t="s">
        <v>90</v>
      </c>
      <c r="F77" s="16" t="s">
        <v>90</v>
      </c>
      <c r="G77" s="21">
        <f t="shared" si="1"/>
        <v>0</v>
      </c>
      <c r="H77" s="190" t="s">
        <v>90</v>
      </c>
      <c r="I77" s="38" t="s">
        <v>90</v>
      </c>
      <c r="J77" s="16" t="s">
        <v>90</v>
      </c>
      <c r="K77" s="21">
        <f t="shared" si="3"/>
        <v>0</v>
      </c>
    </row>
    <row r="78" spans="1:11" x14ac:dyDescent="0.25">
      <c r="A78" s="1935"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35"/>
      <c r="B79" s="19" t="s">
        <v>33</v>
      </c>
      <c r="C79" s="198"/>
      <c r="D79" s="656">
        <f>IF(D$3=0,0,2.6)</f>
        <v>0</v>
      </c>
      <c r="E79" s="616">
        <v>0</v>
      </c>
      <c r="F79" s="646">
        <v>0.7</v>
      </c>
      <c r="G79" s="21">
        <f t="shared" si="1"/>
        <v>0.7</v>
      </c>
      <c r="H79" s="656">
        <f>IF(H$3=0,0,2.6)</f>
        <v>0</v>
      </c>
      <c r="I79" s="616">
        <v>0</v>
      </c>
      <c r="J79" s="646">
        <v>0.7</v>
      </c>
      <c r="K79" s="21">
        <f t="shared" si="3"/>
        <v>0.7</v>
      </c>
    </row>
    <row r="80" spans="1:11" x14ac:dyDescent="0.25">
      <c r="A80" s="1935"/>
      <c r="B80" s="19" t="s">
        <v>34</v>
      </c>
      <c r="C80" s="198"/>
      <c r="D80" s="656">
        <f>IF(D$3=0,0,2.6)</f>
        <v>0</v>
      </c>
      <c r="E80" s="616">
        <v>0</v>
      </c>
      <c r="F80" s="646">
        <v>1</v>
      </c>
      <c r="G80" s="21">
        <f t="shared" si="1"/>
        <v>1</v>
      </c>
      <c r="H80" s="656">
        <f>IF(H$3=0,0,2.6)</f>
        <v>0</v>
      </c>
      <c r="I80" s="616">
        <v>0</v>
      </c>
      <c r="J80" s="646">
        <v>1</v>
      </c>
      <c r="K80" s="21">
        <f t="shared" si="3"/>
        <v>1</v>
      </c>
    </row>
    <row r="81" spans="1:11" x14ac:dyDescent="0.25">
      <c r="A81" s="1935"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35"/>
      <c r="B82" s="19" t="s">
        <v>33</v>
      </c>
      <c r="C82" s="198"/>
      <c r="D82" s="656">
        <f>IF(D$3=0,0,2.4)</f>
        <v>0</v>
      </c>
      <c r="E82" s="616">
        <v>0</v>
      </c>
      <c r="F82" s="646">
        <v>0.7</v>
      </c>
      <c r="G82" s="21">
        <f t="shared" si="1"/>
        <v>0.7</v>
      </c>
      <c r="H82" s="656">
        <f>IF(H$3=0,0,2.4)</f>
        <v>0</v>
      </c>
      <c r="I82" s="616">
        <v>0</v>
      </c>
      <c r="J82" s="646">
        <v>0.7</v>
      </c>
      <c r="K82" s="21">
        <f t="shared" si="4"/>
        <v>0.7</v>
      </c>
    </row>
    <row r="83" spans="1:11" x14ac:dyDescent="0.25">
      <c r="A83" s="1935"/>
      <c r="B83" s="19" t="s">
        <v>34</v>
      </c>
      <c r="C83" s="198"/>
      <c r="D83" s="656">
        <f>IF(D$3=0,0,2.4)</f>
        <v>0</v>
      </c>
      <c r="E83" s="616">
        <v>0</v>
      </c>
      <c r="F83" s="646">
        <v>1</v>
      </c>
      <c r="G83" s="21">
        <f t="shared" si="1"/>
        <v>1</v>
      </c>
      <c r="H83" s="656">
        <f>IF(H$3=0,0,2.4)</f>
        <v>0</v>
      </c>
      <c r="I83" s="616">
        <v>0</v>
      </c>
      <c r="J83" s="646">
        <v>1</v>
      </c>
      <c r="K83" s="21">
        <f t="shared" si="4"/>
        <v>1</v>
      </c>
    </row>
    <row r="84" spans="1:11" x14ac:dyDescent="0.25">
      <c r="A84" s="1944"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44"/>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44"/>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922"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922"/>
      <c r="B89" s="19" t="s">
        <v>33</v>
      </c>
      <c r="C89" s="198"/>
      <c r="D89" s="640">
        <v>1</v>
      </c>
      <c r="E89" s="616">
        <v>0</v>
      </c>
      <c r="F89" s="646">
        <v>0</v>
      </c>
      <c r="G89" s="21">
        <f t="shared" si="1"/>
        <v>1</v>
      </c>
      <c r="H89" s="640">
        <v>1</v>
      </c>
      <c r="I89" s="616">
        <v>0</v>
      </c>
      <c r="J89" s="646">
        <v>0</v>
      </c>
      <c r="K89" s="21">
        <f t="shared" si="5"/>
        <v>1</v>
      </c>
    </row>
    <row r="90" spans="1:11" x14ac:dyDescent="0.25">
      <c r="A90" s="1922"/>
      <c r="B90" s="19" t="s">
        <v>34</v>
      </c>
      <c r="C90" s="198"/>
      <c r="D90" s="640">
        <v>1</v>
      </c>
      <c r="E90" s="616">
        <v>0</v>
      </c>
      <c r="F90" s="646">
        <v>0</v>
      </c>
      <c r="G90" s="21">
        <f t="shared" si="1"/>
        <v>1</v>
      </c>
      <c r="H90" s="640">
        <v>1</v>
      </c>
      <c r="I90" s="616">
        <v>0</v>
      </c>
      <c r="J90" s="646">
        <v>0</v>
      </c>
      <c r="K90" s="21">
        <f t="shared" si="5"/>
        <v>1</v>
      </c>
    </row>
    <row r="91" spans="1:11" x14ac:dyDescent="0.25">
      <c r="A91" s="1973" t="s">
        <v>24</v>
      </c>
      <c r="B91" s="19" t="s">
        <v>32</v>
      </c>
      <c r="C91" s="198"/>
      <c r="D91" s="640">
        <v>4</v>
      </c>
      <c r="E91" s="616">
        <v>0</v>
      </c>
      <c r="F91" s="646">
        <v>0.5</v>
      </c>
      <c r="G91" s="21">
        <f t="shared" si="1"/>
        <v>4.5</v>
      </c>
      <c r="H91" s="640">
        <v>4</v>
      </c>
      <c r="I91" s="616">
        <v>0</v>
      </c>
      <c r="J91" s="646">
        <v>0.5</v>
      </c>
      <c r="K91" s="21">
        <f t="shared" si="5"/>
        <v>4.5</v>
      </c>
    </row>
    <row r="92" spans="1:11" x14ac:dyDescent="0.25">
      <c r="A92" s="1973"/>
      <c r="B92" s="19" t="s">
        <v>33</v>
      </c>
      <c r="C92" s="198"/>
      <c r="D92" s="640">
        <v>5</v>
      </c>
      <c r="E92" s="616">
        <v>0</v>
      </c>
      <c r="F92" s="646">
        <v>1</v>
      </c>
      <c r="G92" s="21">
        <f t="shared" si="1"/>
        <v>6</v>
      </c>
      <c r="H92" s="640">
        <v>5</v>
      </c>
      <c r="I92" s="616">
        <v>0</v>
      </c>
      <c r="J92" s="646">
        <v>1</v>
      </c>
      <c r="K92" s="21">
        <f t="shared" si="5"/>
        <v>6</v>
      </c>
    </row>
    <row r="93" spans="1:11" x14ac:dyDescent="0.25">
      <c r="A93" s="1973"/>
      <c r="B93" s="19" t="s">
        <v>34</v>
      </c>
      <c r="C93" s="198"/>
      <c r="D93" s="640">
        <v>5</v>
      </c>
      <c r="E93" s="616">
        <v>0</v>
      </c>
      <c r="F93" s="646">
        <v>1.5</v>
      </c>
      <c r="G93" s="21">
        <f t="shared" si="1"/>
        <v>6.5</v>
      </c>
      <c r="H93" s="640">
        <v>5</v>
      </c>
      <c r="I93" s="616">
        <v>0</v>
      </c>
      <c r="J93" s="646">
        <v>1.5</v>
      </c>
      <c r="K93" s="21">
        <f t="shared" si="5"/>
        <v>6.5</v>
      </c>
    </row>
    <row r="94" spans="1:11" x14ac:dyDescent="0.25">
      <c r="A94" s="1973"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73"/>
      <c r="B95" s="19" t="s">
        <v>33</v>
      </c>
      <c r="C95" s="198"/>
      <c r="D95" s="640">
        <v>2.5</v>
      </c>
      <c r="E95" s="616">
        <v>0</v>
      </c>
      <c r="F95" s="646">
        <v>1</v>
      </c>
      <c r="G95" s="21">
        <f t="shared" si="6"/>
        <v>3.5</v>
      </c>
      <c r="H95" s="640">
        <v>2.5</v>
      </c>
      <c r="I95" s="616">
        <v>0</v>
      </c>
      <c r="J95" s="646">
        <v>1</v>
      </c>
      <c r="K95" s="21">
        <f t="shared" si="7"/>
        <v>3.5</v>
      </c>
    </row>
    <row r="96" spans="1:11" x14ac:dyDescent="0.25">
      <c r="A96" s="1973"/>
      <c r="B96" s="19" t="s">
        <v>34</v>
      </c>
      <c r="C96" s="198"/>
      <c r="D96" s="640">
        <v>2.5</v>
      </c>
      <c r="E96" s="616">
        <v>0</v>
      </c>
      <c r="F96" s="646">
        <v>1.5</v>
      </c>
      <c r="G96" s="21">
        <f t="shared" si="6"/>
        <v>4</v>
      </c>
      <c r="H96" s="640">
        <v>2.5</v>
      </c>
      <c r="I96" s="616">
        <v>0</v>
      </c>
      <c r="J96" s="646">
        <v>1.5</v>
      </c>
      <c r="K96" s="21">
        <f t="shared" si="7"/>
        <v>4</v>
      </c>
    </row>
    <row r="97" spans="1:11" x14ac:dyDescent="0.25">
      <c r="A97" s="1973" t="s">
        <v>26</v>
      </c>
      <c r="B97" s="19" t="s">
        <v>32</v>
      </c>
      <c r="C97" s="198"/>
      <c r="D97" s="640">
        <v>1</v>
      </c>
      <c r="E97" s="616">
        <v>0</v>
      </c>
      <c r="F97" s="646">
        <v>0.5</v>
      </c>
      <c r="G97" s="21">
        <f t="shared" si="6"/>
        <v>1.5</v>
      </c>
      <c r="H97" s="640">
        <v>1</v>
      </c>
      <c r="I97" s="616">
        <v>0</v>
      </c>
      <c r="J97" s="646">
        <v>0.5</v>
      </c>
      <c r="K97" s="21">
        <f t="shared" si="7"/>
        <v>1.5</v>
      </c>
    </row>
    <row r="98" spans="1:11" x14ac:dyDescent="0.25">
      <c r="A98" s="1973"/>
      <c r="B98" s="19" t="s">
        <v>33</v>
      </c>
      <c r="C98" s="198"/>
      <c r="D98" s="640">
        <v>1.5</v>
      </c>
      <c r="E98" s="616">
        <v>0</v>
      </c>
      <c r="F98" s="646">
        <v>0.5</v>
      </c>
      <c r="G98" s="21">
        <f t="shared" si="6"/>
        <v>2</v>
      </c>
      <c r="H98" s="640">
        <v>1.5</v>
      </c>
      <c r="I98" s="616">
        <v>0</v>
      </c>
      <c r="J98" s="646">
        <v>0.5</v>
      </c>
      <c r="K98" s="21">
        <f t="shared" si="7"/>
        <v>2</v>
      </c>
    </row>
    <row r="99" spans="1:11" x14ac:dyDescent="0.25">
      <c r="A99" s="1973"/>
      <c r="B99" s="19" t="s">
        <v>34</v>
      </c>
      <c r="C99" s="198"/>
      <c r="D99" s="640">
        <v>1.5</v>
      </c>
      <c r="E99" s="616">
        <v>0</v>
      </c>
      <c r="F99" s="646">
        <v>0.5</v>
      </c>
      <c r="G99" s="21">
        <f t="shared" si="6"/>
        <v>2</v>
      </c>
      <c r="H99" s="640">
        <v>1.5</v>
      </c>
      <c r="I99" s="616">
        <v>0</v>
      </c>
      <c r="J99" s="646">
        <v>0.5</v>
      </c>
      <c r="K99" s="21">
        <f t="shared" si="7"/>
        <v>2</v>
      </c>
    </row>
    <row r="100" spans="1:11" x14ac:dyDescent="0.25">
      <c r="A100" s="1973"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73"/>
      <c r="B101" s="19" t="s">
        <v>33</v>
      </c>
      <c r="C101" s="198"/>
      <c r="D101" s="648">
        <f>0.5*D$3</f>
        <v>0</v>
      </c>
      <c r="E101" s="625">
        <v>0</v>
      </c>
      <c r="F101" s="617">
        <v>0</v>
      </c>
      <c r="G101" s="21">
        <f t="shared" si="6"/>
        <v>0</v>
      </c>
      <c r="H101" s="648">
        <f>0.5*H$3</f>
        <v>0</v>
      </c>
      <c r="I101" s="625">
        <v>0</v>
      </c>
      <c r="J101" s="617">
        <v>0</v>
      </c>
      <c r="K101" s="21">
        <f t="shared" si="7"/>
        <v>0</v>
      </c>
    </row>
    <row r="102" spans="1:11" x14ac:dyDescent="0.25">
      <c r="A102" s="1973"/>
      <c r="B102" s="19" t="s">
        <v>34</v>
      </c>
      <c r="C102" s="198"/>
      <c r="D102" s="648">
        <f>0.6*D$3</f>
        <v>0</v>
      </c>
      <c r="E102" s="625">
        <v>0</v>
      </c>
      <c r="F102" s="617">
        <v>0</v>
      </c>
      <c r="G102" s="21">
        <f t="shared" si="6"/>
        <v>0</v>
      </c>
      <c r="H102" s="648">
        <f>0.6*H$3</f>
        <v>0</v>
      </c>
      <c r="I102" s="625">
        <v>0</v>
      </c>
      <c r="J102" s="617">
        <v>0</v>
      </c>
      <c r="K102" s="21">
        <f t="shared" si="7"/>
        <v>0</v>
      </c>
    </row>
    <row r="103" spans="1:11" x14ac:dyDescent="0.25">
      <c r="A103" s="1922"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922"/>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74"/>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84" t="s">
        <v>372</v>
      </c>
      <c r="E1" s="1985"/>
      <c r="F1" s="1985"/>
      <c r="G1" s="1986"/>
      <c r="H1" s="1984" t="s">
        <v>373</v>
      </c>
      <c r="I1" s="1985"/>
      <c r="J1" s="1985"/>
      <c r="K1" s="1986"/>
      <c r="L1" s="1984" t="s">
        <v>374</v>
      </c>
      <c r="M1" s="1985"/>
      <c r="N1" s="1985"/>
      <c r="O1" s="1986"/>
    </row>
    <row r="2" spans="1:15" ht="15.75" x14ac:dyDescent="0.25">
      <c r="B2" s="41" t="s">
        <v>37</v>
      </c>
      <c r="C2" s="1940" t="s">
        <v>35</v>
      </c>
      <c r="D2" s="684" t="s">
        <v>582</v>
      </c>
      <c r="E2" s="645" t="s">
        <v>581</v>
      </c>
      <c r="F2" s="645" t="s">
        <v>206</v>
      </c>
      <c r="G2" s="1982" t="s">
        <v>38</v>
      </c>
      <c r="H2" s="684" t="s">
        <v>582</v>
      </c>
      <c r="I2" s="645" t="s">
        <v>581</v>
      </c>
      <c r="J2" s="645" t="s">
        <v>206</v>
      </c>
      <c r="K2" s="1982" t="s">
        <v>38</v>
      </c>
      <c r="L2" s="684" t="s">
        <v>582</v>
      </c>
      <c r="M2" s="645" t="s">
        <v>581</v>
      </c>
      <c r="N2" s="645" t="s">
        <v>206</v>
      </c>
      <c r="O2" s="1982" t="s">
        <v>38</v>
      </c>
    </row>
    <row r="3" spans="1:15" ht="16.5" thickBot="1" x14ac:dyDescent="0.3">
      <c r="A3" s="12" t="s">
        <v>36</v>
      </c>
      <c r="B3" s="42">
        <f>ТрЗ_ОП!F5</f>
        <v>1</v>
      </c>
      <c r="C3" s="1941"/>
      <c r="D3" s="40">
        <f>INDEX(ТрЗ_ОП!$P$11:$P$102,MATCH(D2,ТрЗ_ОП!$O$11:$O$102,0))</f>
        <v>0</v>
      </c>
      <c r="E3" s="40">
        <f>INDEX(ТрЗ_ОП!$P$11:$P$102,MATCH(E2,ТрЗ_ОП!$O$11:$O$102,0))</f>
        <v>0</v>
      </c>
      <c r="F3" s="40">
        <f>INDEX(ТрЗ_ОП!$P$11:$P$102,MATCH(F2,ТрЗ_ОП!$O$11:$O$102,0))</f>
        <v>0</v>
      </c>
      <c r="G3" s="1982"/>
      <c r="H3" s="40">
        <f>INDEX(ТрЗ_ОП!$P$11:$P$102,MATCH(H2,ТрЗ_ОП!$O$11:$O$102,0))</f>
        <v>0</v>
      </c>
      <c r="I3" s="40">
        <f>INDEX(ТрЗ_ОП!$P$11:$P$102,MATCH(I2,ТрЗ_ОП!$O$11:$O$102,0))</f>
        <v>0</v>
      </c>
      <c r="J3" s="40">
        <f>INDEX(ТрЗ_ОП!$P$11:$P$102,MATCH(J2,ТрЗ_ОП!$O$11:$O$102,0))</f>
        <v>0</v>
      </c>
      <c r="K3" s="1982"/>
      <c r="L3" s="40">
        <f>INDEX(ТрЗ_ОП!$P$11:$P$102,MATCH(L2,ТрЗ_ОП!$O$11:$O$102,0))</f>
        <v>0</v>
      </c>
      <c r="M3" s="40">
        <f>INDEX(ТрЗ_ОП!$P$11:$P$102,MATCH(M2,ТрЗ_ОП!$O$11:$O$102,0))</f>
        <v>0</v>
      </c>
      <c r="N3" s="40">
        <f>INDEX(ТрЗ_ОП!$P$11:$P$102,MATCH(N2,ТрЗ_ОП!$O$11:$O$102,0))</f>
        <v>0</v>
      </c>
      <c r="O3" s="1982"/>
    </row>
    <row r="4" spans="1:15" ht="16.5" thickBot="1" x14ac:dyDescent="0.3">
      <c r="A4" s="326" t="s">
        <v>448</v>
      </c>
      <c r="B4" s="327"/>
      <c r="C4" s="327"/>
      <c r="D4" s="327"/>
      <c r="E4" s="327"/>
      <c r="F4" s="327"/>
      <c r="G4" s="327"/>
      <c r="H4" s="327"/>
      <c r="I4" s="327"/>
      <c r="J4" s="327"/>
      <c r="K4" s="327"/>
      <c r="L4" s="327"/>
      <c r="M4" s="327"/>
      <c r="N4" s="327"/>
      <c r="O4" s="396"/>
    </row>
    <row r="5" spans="1:15" x14ac:dyDescent="0.25">
      <c r="A5" s="1981"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42"/>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75"/>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42"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42"/>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42"/>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42"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42"/>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42"/>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39"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38"/>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38"/>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38"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38"/>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38"/>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38"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38"/>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38"/>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38"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38"/>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38"/>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38"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38"/>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38"/>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38"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38"/>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38"/>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38"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38"/>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36"/>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42"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42"/>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42"/>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87"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35"/>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35"/>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35"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35"/>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35"/>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35"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35"/>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35"/>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35"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35"/>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35"/>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35"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35"/>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35"/>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35"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35"/>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35"/>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35"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35"/>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35"/>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35"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35"/>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35"/>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35"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35"/>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35"/>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45"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45"/>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45"/>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35"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35"/>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35"/>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73"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73"/>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73"/>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35"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35"/>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35"/>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35"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35"/>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35"/>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44"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44"/>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44"/>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39"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38"/>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38"/>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38"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38"/>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38"/>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38"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38"/>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38"/>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38"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38"/>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38"/>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38"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38"/>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38"/>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38"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38"/>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83"/>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30" t="s">
        <v>377</v>
      </c>
      <c r="E1" s="1931"/>
      <c r="F1" s="1931"/>
      <c r="G1" s="1932"/>
      <c r="H1" s="1930" t="s">
        <v>378</v>
      </c>
      <c r="I1" s="1931"/>
      <c r="J1" s="1931"/>
      <c r="K1" s="1932"/>
      <c r="N1" s="208">
        <v>3</v>
      </c>
    </row>
    <row r="2" spans="1:18" ht="15.75" x14ac:dyDescent="0.25">
      <c r="B2" s="41" t="s">
        <v>37</v>
      </c>
      <c r="C2" s="1940" t="s">
        <v>35</v>
      </c>
      <c r="D2" s="36" t="s">
        <v>698</v>
      </c>
      <c r="E2" s="10" t="s">
        <v>699</v>
      </c>
      <c r="F2" s="10" t="s">
        <v>700</v>
      </c>
      <c r="G2" s="1933" t="s">
        <v>38</v>
      </c>
      <c r="H2" s="36" t="s">
        <v>698</v>
      </c>
      <c r="I2" s="10" t="s">
        <v>699</v>
      </c>
      <c r="J2" s="10" t="s">
        <v>700</v>
      </c>
      <c r="K2" s="1933" t="s">
        <v>38</v>
      </c>
      <c r="L2" s="207">
        <v>1</v>
      </c>
      <c r="M2" t="s">
        <v>201</v>
      </c>
      <c r="N2" s="54">
        <v>0.2</v>
      </c>
    </row>
    <row r="3" spans="1:18" ht="16.5" thickBot="1" x14ac:dyDescent="0.3">
      <c r="A3" s="12" t="s">
        <v>36</v>
      </c>
      <c r="B3" s="922">
        <v>2</v>
      </c>
      <c r="C3" s="1941"/>
      <c r="D3" s="40">
        <f>INDEX(ТрЗ_ОП!$P$11:$P$102,MATCH(D2,ТрЗ_ОП!$O$11:$O$102,0))</f>
        <v>0</v>
      </c>
      <c r="E3" s="40">
        <f>INDEX(ТрЗ_ОП!$P$11:$P$102,MATCH(E2,ТрЗ_ОП!$O$11:$O$102,0))</f>
        <v>0</v>
      </c>
      <c r="F3" s="40">
        <f>INDEX(ТрЗ_ОП!$P$11:$P$102,MATCH(F2,ТрЗ_ОП!$O$11:$O$102,0))</f>
        <v>0</v>
      </c>
      <c r="G3" s="1933"/>
      <c r="H3" s="40">
        <f>INDEX(ТрЗ_ОП!$P$11:$P$102,MATCH(H2,ТрЗ_ОП!$O$11:$O$102,0))</f>
        <v>0</v>
      </c>
      <c r="I3" s="40">
        <f>INDEX(ТрЗ_ОП!$P$11:$P$102,MATCH(I2,ТрЗ_ОП!$O$11:$O$102,0))</f>
        <v>0</v>
      </c>
      <c r="J3" s="40">
        <f>INDEX(ТрЗ_ОП!$P$11:$P$102,MATCH(J2,ТрЗ_ОП!$O$11:$O$102,0))</f>
        <v>0</v>
      </c>
      <c r="K3" s="1933"/>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922"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922"/>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904"/>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922"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922"/>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922"/>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922"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93" t="s">
        <v>197</v>
      </c>
      <c r="N12" s="1993"/>
      <c r="O12" s="1993"/>
      <c r="P12" s="1993"/>
      <c r="Q12" s="1993"/>
      <c r="R12" t="s">
        <v>192</v>
      </c>
    </row>
    <row r="13" spans="1:18" x14ac:dyDescent="0.25">
      <c r="A13" s="1922"/>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93"/>
      <c r="N13" s="1993"/>
      <c r="O13" s="1993"/>
      <c r="P13" s="1993"/>
      <c r="Q13" s="1993"/>
    </row>
    <row r="14" spans="1:18" ht="15.75" thickBot="1" x14ac:dyDescent="0.3">
      <c r="A14" s="1922"/>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93"/>
      <c r="N14" s="1993"/>
      <c r="O14" s="1993"/>
      <c r="P14" s="1993"/>
      <c r="Q14" s="1993"/>
    </row>
    <row r="15" spans="1:18" ht="16.5" thickBot="1" x14ac:dyDescent="0.3">
      <c r="A15" s="330" t="s">
        <v>3</v>
      </c>
      <c r="B15" s="329"/>
      <c r="C15" s="329"/>
      <c r="D15" s="329"/>
      <c r="E15" s="329"/>
      <c r="F15" s="327"/>
      <c r="G15" s="327"/>
      <c r="H15" s="329"/>
      <c r="I15" s="329"/>
      <c r="J15" s="327"/>
      <c r="K15" s="327"/>
    </row>
    <row r="16" spans="1:18" x14ac:dyDescent="0.25">
      <c r="A16" s="1994"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90"/>
      <c r="B17" s="18" t="s">
        <v>33</v>
      </c>
      <c r="C17" s="817"/>
      <c r="D17" s="760">
        <v>0.25</v>
      </c>
      <c r="E17" s="814">
        <v>0</v>
      </c>
      <c r="F17" s="819">
        <v>0</v>
      </c>
      <c r="G17" s="619">
        <f t="shared" si="2"/>
        <v>0.25</v>
      </c>
      <c r="H17" s="760">
        <v>0.25</v>
      </c>
      <c r="I17" s="814">
        <v>0</v>
      </c>
      <c r="J17" s="819">
        <v>0</v>
      </c>
      <c r="K17" s="619">
        <f t="shared" si="3"/>
        <v>0.25</v>
      </c>
    </row>
    <row r="18" spans="1:17" x14ac:dyDescent="0.25">
      <c r="A18" s="1990"/>
      <c r="B18" s="18" t="s">
        <v>34</v>
      </c>
      <c r="C18" s="817"/>
      <c r="D18" s="760">
        <v>0.25</v>
      </c>
      <c r="E18" s="814">
        <v>0</v>
      </c>
      <c r="F18" s="819">
        <v>0</v>
      </c>
      <c r="G18" s="619">
        <f t="shared" si="2"/>
        <v>0.25</v>
      </c>
      <c r="H18" s="760">
        <v>0.25</v>
      </c>
      <c r="I18" s="814">
        <v>0</v>
      </c>
      <c r="J18" s="819">
        <v>0</v>
      </c>
      <c r="K18" s="619">
        <f t="shared" si="3"/>
        <v>0.25</v>
      </c>
    </row>
    <row r="19" spans="1:17" x14ac:dyDescent="0.25">
      <c r="A19" s="1990"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90"/>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90"/>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90"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90"/>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90"/>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90"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90"/>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90"/>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90"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92" t="s">
        <v>196</v>
      </c>
      <c r="N28" s="1992"/>
      <c r="O28" s="1992"/>
      <c r="P28" s="1992"/>
      <c r="Q28" s="1992"/>
    </row>
    <row r="29" spans="1:17" x14ac:dyDescent="0.25">
      <c r="A29" s="1990"/>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92"/>
      <c r="N29" s="1992"/>
      <c r="O29" s="1992"/>
      <c r="P29" s="1992"/>
      <c r="Q29" s="1992"/>
    </row>
    <row r="30" spans="1:17" x14ac:dyDescent="0.25">
      <c r="A30" s="1990"/>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92"/>
      <c r="N30" s="1992"/>
      <c r="O30" s="1992"/>
      <c r="P30" s="1992"/>
      <c r="Q30" s="1992"/>
    </row>
    <row r="31" spans="1:17" x14ac:dyDescent="0.25">
      <c r="A31" s="1990"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90"/>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90"/>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90"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90"/>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91"/>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922"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922"/>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922"/>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922"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922"/>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922"/>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73"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92" t="s">
        <v>195</v>
      </c>
      <c r="N45" s="1992"/>
      <c r="O45" s="1992"/>
      <c r="P45" s="1992"/>
      <c r="Q45" s="1992"/>
    </row>
    <row r="46" spans="1:17" x14ac:dyDescent="0.25">
      <c r="A46" s="1973"/>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92"/>
      <c r="N46" s="1992"/>
      <c r="O46" s="1992"/>
      <c r="P46" s="1992"/>
      <c r="Q46" s="1992"/>
    </row>
    <row r="47" spans="1:17" x14ac:dyDescent="0.25">
      <c r="A47" s="1973"/>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92"/>
      <c r="N47" s="1992"/>
      <c r="O47" s="1992"/>
      <c r="P47" s="1992"/>
      <c r="Q47" s="1992"/>
    </row>
    <row r="48" spans="1:17" x14ac:dyDescent="0.25">
      <c r="A48" s="1973"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73"/>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73"/>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73"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73"/>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73"/>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73"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73"/>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73"/>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73"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73"/>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73"/>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73"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73"/>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73"/>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73" t="s">
        <v>451</v>
      </c>
      <c r="B63" s="19" t="s">
        <v>32</v>
      </c>
      <c r="C63" s="817"/>
      <c r="D63" s="638">
        <v>0.5</v>
      </c>
      <c r="E63" s="637">
        <v>0</v>
      </c>
      <c r="F63" s="714">
        <v>0</v>
      </c>
      <c r="G63" s="619">
        <f t="shared" si="4"/>
        <v>0.5</v>
      </c>
      <c r="H63" s="638">
        <v>0.5</v>
      </c>
      <c r="I63" s="637">
        <v>0</v>
      </c>
      <c r="J63" s="714">
        <v>0</v>
      </c>
      <c r="K63" s="619">
        <f t="shared" si="5"/>
        <v>0.5</v>
      </c>
    </row>
    <row r="64" spans="1:13" x14ac:dyDescent="0.25">
      <c r="A64" s="1973"/>
      <c r="B64" s="19" t="s">
        <v>33</v>
      </c>
      <c r="C64" s="817"/>
      <c r="D64" s="638">
        <v>1</v>
      </c>
      <c r="E64" s="637">
        <v>0</v>
      </c>
      <c r="F64" s="714">
        <v>0</v>
      </c>
      <c r="G64" s="619">
        <f t="shared" si="4"/>
        <v>1</v>
      </c>
      <c r="H64" s="638">
        <v>1</v>
      </c>
      <c r="I64" s="637">
        <v>0</v>
      </c>
      <c r="J64" s="714">
        <v>0</v>
      </c>
      <c r="K64" s="619">
        <f t="shared" si="5"/>
        <v>1</v>
      </c>
    </row>
    <row r="65" spans="1:11" x14ac:dyDescent="0.25">
      <c r="A65" s="1973"/>
      <c r="B65" s="19" t="s">
        <v>34</v>
      </c>
      <c r="C65" s="817"/>
      <c r="D65" s="638">
        <v>1.5</v>
      </c>
      <c r="E65" s="637">
        <v>0</v>
      </c>
      <c r="F65" s="714">
        <v>0</v>
      </c>
      <c r="G65" s="619">
        <f t="shared" si="4"/>
        <v>1.5</v>
      </c>
      <c r="H65" s="638">
        <v>1.5</v>
      </c>
      <c r="I65" s="637">
        <v>0</v>
      </c>
      <c r="J65" s="714">
        <v>0</v>
      </c>
      <c r="K65" s="619">
        <f t="shared" si="5"/>
        <v>1.5</v>
      </c>
    </row>
    <row r="66" spans="1:11" x14ac:dyDescent="0.25">
      <c r="A66" s="1973" t="s">
        <v>452</v>
      </c>
      <c r="B66" s="19" t="s">
        <v>32</v>
      </c>
      <c r="C66" s="817"/>
      <c r="D66" s="638">
        <v>0.5</v>
      </c>
      <c r="E66" s="637">
        <v>0</v>
      </c>
      <c r="F66" s="714">
        <v>0</v>
      </c>
      <c r="G66" s="619">
        <f t="shared" si="4"/>
        <v>0.5</v>
      </c>
      <c r="H66" s="638">
        <v>0.5</v>
      </c>
      <c r="I66" s="637">
        <v>0</v>
      </c>
      <c r="J66" s="714">
        <v>0</v>
      </c>
      <c r="K66" s="619">
        <f t="shared" si="5"/>
        <v>0.5</v>
      </c>
    </row>
    <row r="67" spans="1:11" x14ac:dyDescent="0.25">
      <c r="A67" s="1973"/>
      <c r="B67" s="19" t="s">
        <v>33</v>
      </c>
      <c r="C67" s="817"/>
      <c r="D67" s="638">
        <v>1</v>
      </c>
      <c r="E67" s="637">
        <v>0</v>
      </c>
      <c r="F67" s="714">
        <v>0</v>
      </c>
      <c r="G67" s="619">
        <f t="shared" si="4"/>
        <v>1</v>
      </c>
      <c r="H67" s="638">
        <v>1</v>
      </c>
      <c r="I67" s="637">
        <v>0</v>
      </c>
      <c r="J67" s="714">
        <v>0</v>
      </c>
      <c r="K67" s="619">
        <f t="shared" si="5"/>
        <v>1</v>
      </c>
    </row>
    <row r="68" spans="1:11" x14ac:dyDescent="0.25">
      <c r="A68" s="1973"/>
      <c r="B68" s="19" t="s">
        <v>34</v>
      </c>
      <c r="C68" s="817"/>
      <c r="D68" s="638">
        <v>1.5</v>
      </c>
      <c r="E68" s="637">
        <v>0</v>
      </c>
      <c r="F68" s="714">
        <v>0</v>
      </c>
      <c r="G68" s="619">
        <f t="shared" si="4"/>
        <v>1.5</v>
      </c>
      <c r="H68" s="638">
        <v>1.5</v>
      </c>
      <c r="I68" s="637">
        <v>0</v>
      </c>
      <c r="J68" s="714">
        <v>0</v>
      </c>
      <c r="K68" s="619">
        <f t="shared" si="5"/>
        <v>1.5</v>
      </c>
    </row>
    <row r="69" spans="1:11" x14ac:dyDescent="0.25">
      <c r="A69" s="1988" t="s">
        <v>533</v>
      </c>
      <c r="B69" s="19" t="s">
        <v>32</v>
      </c>
      <c r="C69" s="817"/>
      <c r="D69" s="638">
        <v>0</v>
      </c>
      <c r="E69" s="636">
        <v>0</v>
      </c>
      <c r="F69" s="635">
        <v>0</v>
      </c>
      <c r="G69" s="619">
        <f t="shared" si="4"/>
        <v>0</v>
      </c>
      <c r="H69" s="638">
        <v>0</v>
      </c>
      <c r="I69" s="636">
        <v>0</v>
      </c>
      <c r="J69" s="635">
        <v>0</v>
      </c>
      <c r="K69" s="619">
        <f t="shared" si="5"/>
        <v>0</v>
      </c>
    </row>
    <row r="70" spans="1:11" x14ac:dyDescent="0.25">
      <c r="A70" s="1988"/>
      <c r="B70" s="19" t="s">
        <v>33</v>
      </c>
      <c r="C70" s="817"/>
      <c r="D70" s="638">
        <v>0</v>
      </c>
      <c r="E70" s="636">
        <v>0</v>
      </c>
      <c r="F70" s="635">
        <v>0</v>
      </c>
      <c r="G70" s="619">
        <f t="shared" si="4"/>
        <v>0</v>
      </c>
      <c r="H70" s="638">
        <v>0</v>
      </c>
      <c r="I70" s="636">
        <v>0</v>
      </c>
      <c r="J70" s="635">
        <v>0</v>
      </c>
      <c r="K70" s="619">
        <f t="shared" si="5"/>
        <v>0</v>
      </c>
    </row>
    <row r="71" spans="1:11" x14ac:dyDescent="0.25">
      <c r="A71" s="1988"/>
      <c r="B71" s="19" t="s">
        <v>34</v>
      </c>
      <c r="C71" s="817"/>
      <c r="D71" s="638">
        <v>0</v>
      </c>
      <c r="E71" s="636">
        <v>0</v>
      </c>
      <c r="F71" s="635">
        <v>0</v>
      </c>
      <c r="G71" s="619">
        <f t="shared" si="4"/>
        <v>0</v>
      </c>
      <c r="H71" s="638">
        <v>0</v>
      </c>
      <c r="I71" s="636">
        <v>0</v>
      </c>
      <c r="J71" s="635">
        <v>0</v>
      </c>
      <c r="K71" s="619">
        <f t="shared" si="5"/>
        <v>0</v>
      </c>
    </row>
    <row r="72" spans="1:11" x14ac:dyDescent="0.25">
      <c r="A72" s="1973" t="s">
        <v>534</v>
      </c>
      <c r="B72" s="19" t="s">
        <v>32</v>
      </c>
      <c r="C72" s="817"/>
      <c r="D72" s="638">
        <v>0</v>
      </c>
      <c r="E72" s="636">
        <v>0</v>
      </c>
      <c r="F72" s="635">
        <v>0</v>
      </c>
      <c r="G72" s="619">
        <f t="shared" si="4"/>
        <v>0</v>
      </c>
      <c r="H72" s="638">
        <v>0</v>
      </c>
      <c r="I72" s="636">
        <v>0</v>
      </c>
      <c r="J72" s="635">
        <v>0</v>
      </c>
      <c r="K72" s="619">
        <f t="shared" si="5"/>
        <v>0</v>
      </c>
    </row>
    <row r="73" spans="1:11" x14ac:dyDescent="0.25">
      <c r="A73" s="1973"/>
      <c r="B73" s="19" t="s">
        <v>33</v>
      </c>
      <c r="C73" s="817"/>
      <c r="D73" s="638">
        <v>0</v>
      </c>
      <c r="E73" s="636">
        <v>0</v>
      </c>
      <c r="F73" s="635">
        <v>0</v>
      </c>
      <c r="G73" s="619">
        <f t="shared" si="4"/>
        <v>0</v>
      </c>
      <c r="H73" s="638">
        <v>0</v>
      </c>
      <c r="I73" s="636">
        <v>0</v>
      </c>
      <c r="J73" s="635">
        <v>0</v>
      </c>
      <c r="K73" s="619">
        <f t="shared" si="5"/>
        <v>0</v>
      </c>
    </row>
    <row r="74" spans="1:11" x14ac:dyDescent="0.25">
      <c r="A74" s="1973"/>
      <c r="B74" s="19" t="s">
        <v>34</v>
      </c>
      <c r="C74" s="817"/>
      <c r="D74" s="638">
        <v>0</v>
      </c>
      <c r="E74" s="636">
        <v>0</v>
      </c>
      <c r="F74" s="635">
        <v>0</v>
      </c>
      <c r="G74" s="619">
        <f t="shared" si="4"/>
        <v>0</v>
      </c>
      <c r="H74" s="638">
        <v>0</v>
      </c>
      <c r="I74" s="636">
        <v>0</v>
      </c>
      <c r="J74" s="635">
        <v>0</v>
      </c>
      <c r="K74" s="619">
        <f t="shared" si="5"/>
        <v>0</v>
      </c>
    </row>
    <row r="75" spans="1:11" x14ac:dyDescent="0.25">
      <c r="A75" s="1973"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73"/>
      <c r="B76" s="19" t="s">
        <v>33</v>
      </c>
      <c r="C76" s="817"/>
      <c r="D76" s="823" t="s">
        <v>90</v>
      </c>
      <c r="E76" s="821" t="s">
        <v>90</v>
      </c>
      <c r="F76" s="815" t="s">
        <v>90</v>
      </c>
      <c r="G76" s="619">
        <f t="shared" si="4"/>
        <v>0</v>
      </c>
      <c r="H76" s="823" t="s">
        <v>90</v>
      </c>
      <c r="I76" s="821" t="s">
        <v>90</v>
      </c>
      <c r="J76" s="815" t="s">
        <v>90</v>
      </c>
      <c r="K76" s="619">
        <f t="shared" si="5"/>
        <v>0</v>
      </c>
    </row>
    <row r="77" spans="1:11" x14ac:dyDescent="0.25">
      <c r="A77" s="1973"/>
      <c r="B77" s="13" t="s">
        <v>34</v>
      </c>
      <c r="C77" s="820"/>
      <c r="D77" s="823" t="s">
        <v>90</v>
      </c>
      <c r="E77" s="821" t="s">
        <v>90</v>
      </c>
      <c r="F77" s="815" t="s">
        <v>90</v>
      </c>
      <c r="G77" s="619">
        <f t="shared" si="4"/>
        <v>0</v>
      </c>
      <c r="H77" s="823" t="s">
        <v>90</v>
      </c>
      <c r="I77" s="821" t="s">
        <v>90</v>
      </c>
      <c r="J77" s="815" t="s">
        <v>90</v>
      </c>
      <c r="K77" s="619">
        <f t="shared" si="5"/>
        <v>0</v>
      </c>
    </row>
    <row r="78" spans="1:11" x14ac:dyDescent="0.25">
      <c r="A78" s="1973"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73"/>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73"/>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73"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73"/>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73"/>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89"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89"/>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89"/>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922"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922"/>
      <c r="B89" s="19" t="s">
        <v>33</v>
      </c>
      <c r="C89" s="817"/>
      <c r="D89" s="760">
        <v>0.25</v>
      </c>
      <c r="E89" s="814">
        <v>0</v>
      </c>
      <c r="F89" s="819">
        <v>0</v>
      </c>
      <c r="G89" s="619">
        <f t="shared" si="6"/>
        <v>0.25</v>
      </c>
      <c r="H89" s="760">
        <v>0.25</v>
      </c>
      <c r="I89" s="814">
        <v>0</v>
      </c>
      <c r="J89" s="819">
        <v>0</v>
      </c>
      <c r="K89" s="619">
        <f t="shared" si="7"/>
        <v>0.25</v>
      </c>
    </row>
    <row r="90" spans="1:13" x14ac:dyDescent="0.25">
      <c r="A90" s="1922"/>
      <c r="B90" s="19" t="s">
        <v>34</v>
      </c>
      <c r="C90" s="817"/>
      <c r="D90" s="760">
        <v>0.25</v>
      </c>
      <c r="E90" s="814">
        <v>0</v>
      </c>
      <c r="F90" s="819">
        <v>0</v>
      </c>
      <c r="G90" s="619">
        <f t="shared" si="6"/>
        <v>0.25</v>
      </c>
      <c r="H90" s="760">
        <v>0.25</v>
      </c>
      <c r="I90" s="814">
        <v>0</v>
      </c>
      <c r="J90" s="819">
        <v>0</v>
      </c>
      <c r="K90" s="619">
        <f t="shared" si="7"/>
        <v>0.25</v>
      </c>
    </row>
    <row r="91" spans="1:13" x14ac:dyDescent="0.25">
      <c r="A91" s="1973"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73"/>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73"/>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73"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73"/>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73"/>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73"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73"/>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73"/>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73"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73"/>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73"/>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922"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922"/>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74"/>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30" t="s">
        <v>376</v>
      </c>
      <c r="E1" s="1931"/>
      <c r="F1" s="1931"/>
      <c r="G1" s="1932"/>
      <c r="H1" s="1930" t="s">
        <v>379</v>
      </c>
      <c r="I1" s="1931"/>
      <c r="J1" s="1931"/>
      <c r="K1" s="1932"/>
      <c r="L1" s="1930" t="s">
        <v>284</v>
      </c>
      <c r="M1" s="1931"/>
      <c r="N1" s="1931"/>
      <c r="O1" s="1932"/>
      <c r="R1" s="208">
        <v>3</v>
      </c>
    </row>
    <row r="2" spans="1:22" ht="15.75" x14ac:dyDescent="0.25">
      <c r="B2" s="41" t="s">
        <v>37</v>
      </c>
      <c r="C2" s="1940" t="s">
        <v>35</v>
      </c>
      <c r="D2" s="36" t="s">
        <v>96</v>
      </c>
      <c r="E2" s="10" t="s">
        <v>97</v>
      </c>
      <c r="F2" s="10" t="s">
        <v>202</v>
      </c>
      <c r="G2" s="1977" t="s">
        <v>38</v>
      </c>
      <c r="H2" s="36" t="s">
        <v>96</v>
      </c>
      <c r="I2" s="10" t="s">
        <v>97</v>
      </c>
      <c r="J2" s="10" t="s">
        <v>202</v>
      </c>
      <c r="K2" s="1933" t="s">
        <v>38</v>
      </c>
      <c r="L2" s="36" t="s">
        <v>96</v>
      </c>
      <c r="M2" s="10" t="s">
        <v>97</v>
      </c>
      <c r="N2" s="10" t="s">
        <v>202</v>
      </c>
      <c r="O2" s="1933" t="s">
        <v>38</v>
      </c>
      <c r="P2" s="207">
        <v>1</v>
      </c>
      <c r="Q2" t="s">
        <v>201</v>
      </c>
      <c r="R2" s="54">
        <v>0.2</v>
      </c>
    </row>
    <row r="3" spans="1:22" ht="16.5" thickBot="1" x14ac:dyDescent="0.3">
      <c r="A3" s="12" t="s">
        <v>36</v>
      </c>
      <c r="B3" s="42">
        <v>2</v>
      </c>
      <c r="C3" s="1941"/>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33"/>
      <c r="L3" s="40">
        <f>INDEX(ТрЗ_ОП!$P$11:$P$102,MATCH(L2,ТрЗ_ОП!$O$11:$O$102,0))</f>
        <v>0</v>
      </c>
      <c r="M3" s="40">
        <f>INDEX(ТрЗ_ОП!$P$11:$P$102,MATCH(M2,ТрЗ_ОП!$O$11:$O$102,0))</f>
        <v>0</v>
      </c>
      <c r="N3" s="40">
        <f>INDEX(ТрЗ_ОП!$P$11:$P$102,MATCH(N2,ТрЗ_ОП!$O$11:$O$102,0))</f>
        <v>0</v>
      </c>
      <c r="O3" s="1933"/>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922"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922"/>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904"/>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922"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922"/>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922"/>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922"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93" t="s">
        <v>197</v>
      </c>
      <c r="R12" s="1993"/>
      <c r="S12" s="1993"/>
      <c r="T12" s="1993"/>
      <c r="U12" s="1993"/>
      <c r="V12" t="s">
        <v>192</v>
      </c>
    </row>
    <row r="13" spans="1:22" x14ac:dyDescent="0.25">
      <c r="A13" s="1922"/>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93"/>
      <c r="R13" s="1993"/>
      <c r="S13" s="1993"/>
      <c r="T13" s="1993"/>
      <c r="U13" s="1993"/>
    </row>
    <row r="14" spans="1:22" ht="15.75" thickBot="1" x14ac:dyDescent="0.3">
      <c r="A14" s="1922"/>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93"/>
      <c r="R14" s="1993"/>
      <c r="S14" s="1993"/>
      <c r="T14" s="1993"/>
      <c r="U14" s="1993"/>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94"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90"/>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90"/>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90"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90"/>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90"/>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90"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90"/>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90"/>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90"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90"/>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90"/>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90"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92" t="s">
        <v>196</v>
      </c>
      <c r="R28" s="1992"/>
      <c r="S28" s="1992"/>
      <c r="T28" s="1992"/>
      <c r="U28" s="1992"/>
    </row>
    <row r="29" spans="1:21" x14ac:dyDescent="0.25">
      <c r="A29" s="1990"/>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92"/>
      <c r="R29" s="1992"/>
      <c r="S29" s="1992"/>
      <c r="T29" s="1992"/>
      <c r="U29" s="1992"/>
    </row>
    <row r="30" spans="1:21" x14ac:dyDescent="0.25">
      <c r="A30" s="1990"/>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92"/>
      <c r="R30" s="1992"/>
      <c r="S30" s="1992"/>
      <c r="T30" s="1992"/>
      <c r="U30" s="1992"/>
    </row>
    <row r="31" spans="1:21" x14ac:dyDescent="0.25">
      <c r="A31" s="1990"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90"/>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90"/>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90"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90"/>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91"/>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922"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922"/>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922"/>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922"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922"/>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922"/>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73"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92" t="s">
        <v>195</v>
      </c>
      <c r="R45" s="1992"/>
      <c r="S45" s="1992"/>
      <c r="T45" s="1992"/>
      <c r="U45" s="1992"/>
    </row>
    <row r="46" spans="1:21" x14ac:dyDescent="0.25">
      <c r="A46" s="1973"/>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92"/>
      <c r="R46" s="1992"/>
      <c r="S46" s="1992"/>
      <c r="T46" s="1992"/>
      <c r="U46" s="1992"/>
    </row>
    <row r="47" spans="1:21" x14ac:dyDescent="0.25">
      <c r="A47" s="1973"/>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92"/>
      <c r="R47" s="1992"/>
      <c r="S47" s="1992"/>
      <c r="T47" s="1992"/>
      <c r="U47" s="1992"/>
    </row>
    <row r="48" spans="1:21" x14ac:dyDescent="0.25">
      <c r="A48" s="1973"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73"/>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73"/>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73"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73"/>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73"/>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73"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73"/>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73"/>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73"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73"/>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73"/>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73"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73"/>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73"/>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73"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73"/>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73"/>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73"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73"/>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73"/>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88"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88"/>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88"/>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73"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73"/>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73"/>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73"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73"/>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73"/>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73"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73"/>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73"/>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73"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73"/>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73"/>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89"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89"/>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89"/>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922"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922"/>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922"/>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73"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73"/>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73"/>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73"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73"/>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73"/>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73"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73"/>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73"/>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73"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73"/>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73"/>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922"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922"/>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74"/>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1854</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1837</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48" t="s">
        <v>1838</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61" t="s">
        <v>702</v>
      </c>
      <c r="B1" s="2066"/>
      <c r="C1" s="2066"/>
      <c r="D1" s="2066"/>
      <c r="E1" s="2062"/>
      <c r="F1" s="2062"/>
      <c r="G1" s="2062"/>
      <c r="H1" s="2062"/>
      <c r="I1" s="2062"/>
      <c r="J1" s="2062"/>
      <c r="K1" s="2062"/>
      <c r="L1" s="2062"/>
      <c r="M1" s="2062"/>
      <c r="N1" s="2062"/>
      <c r="O1" s="2062"/>
      <c r="P1" s="2062"/>
      <c r="Q1" s="2063"/>
      <c r="R1" s="927"/>
    </row>
    <row r="2" spans="1:18" ht="21" customHeight="1" x14ac:dyDescent="0.25">
      <c r="A2" s="927"/>
      <c r="B2" s="928" t="s">
        <v>114</v>
      </c>
      <c r="C2" s="2067" t="s">
        <v>703</v>
      </c>
      <c r="D2" s="2068"/>
      <c r="E2" s="927"/>
      <c r="F2" s="927"/>
      <c r="G2" s="927"/>
      <c r="H2" s="927"/>
      <c r="I2" s="927"/>
      <c r="J2" s="927"/>
      <c r="K2" s="927"/>
      <c r="L2" s="927"/>
      <c r="M2" s="927"/>
      <c r="N2" s="927"/>
      <c r="O2" s="927"/>
      <c r="P2" s="927"/>
      <c r="Q2" s="927"/>
      <c r="R2" s="927"/>
    </row>
    <row r="3" spans="1:18" ht="21" customHeight="1" x14ac:dyDescent="0.25">
      <c r="A3" s="927"/>
      <c r="B3" s="929" t="s">
        <v>704</v>
      </c>
      <c r="C3" s="2069" t="s">
        <v>705</v>
      </c>
      <c r="D3" s="2070"/>
      <c r="E3" s="927"/>
      <c r="F3" s="927"/>
      <c r="G3" s="927"/>
      <c r="H3" s="927"/>
      <c r="I3" s="927"/>
      <c r="J3" s="927"/>
      <c r="K3" s="927"/>
      <c r="L3" s="927"/>
      <c r="M3" s="927"/>
      <c r="N3" s="927"/>
      <c r="O3" s="927"/>
      <c r="P3" s="927"/>
      <c r="Q3" s="927"/>
      <c r="R3" s="927"/>
    </row>
    <row r="4" spans="1:18" ht="21" customHeight="1" thickBot="1" x14ac:dyDescent="0.3">
      <c r="A4" s="927"/>
      <c r="B4" s="930" t="s">
        <v>706</v>
      </c>
      <c r="C4" s="2071" t="s">
        <v>707</v>
      </c>
      <c r="D4" s="2072"/>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73" t="s">
        <v>708</v>
      </c>
      <c r="C7" s="2074"/>
      <c r="D7" s="2075"/>
      <c r="E7" s="927"/>
      <c r="F7" s="927"/>
      <c r="G7" s="2076" t="s">
        <v>709</v>
      </c>
      <c r="H7" s="2077"/>
      <c r="I7" s="2078"/>
      <c r="J7" s="927"/>
      <c r="K7" s="927"/>
      <c r="L7" s="2079" t="s">
        <v>710</v>
      </c>
      <c r="M7" s="2080"/>
      <c r="N7" s="2081"/>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34"/>
      <c r="M8" s="2035"/>
      <c r="N8" s="2036"/>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37"/>
      <c r="M9" s="2038"/>
      <c r="N9" s="2039"/>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37"/>
      <c r="M10" s="2038"/>
      <c r="N10" s="2039"/>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37"/>
      <c r="M11" s="2038"/>
      <c r="N11" s="2039"/>
      <c r="O11" s="927"/>
      <c r="P11" s="927"/>
      <c r="Q11" s="927"/>
      <c r="R11" s="927"/>
    </row>
    <row r="12" spans="1:18" x14ac:dyDescent="0.25">
      <c r="A12" s="927"/>
      <c r="B12" s="945" t="s">
        <v>716</v>
      </c>
      <c r="C12" s="940" t="s">
        <v>53</v>
      </c>
      <c r="D12" s="942">
        <f>0.1*SUM(D9:D11)</f>
        <v>0</v>
      </c>
      <c r="E12" s="927"/>
      <c r="F12" s="927"/>
      <c r="G12" s="943"/>
      <c r="H12" s="940"/>
      <c r="I12" s="944"/>
      <c r="J12" s="927"/>
      <c r="K12" s="927"/>
      <c r="L12" s="2037"/>
      <c r="M12" s="2038"/>
      <c r="N12" s="2039"/>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40"/>
      <c r="M13" s="2041"/>
      <c r="N13" s="2042"/>
      <c r="O13" s="927"/>
      <c r="P13" s="927"/>
      <c r="Q13" s="927"/>
      <c r="R13" s="927"/>
    </row>
    <row r="14" spans="1:18" x14ac:dyDescent="0.25">
      <c r="A14" s="927"/>
      <c r="B14" s="947"/>
      <c r="C14" s="940" t="s">
        <v>713</v>
      </c>
      <c r="D14" s="942">
        <f>'Служебный ОВ'!H52</f>
        <v>0</v>
      </c>
      <c r="E14" s="927"/>
      <c r="F14" s="927"/>
      <c r="G14" s="943"/>
      <c r="H14" s="940"/>
      <c r="I14" s="944"/>
      <c r="J14" s="927"/>
      <c r="K14" s="927"/>
      <c r="L14" s="2043"/>
      <c r="M14" s="2044"/>
      <c r="N14" s="2045"/>
      <c r="O14" s="927"/>
      <c r="P14" s="927"/>
      <c r="Q14" s="927"/>
      <c r="R14" s="927"/>
    </row>
    <row r="15" spans="1:18" x14ac:dyDescent="0.25">
      <c r="A15" s="927"/>
      <c r="B15" s="937"/>
      <c r="C15" s="940" t="s">
        <v>714</v>
      </c>
      <c r="D15" s="942">
        <f>'Служебный ОВ'!G52</f>
        <v>0</v>
      </c>
      <c r="E15" s="927"/>
      <c r="F15" s="927"/>
      <c r="G15" s="943"/>
      <c r="H15" s="940"/>
      <c r="I15" s="944"/>
      <c r="J15" s="927"/>
      <c r="K15" s="927"/>
      <c r="L15" s="2046"/>
      <c r="M15" s="2047"/>
      <c r="N15" s="2048"/>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46"/>
      <c r="M16" s="2047"/>
      <c r="N16" s="2048"/>
      <c r="O16" s="927"/>
      <c r="P16" s="927"/>
      <c r="Q16" s="927"/>
      <c r="R16" s="927"/>
    </row>
    <row r="17" spans="1:18" x14ac:dyDescent="0.25">
      <c r="A17" s="927"/>
      <c r="B17" s="937"/>
      <c r="C17" s="940" t="s">
        <v>53</v>
      </c>
      <c r="D17" s="942">
        <f>0.1*SUM(D14:D16)</f>
        <v>0</v>
      </c>
      <c r="E17" s="927"/>
      <c r="F17" s="927"/>
      <c r="G17" s="943"/>
      <c r="H17" s="940"/>
      <c r="I17" s="944"/>
      <c r="J17" s="927"/>
      <c r="K17" s="927"/>
      <c r="L17" s="2046"/>
      <c r="M17" s="2047"/>
      <c r="N17" s="2048"/>
      <c r="O17" s="927"/>
      <c r="P17" s="927"/>
      <c r="Q17" s="927"/>
      <c r="R17" s="927"/>
    </row>
    <row r="18" spans="1:18" ht="15.75" thickBot="1" x14ac:dyDescent="0.3">
      <c r="A18" s="927"/>
      <c r="B18" s="949"/>
      <c r="C18" s="940" t="s">
        <v>120</v>
      </c>
      <c r="D18" s="942">
        <f>0.2*SUM(D14:D17)</f>
        <v>0</v>
      </c>
      <c r="E18" s="927"/>
      <c r="F18" s="927"/>
      <c r="G18" s="943"/>
      <c r="H18" s="940"/>
      <c r="I18" s="944"/>
      <c r="J18" s="927"/>
      <c r="K18" s="927"/>
      <c r="L18" s="2046"/>
      <c r="M18" s="2047"/>
      <c r="N18" s="2048"/>
      <c r="O18" s="927"/>
      <c r="P18" s="927"/>
      <c r="Q18" s="927"/>
      <c r="R18" s="927"/>
    </row>
    <row r="19" spans="1:18" x14ac:dyDescent="0.25">
      <c r="A19" s="927"/>
      <c r="B19" s="947"/>
      <c r="C19" s="940" t="s">
        <v>713</v>
      </c>
      <c r="D19" s="942">
        <f>'Служебный ОВ'!K52</f>
        <v>0</v>
      </c>
      <c r="E19" s="927"/>
      <c r="F19" s="927"/>
      <c r="G19" s="943"/>
      <c r="H19" s="940"/>
      <c r="I19" s="944"/>
      <c r="J19" s="927"/>
      <c r="K19" s="927"/>
      <c r="L19" s="2046"/>
      <c r="M19" s="2047"/>
      <c r="N19" s="2048"/>
      <c r="O19" s="927"/>
      <c r="P19" s="927"/>
      <c r="Q19" s="927"/>
      <c r="R19" s="927"/>
    </row>
    <row r="20" spans="1:18" x14ac:dyDescent="0.25">
      <c r="A20" s="927"/>
      <c r="B20" s="937"/>
      <c r="C20" s="940" t="s">
        <v>714</v>
      </c>
      <c r="D20" s="942">
        <f>'Служебный ОВ'!J52</f>
        <v>0</v>
      </c>
      <c r="E20" s="927"/>
      <c r="F20" s="927"/>
      <c r="G20" s="943"/>
      <c r="H20" s="940"/>
      <c r="I20" s="944"/>
      <c r="J20" s="927"/>
      <c r="K20" s="927"/>
      <c r="L20" s="2046"/>
      <c r="M20" s="2047"/>
      <c r="N20" s="2048"/>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49"/>
      <c r="M21" s="2050"/>
      <c r="N21" s="2051"/>
      <c r="O21" s="927"/>
      <c r="P21" s="927"/>
      <c r="Q21" s="927"/>
      <c r="R21" s="927"/>
    </row>
    <row r="22" spans="1:18" x14ac:dyDescent="0.25">
      <c r="A22" s="927"/>
      <c r="B22" s="937"/>
      <c r="C22" s="940" t="s">
        <v>53</v>
      </c>
      <c r="D22" s="942">
        <f>0.1*SUM(D19:D21)</f>
        <v>0</v>
      </c>
      <c r="E22" s="927"/>
      <c r="F22" s="927"/>
      <c r="G22" s="943"/>
      <c r="H22" s="940"/>
      <c r="I22" s="944"/>
      <c r="J22" s="927"/>
      <c r="K22" s="927"/>
      <c r="L22" s="2052"/>
      <c r="M22" s="2053"/>
      <c r="N22" s="2054"/>
      <c r="O22" s="927"/>
      <c r="P22" s="927"/>
      <c r="Q22" s="927"/>
      <c r="R22" s="927"/>
    </row>
    <row r="23" spans="1:18" x14ac:dyDescent="0.25">
      <c r="A23" s="927"/>
      <c r="B23" s="937"/>
      <c r="C23" s="950" t="s">
        <v>120</v>
      </c>
      <c r="D23" s="942">
        <f>0.2*SUM(D19:D22)</f>
        <v>0</v>
      </c>
      <c r="E23" s="927"/>
      <c r="F23" s="927"/>
      <c r="G23" s="943"/>
      <c r="H23" s="940"/>
      <c r="I23" s="944"/>
      <c r="J23" s="927"/>
      <c r="K23" s="927"/>
      <c r="L23" s="2055"/>
      <c r="M23" s="2056"/>
      <c r="N23" s="2057"/>
      <c r="O23" s="927"/>
      <c r="P23" s="927"/>
      <c r="Q23" s="927"/>
      <c r="R23" s="927"/>
    </row>
    <row r="24" spans="1:18" x14ac:dyDescent="0.25">
      <c r="A24" s="927"/>
      <c r="B24" s="951"/>
      <c r="C24" s="952" t="s">
        <v>713</v>
      </c>
      <c r="D24" s="1558" t="str">
        <f>IF(Q107=1,'АЗ ОВ'!G54,"0,0")</f>
        <v>0,0</v>
      </c>
      <c r="E24" s="927"/>
      <c r="F24" s="927"/>
      <c r="G24" s="943"/>
      <c r="H24" s="940"/>
      <c r="I24" s="944"/>
      <c r="J24" s="927"/>
      <c r="K24" s="927"/>
      <c r="L24" s="2055"/>
      <c r="M24" s="2056"/>
      <c r="N24" s="2057"/>
      <c r="O24" s="927"/>
      <c r="P24" s="927"/>
      <c r="Q24" s="927"/>
      <c r="R24" s="927"/>
    </row>
    <row r="25" spans="1:18" x14ac:dyDescent="0.25">
      <c r="A25" s="927"/>
      <c r="B25" s="953"/>
      <c r="C25" s="952" t="s">
        <v>714</v>
      </c>
      <c r="D25" s="1558" t="str">
        <f>IF(Q107=1,'АЗ ОВ'!F54,"0,0")</f>
        <v>0,0</v>
      </c>
      <c r="E25" s="927"/>
      <c r="F25" s="927"/>
      <c r="G25" s="943"/>
      <c r="H25" s="940"/>
      <c r="I25" s="944"/>
      <c r="J25" s="927"/>
      <c r="K25" s="927"/>
      <c r="L25" s="2055"/>
      <c r="M25" s="2056"/>
      <c r="N25" s="2057"/>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55"/>
      <c r="M26" s="2056"/>
      <c r="N26" s="2057"/>
      <c r="O26" s="927"/>
      <c r="P26" s="927"/>
      <c r="Q26" s="927"/>
      <c r="R26" s="927"/>
    </row>
    <row r="27" spans="1:18" x14ac:dyDescent="0.25">
      <c r="A27" s="927"/>
      <c r="B27" s="953"/>
      <c r="C27" s="952" t="s">
        <v>53</v>
      </c>
      <c r="D27" s="942">
        <f>0.1*SUM(D24:D26)</f>
        <v>0</v>
      </c>
      <c r="E27" s="927"/>
      <c r="F27" s="927"/>
      <c r="G27" s="943"/>
      <c r="H27" s="940"/>
      <c r="I27" s="944"/>
      <c r="J27" s="927"/>
      <c r="K27" s="927"/>
      <c r="L27" s="2055"/>
      <c r="M27" s="2056"/>
      <c r="N27" s="2057"/>
      <c r="O27" s="927"/>
      <c r="P27" s="927"/>
      <c r="Q27" s="927"/>
      <c r="R27" s="927"/>
    </row>
    <row r="28" spans="1:18" ht="15.75" thickBot="1" x14ac:dyDescent="0.3">
      <c r="A28" s="927"/>
      <c r="B28" s="954"/>
      <c r="C28" s="955" t="s">
        <v>120</v>
      </c>
      <c r="D28" s="942">
        <f>0.2*SUM(D24:D27)</f>
        <v>0</v>
      </c>
      <c r="E28" s="927"/>
      <c r="F28" s="927"/>
      <c r="G28" s="943"/>
      <c r="H28" s="940"/>
      <c r="I28" s="944"/>
      <c r="J28" s="927"/>
      <c r="K28" s="927"/>
      <c r="L28" s="2055"/>
      <c r="M28" s="2056"/>
      <c r="N28" s="2057"/>
      <c r="O28" s="927"/>
      <c r="P28" s="927"/>
      <c r="Q28" s="927"/>
      <c r="R28" s="927"/>
    </row>
    <row r="29" spans="1:18" ht="15.75" thickBot="1" x14ac:dyDescent="0.3">
      <c r="A29" s="927"/>
      <c r="B29" s="956"/>
      <c r="C29" s="957" t="s">
        <v>713</v>
      </c>
      <c r="D29" s="960">
        <f>SUM(D9,D14,D19)</f>
        <v>0</v>
      </c>
      <c r="E29" s="927"/>
      <c r="F29" s="927"/>
      <c r="G29" s="943"/>
      <c r="H29" s="940"/>
      <c r="I29" s="944"/>
      <c r="J29" s="927"/>
      <c r="K29" s="927"/>
      <c r="L29" s="2055"/>
      <c r="M29" s="2056"/>
      <c r="N29" s="2057"/>
      <c r="O29" s="927"/>
      <c r="P29" s="927"/>
      <c r="Q29" s="927"/>
      <c r="R29" s="927"/>
    </row>
    <row r="30" spans="1:18" ht="15.75" thickBot="1" x14ac:dyDescent="0.3">
      <c r="A30" s="927"/>
      <c r="B30" s="958"/>
      <c r="C30" s="959" t="s">
        <v>714</v>
      </c>
      <c r="D30" s="960">
        <f>SUM(D10,D15,D20)</f>
        <v>0</v>
      </c>
      <c r="E30" s="927"/>
      <c r="F30" s="927"/>
      <c r="G30" s="943"/>
      <c r="H30" s="940"/>
      <c r="I30" s="944"/>
      <c r="J30" s="927"/>
      <c r="K30" s="927"/>
      <c r="L30" s="2055"/>
      <c r="M30" s="2056"/>
      <c r="N30" s="2057"/>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55"/>
      <c r="M31" s="2056"/>
      <c r="N31" s="2057"/>
      <c r="O31" s="927"/>
      <c r="P31" s="927"/>
      <c r="Q31" s="927"/>
      <c r="R31" s="927"/>
    </row>
    <row r="32" spans="1:18" ht="15.75" thickBot="1" x14ac:dyDescent="0.3">
      <c r="A32" s="927"/>
      <c r="B32" s="958"/>
      <c r="C32" s="959" t="s">
        <v>53</v>
      </c>
      <c r="D32" s="960">
        <f>0.1*SUM(D29:D31)</f>
        <v>0</v>
      </c>
      <c r="E32" s="927"/>
      <c r="F32" s="927"/>
      <c r="G32" s="943"/>
      <c r="H32" s="940"/>
      <c r="I32" s="944"/>
      <c r="J32" s="927"/>
      <c r="K32" s="927"/>
      <c r="L32" s="2055"/>
      <c r="M32" s="2056"/>
      <c r="N32" s="2057"/>
      <c r="O32" s="927"/>
      <c r="P32" s="927"/>
      <c r="Q32" s="927"/>
      <c r="R32" s="927"/>
    </row>
    <row r="33" spans="1:18" ht="15.75" thickBot="1" x14ac:dyDescent="0.3">
      <c r="A33" s="927"/>
      <c r="B33" s="962"/>
      <c r="C33" s="963" t="s">
        <v>120</v>
      </c>
      <c r="D33" s="960">
        <f>0.2*SUM(D29:D32)</f>
        <v>0</v>
      </c>
      <c r="E33" s="927"/>
      <c r="F33" s="927"/>
      <c r="G33" s="964"/>
      <c r="H33" s="965"/>
      <c r="I33" s="966"/>
      <c r="J33" s="927"/>
      <c r="K33" s="927"/>
      <c r="L33" s="2058"/>
      <c r="M33" s="2059"/>
      <c r="N33" s="2060"/>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61" t="s">
        <v>718</v>
      </c>
      <c r="B36" s="2062"/>
      <c r="C36" s="2062"/>
      <c r="D36" s="2062"/>
      <c r="E36" s="2062"/>
      <c r="F36" s="2062"/>
      <c r="G36" s="2062"/>
      <c r="H36" s="2062"/>
      <c r="I36" s="2062"/>
      <c r="J36" s="2062"/>
      <c r="K36" s="2062"/>
      <c r="L36" s="2062"/>
      <c r="M36" s="2062"/>
      <c r="N36" s="2062"/>
      <c r="O36" s="2062"/>
      <c r="P36" s="2062"/>
      <c r="Q36" s="2063"/>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64" t="s">
        <v>36</v>
      </c>
      <c r="F38" s="2065"/>
      <c r="G38" s="967" t="s">
        <v>721</v>
      </c>
      <c r="H38" s="967" t="s">
        <v>722</v>
      </c>
      <c r="I38" s="967" t="s">
        <v>723</v>
      </c>
      <c r="J38" s="2064" t="s">
        <v>36</v>
      </c>
      <c r="K38" s="2065"/>
      <c r="L38" s="967" t="s">
        <v>724</v>
      </c>
      <c r="M38" s="967" t="s">
        <v>722</v>
      </c>
      <c r="N38" s="967" t="s">
        <v>725</v>
      </c>
      <c r="O38" s="2064" t="s">
        <v>36</v>
      </c>
      <c r="P38" s="2065"/>
      <c r="Q38" s="969"/>
      <c r="R38" s="927"/>
    </row>
    <row r="39" spans="1:18" ht="16.899999999999999" customHeight="1" collapsed="1" x14ac:dyDescent="0.25">
      <c r="A39" s="927">
        <f>IF($B$11,1,0)</f>
        <v>1</v>
      </c>
      <c r="B39" s="970" t="b">
        <v>0</v>
      </c>
      <c r="C39" s="971"/>
      <c r="D39" s="940" t="str">
        <f>IF(B39, "Количество площадок","")</f>
        <v/>
      </c>
      <c r="E39" s="1995"/>
      <c r="F39" s="1995"/>
      <c r="G39" s="940" t="str">
        <f>IF(B39, "Количество узлов","")</f>
        <v/>
      </c>
      <c r="H39" s="972"/>
      <c r="I39" s="940" t="str">
        <f>IF(B39, "Количество кластеров","")</f>
        <v/>
      </c>
      <c r="J39" s="1995"/>
      <c r="K39" s="1995"/>
      <c r="L39" s="940"/>
      <c r="M39" s="970"/>
      <c r="N39" s="940"/>
      <c r="O39" s="1995"/>
      <c r="P39" s="1995"/>
      <c r="Q39" s="970" t="str">
        <f>IF(B39,1,"")</f>
        <v/>
      </c>
      <c r="R39" s="927"/>
    </row>
    <row r="40" spans="1:18" ht="27" hidden="1" customHeight="1" outlineLevel="1" thickBot="1" x14ac:dyDescent="0.3">
      <c r="A40" s="927"/>
      <c r="B40" s="2002" t="s">
        <v>1559</v>
      </c>
      <c r="C40" s="2003"/>
      <c r="D40" s="2003"/>
      <c r="E40" s="2003"/>
      <c r="F40" s="2003"/>
      <c r="G40" s="2003"/>
      <c r="H40" s="2003"/>
      <c r="I40" s="2003"/>
      <c r="J40" s="2003"/>
      <c r="K40" s="2003"/>
      <c r="L40" s="2003"/>
      <c r="M40" s="2003"/>
      <c r="N40" s="2003"/>
      <c r="O40" s="2003"/>
      <c r="P40" s="2003"/>
      <c r="Q40" s="2004"/>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2005" t="s">
        <v>1560</v>
      </c>
      <c r="C42" s="2006"/>
      <c r="D42" s="2006"/>
      <c r="E42" s="2006"/>
      <c r="F42" s="2006"/>
      <c r="G42" s="2006"/>
      <c r="H42" s="2006"/>
      <c r="I42" s="2006"/>
      <c r="J42" s="2006"/>
      <c r="K42" s="2006"/>
      <c r="L42" s="2006"/>
      <c r="M42" s="2006"/>
      <c r="N42" s="2006"/>
      <c r="O42" s="2006"/>
      <c r="P42" s="2006"/>
      <c r="Q42" s="2007"/>
      <c r="R42" s="927"/>
    </row>
    <row r="43" spans="1:18" s="118" customFormat="1" ht="28.9" hidden="1" customHeight="1" outlineLevel="1" x14ac:dyDescent="0.25">
      <c r="A43" s="927"/>
      <c r="B43" s="2032" t="s">
        <v>1561</v>
      </c>
      <c r="C43" s="2033"/>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32" t="s">
        <v>1562</v>
      </c>
      <c r="C44" s="2033"/>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32" t="s">
        <v>1563</v>
      </c>
      <c r="C45" s="2033"/>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32" t="s">
        <v>726</v>
      </c>
      <c r="C46" s="2033"/>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32" t="s">
        <v>727</v>
      </c>
      <c r="C47" s="2033"/>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32" t="s">
        <v>1564</v>
      </c>
      <c r="C48" s="2033"/>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32" t="s">
        <v>1565</v>
      </c>
      <c r="C49" s="2033"/>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32" t="s">
        <v>1566</v>
      </c>
      <c r="C50" s="2033"/>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2005" t="s">
        <v>1567</v>
      </c>
      <c r="C52" s="2006"/>
      <c r="D52" s="2006"/>
      <c r="E52" s="2006"/>
      <c r="F52" s="2006"/>
      <c r="G52" s="2006"/>
      <c r="H52" s="2006"/>
      <c r="I52" s="2006"/>
      <c r="J52" s="2006"/>
      <c r="K52" s="2006"/>
      <c r="L52" s="2006"/>
      <c r="M52" s="2006"/>
      <c r="N52" s="2006"/>
      <c r="O52" s="2006"/>
      <c r="P52" s="2006"/>
      <c r="Q52" s="2007"/>
      <c r="R52" s="927"/>
    </row>
    <row r="53" spans="1:18" ht="21" hidden="1" customHeight="1" outlineLevel="1" x14ac:dyDescent="0.25">
      <c r="A53" s="927"/>
      <c r="B53" s="2028" t="s">
        <v>728</v>
      </c>
      <c r="C53" s="2029"/>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28" t="s">
        <v>729</v>
      </c>
      <c r="C54" s="2029"/>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28" t="s">
        <v>730</v>
      </c>
      <c r="C55" s="2029"/>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28" t="s">
        <v>731</v>
      </c>
      <c r="C56" s="2029"/>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28" t="s">
        <v>732</v>
      </c>
      <c r="C57" s="2029"/>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28" t="s">
        <v>733</v>
      </c>
      <c r="C58" s="2029"/>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28" t="s">
        <v>734</v>
      </c>
      <c r="C59" s="2029"/>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2005" t="s">
        <v>1568</v>
      </c>
      <c r="C61" s="2006"/>
      <c r="D61" s="2006"/>
      <c r="E61" s="2006"/>
      <c r="F61" s="2006"/>
      <c r="G61" s="2006"/>
      <c r="H61" s="2006"/>
      <c r="I61" s="2006"/>
      <c r="J61" s="2006"/>
      <c r="K61" s="2006"/>
      <c r="L61" s="2006"/>
      <c r="M61" s="2006"/>
      <c r="N61" s="2006"/>
      <c r="O61" s="2006"/>
      <c r="P61" s="2006"/>
      <c r="Q61" s="2007"/>
      <c r="R61" s="927"/>
    </row>
    <row r="62" spans="1:18" ht="21.6" hidden="1" customHeight="1" outlineLevel="1" x14ac:dyDescent="0.25">
      <c r="A62" s="927"/>
      <c r="B62" s="2028" t="s">
        <v>735</v>
      </c>
      <c r="C62" s="2029"/>
      <c r="D62" s="977" t="s">
        <v>107</v>
      </c>
      <c r="E62" s="981"/>
      <c r="F62" s="981"/>
      <c r="G62" s="982"/>
      <c r="H62" s="982"/>
      <c r="I62" s="982"/>
      <c r="J62" s="981"/>
      <c r="K62" s="981"/>
      <c r="L62" s="982"/>
      <c r="M62" s="982"/>
      <c r="N62" s="982"/>
      <c r="O62" s="981"/>
      <c r="P62" s="981"/>
      <c r="Q62" s="983"/>
      <c r="R62" s="927"/>
    </row>
    <row r="63" spans="1:18" hidden="1" outlineLevel="1" x14ac:dyDescent="0.25">
      <c r="A63" s="927"/>
      <c r="B63" s="2028" t="s">
        <v>736</v>
      </c>
      <c r="C63" s="2029"/>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28" t="s">
        <v>737</v>
      </c>
      <c r="C64" s="2029"/>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28" t="s">
        <v>738</v>
      </c>
      <c r="C65" s="2029"/>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28" t="s">
        <v>739</v>
      </c>
      <c r="C66" s="2029"/>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28" t="s">
        <v>740</v>
      </c>
      <c r="C67" s="2029"/>
      <c r="D67" s="985"/>
      <c r="E67" s="981"/>
      <c r="F67" s="981"/>
      <c r="G67" s="982"/>
      <c r="H67" s="982"/>
      <c r="I67" s="982"/>
      <c r="J67" s="981"/>
      <c r="K67" s="981"/>
      <c r="L67" s="982"/>
      <c r="M67" s="982"/>
      <c r="N67" s="982"/>
      <c r="O67" s="981"/>
      <c r="P67" s="981"/>
      <c r="Q67" s="983"/>
      <c r="R67" s="927"/>
    </row>
    <row r="68" spans="1:18" hidden="1" outlineLevel="1" x14ac:dyDescent="0.25">
      <c r="A68" s="927"/>
      <c r="B68" s="2028" t="s">
        <v>741</v>
      </c>
      <c r="C68" s="2029"/>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28" t="s">
        <v>742</v>
      </c>
      <c r="C69" s="2029"/>
      <c r="D69" s="985"/>
      <c r="E69" s="981"/>
      <c r="F69" s="981"/>
      <c r="G69" s="982"/>
      <c r="H69" s="982"/>
      <c r="I69" s="982"/>
      <c r="J69" s="981"/>
      <c r="K69" s="981"/>
      <c r="L69" s="982"/>
      <c r="M69" s="982"/>
      <c r="N69" s="982"/>
      <c r="O69" s="981"/>
      <c r="P69" s="981"/>
      <c r="Q69" s="983"/>
      <c r="R69" s="927"/>
    </row>
    <row r="70" spans="1:18" hidden="1" outlineLevel="1" x14ac:dyDescent="0.25">
      <c r="A70" s="927"/>
      <c r="B70" s="2028" t="s">
        <v>1569</v>
      </c>
      <c r="C70" s="2029"/>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30" t="s">
        <v>743</v>
      </c>
      <c r="C71" s="2031"/>
      <c r="D71" s="985"/>
      <c r="E71" s="2025"/>
      <c r="F71" s="2025"/>
      <c r="G71" s="982"/>
      <c r="H71" s="982"/>
      <c r="I71" s="982"/>
      <c r="J71" s="2025"/>
      <c r="K71" s="2025"/>
      <c r="L71" s="982"/>
      <c r="M71" s="982"/>
      <c r="N71" s="982"/>
      <c r="O71" s="2025"/>
      <c r="P71" s="2025"/>
      <c r="Q71" s="983"/>
      <c r="R71" s="927"/>
    </row>
    <row r="72" spans="1:18" hidden="1" outlineLevel="1" x14ac:dyDescent="0.25">
      <c r="A72" s="927"/>
      <c r="B72" s="984"/>
      <c r="C72" s="982"/>
      <c r="D72" s="982"/>
      <c r="E72" s="2025"/>
      <c r="F72" s="2025"/>
      <c r="G72" s="982"/>
      <c r="H72" s="982"/>
      <c r="I72" s="982"/>
      <c r="J72" s="2025"/>
      <c r="K72" s="2025"/>
      <c r="L72" s="982"/>
      <c r="M72" s="982"/>
      <c r="N72" s="982"/>
      <c r="O72" s="2025"/>
      <c r="P72" s="2025"/>
      <c r="Q72" s="983"/>
      <c r="R72" s="927"/>
    </row>
    <row r="73" spans="1:18" ht="21" customHeight="1" collapsed="1" x14ac:dyDescent="0.25">
      <c r="A73" s="927">
        <f>IF($B$11,1,0)</f>
        <v>1</v>
      </c>
      <c r="B73" s="970" t="b">
        <v>0</v>
      </c>
      <c r="C73" s="971"/>
      <c r="D73" s="986" t="str">
        <f>IF(B73, "Количество площадок","")</f>
        <v/>
      </c>
      <c r="E73" s="1995"/>
      <c r="F73" s="1995"/>
      <c r="G73" s="987" t="str">
        <f>IF(B73, "Количество узлов упр-я","")</f>
        <v/>
      </c>
      <c r="H73" s="988"/>
      <c r="I73" s="987" t="str">
        <f>IF(B73, "Количество KICS","")</f>
        <v/>
      </c>
      <c r="J73" s="1995"/>
      <c r="K73" s="1995"/>
      <c r="L73" s="987" t="str">
        <f>IF(B73, "Количество KES","")</f>
        <v/>
      </c>
      <c r="M73" s="972"/>
      <c r="N73" s="940"/>
      <c r="O73" s="1995"/>
      <c r="P73" s="1995"/>
      <c r="Q73" s="970" t="str">
        <f>IF(B73,1,"")</f>
        <v/>
      </c>
      <c r="R73" s="927"/>
    </row>
    <row r="74" spans="1:18" ht="19.5" hidden="1" outlineLevel="1" thickBot="1" x14ac:dyDescent="0.3">
      <c r="A74" s="927"/>
      <c r="B74" s="2002" t="s">
        <v>744</v>
      </c>
      <c r="C74" s="2003"/>
      <c r="D74" s="2003"/>
      <c r="E74" s="2003"/>
      <c r="F74" s="2003"/>
      <c r="G74" s="2003"/>
      <c r="H74" s="2003"/>
      <c r="I74" s="2003"/>
      <c r="J74" s="2003"/>
      <c r="K74" s="2003"/>
      <c r="L74" s="2003"/>
      <c r="M74" s="2003"/>
      <c r="N74" s="2003"/>
      <c r="O74" s="2003"/>
      <c r="P74" s="2003"/>
      <c r="Q74" s="2004"/>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2005" t="s">
        <v>745</v>
      </c>
      <c r="C76" s="2006"/>
      <c r="D76" s="2006"/>
      <c r="E76" s="2006"/>
      <c r="F76" s="2006"/>
      <c r="G76" s="2006"/>
      <c r="H76" s="2006"/>
      <c r="I76" s="2006"/>
      <c r="J76" s="2006"/>
      <c r="K76" s="2006"/>
      <c r="L76" s="2006"/>
      <c r="M76" s="2006"/>
      <c r="N76" s="2006"/>
      <c r="O76" s="2006"/>
      <c r="P76" s="2006"/>
      <c r="Q76" s="2007"/>
      <c r="R76" s="927"/>
    </row>
    <row r="77" spans="1:18" ht="22.15" hidden="1" customHeight="1" outlineLevel="1" x14ac:dyDescent="0.25">
      <c r="A77" s="927"/>
      <c r="B77" s="2026" t="s">
        <v>746</v>
      </c>
      <c r="C77" s="2009"/>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2005" t="s">
        <v>747</v>
      </c>
      <c r="C79" s="2006"/>
      <c r="D79" s="2006"/>
      <c r="E79" s="2006"/>
      <c r="F79" s="2006"/>
      <c r="G79" s="2006"/>
      <c r="H79" s="2006"/>
      <c r="I79" s="2006"/>
      <c r="J79" s="2006"/>
      <c r="K79" s="2006"/>
      <c r="L79" s="2006"/>
      <c r="M79" s="2006"/>
      <c r="N79" s="2006"/>
      <c r="O79" s="2006"/>
      <c r="P79" s="2006"/>
      <c r="Q79" s="2007"/>
      <c r="R79" s="927"/>
    </row>
    <row r="80" spans="1:18" ht="23.45" hidden="1" customHeight="1" outlineLevel="1" x14ac:dyDescent="0.25">
      <c r="A80" s="927"/>
      <c r="B80" s="2026" t="s">
        <v>746</v>
      </c>
      <c r="C80" s="2009"/>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22"/>
      <c r="F82" s="2022"/>
      <c r="G82" s="940" t="str">
        <f>IF(B82, "Количество хостов","")</f>
        <v/>
      </c>
      <c r="H82" s="995"/>
      <c r="I82" s="938" t="str">
        <f>IF(B82, "Количество почтовых серверов","")</f>
        <v/>
      </c>
      <c r="J82" s="2022"/>
      <c r="K82" s="2022"/>
      <c r="L82" s="938" t="str">
        <f>IF(B82, "Количество правил фильтрации","")</f>
        <v/>
      </c>
      <c r="M82" s="995"/>
      <c r="N82" s="938"/>
      <c r="O82" s="2022"/>
      <c r="P82" s="2022"/>
      <c r="Q82" s="993" t="str">
        <f>IF(B82,1,"")</f>
        <v/>
      </c>
      <c r="R82" s="927"/>
    </row>
    <row r="83" spans="1:18" collapsed="1" x14ac:dyDescent="0.25">
      <c r="A83" s="927">
        <f>IF($B$11,1,0)</f>
        <v>1</v>
      </c>
      <c r="B83" s="996" t="b">
        <v>0</v>
      </c>
      <c r="C83" s="997"/>
      <c r="D83" s="940" t="str">
        <f>IF(B83, "Количество площадок","")</f>
        <v/>
      </c>
      <c r="E83" s="2027"/>
      <c r="F83" s="2027"/>
      <c r="G83" s="950" t="str">
        <f>IF(B83, "Количество устройств","")</f>
        <v/>
      </c>
      <c r="H83" s="998"/>
      <c r="I83" s="950" t="str">
        <f>IF(B83, "Количество кластеров","")</f>
        <v/>
      </c>
      <c r="J83" s="2027"/>
      <c r="K83" s="2027"/>
      <c r="L83" s="950" t="str">
        <f>IF(B83, "Кол-во VPN клиентов ","")</f>
        <v/>
      </c>
      <c r="M83" s="998"/>
      <c r="N83" s="950"/>
      <c r="O83" s="2027"/>
      <c r="P83" s="2027"/>
      <c r="Q83" s="993" t="str">
        <f>IF(B83,1,"")</f>
        <v/>
      </c>
      <c r="R83" s="927"/>
    </row>
    <row r="84" spans="1:18" ht="19.5" hidden="1" outlineLevel="1" thickBot="1" x14ac:dyDescent="0.3">
      <c r="A84" s="927"/>
      <c r="B84" s="2002" t="s">
        <v>748</v>
      </c>
      <c r="C84" s="2003"/>
      <c r="D84" s="2003"/>
      <c r="E84" s="2003"/>
      <c r="F84" s="2003"/>
      <c r="G84" s="2003"/>
      <c r="H84" s="2003"/>
      <c r="I84" s="2003"/>
      <c r="J84" s="2003"/>
      <c r="K84" s="2003"/>
      <c r="L84" s="2003"/>
      <c r="M84" s="2003"/>
      <c r="N84" s="2003"/>
      <c r="O84" s="2003"/>
      <c r="P84" s="2003"/>
      <c r="Q84" s="2004"/>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2005" t="s">
        <v>749</v>
      </c>
      <c r="C86" s="2006"/>
      <c r="D86" s="2006"/>
      <c r="E86" s="2006"/>
      <c r="F86" s="2006"/>
      <c r="G86" s="2006"/>
      <c r="H86" s="2006"/>
      <c r="I86" s="2006"/>
      <c r="J86" s="2006"/>
      <c r="K86" s="2006"/>
      <c r="L86" s="2006"/>
      <c r="M86" s="2006"/>
      <c r="N86" s="2006"/>
      <c r="O86" s="2006"/>
      <c r="P86" s="2006"/>
      <c r="Q86" s="2007"/>
      <c r="R86" s="927"/>
    </row>
    <row r="87" spans="1:18" ht="18" hidden="1" customHeight="1" outlineLevel="1" x14ac:dyDescent="0.25">
      <c r="A87" s="927"/>
      <c r="B87" s="2008" t="s">
        <v>750</v>
      </c>
      <c r="C87" s="2009"/>
      <c r="D87" s="999" t="s">
        <v>106</v>
      </c>
      <c r="E87" s="981"/>
      <c r="F87" s="981"/>
      <c r="G87" s="982"/>
      <c r="H87" s="982"/>
      <c r="I87" s="982"/>
      <c r="J87" s="981"/>
      <c r="K87" s="981"/>
      <c r="L87" s="982"/>
      <c r="M87" s="982"/>
      <c r="N87" s="982"/>
      <c r="O87" s="981"/>
      <c r="P87" s="981"/>
      <c r="Q87" s="982"/>
      <c r="R87" s="927"/>
    </row>
    <row r="88" spans="1:18" hidden="1" outlineLevel="1" x14ac:dyDescent="0.25">
      <c r="A88" s="927"/>
      <c r="B88" s="2025"/>
      <c r="C88" s="2025"/>
      <c r="D88" s="982"/>
      <c r="E88" s="981"/>
      <c r="F88" s="981"/>
      <c r="G88" s="982"/>
      <c r="H88" s="982"/>
      <c r="I88" s="982"/>
      <c r="J88" s="981"/>
      <c r="K88" s="981"/>
      <c r="L88" s="982"/>
      <c r="M88" s="982"/>
      <c r="N88" s="982"/>
      <c r="O88" s="981"/>
      <c r="P88" s="981"/>
      <c r="Q88" s="982"/>
      <c r="R88" s="927"/>
    </row>
    <row r="89" spans="1:18" hidden="1" outlineLevel="1" x14ac:dyDescent="0.25">
      <c r="A89" s="927"/>
      <c r="B89" s="2005" t="s">
        <v>751</v>
      </c>
      <c r="C89" s="2006"/>
      <c r="D89" s="2006"/>
      <c r="E89" s="2006"/>
      <c r="F89" s="2006"/>
      <c r="G89" s="2006"/>
      <c r="H89" s="2006"/>
      <c r="I89" s="2006"/>
      <c r="J89" s="2006"/>
      <c r="K89" s="2006"/>
      <c r="L89" s="2006"/>
      <c r="M89" s="2006"/>
      <c r="N89" s="2006"/>
      <c r="O89" s="2006"/>
      <c r="P89" s="2006"/>
      <c r="Q89" s="2007"/>
      <c r="R89" s="927"/>
    </row>
    <row r="90" spans="1:18" ht="30.6" hidden="1" customHeight="1" outlineLevel="1" x14ac:dyDescent="0.25">
      <c r="A90" s="927"/>
      <c r="B90" s="2000" t="s">
        <v>726</v>
      </c>
      <c r="C90" s="2001"/>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2000" t="s">
        <v>727</v>
      </c>
      <c r="C91" s="2001"/>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2000" t="s">
        <v>752</v>
      </c>
      <c r="C92" s="2001"/>
      <c r="D92" s="999" t="s">
        <v>106</v>
      </c>
      <c r="E92" s="981"/>
      <c r="F92" s="981"/>
      <c r="G92" s="982"/>
      <c r="H92" s="982"/>
      <c r="I92" s="982"/>
      <c r="J92" s="981"/>
      <c r="K92" s="981"/>
      <c r="L92" s="982"/>
      <c r="M92" s="982"/>
      <c r="N92" s="982"/>
      <c r="O92" s="981"/>
      <c r="P92" s="981"/>
      <c r="Q92" s="982"/>
      <c r="R92" s="927"/>
    </row>
    <row r="93" spans="1:18" hidden="1" outlineLevel="1" x14ac:dyDescent="0.25">
      <c r="A93" s="927"/>
      <c r="B93" s="2008" t="s">
        <v>753</v>
      </c>
      <c r="C93" s="2009"/>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2005" t="s">
        <v>754</v>
      </c>
      <c r="C95" s="2006"/>
      <c r="D95" s="2006"/>
      <c r="E95" s="2006"/>
      <c r="F95" s="2006"/>
      <c r="G95" s="2006"/>
      <c r="H95" s="2006"/>
      <c r="I95" s="2006"/>
      <c r="J95" s="2006"/>
      <c r="K95" s="2006"/>
      <c r="L95" s="2006"/>
      <c r="M95" s="2006"/>
      <c r="N95" s="2006"/>
      <c r="O95" s="2006"/>
      <c r="P95" s="2006"/>
      <c r="Q95" s="2007"/>
      <c r="R95" s="927"/>
    </row>
    <row r="96" spans="1:18" ht="25.15" hidden="1" customHeight="1" outlineLevel="1" x14ac:dyDescent="0.25">
      <c r="A96" s="927"/>
      <c r="B96" s="2000" t="s">
        <v>755</v>
      </c>
      <c r="C96" s="2001"/>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2000" t="s">
        <v>728</v>
      </c>
      <c r="C97" s="2001"/>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2000" t="s">
        <v>756</v>
      </c>
      <c r="C98" s="2001"/>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2000" t="s">
        <v>729</v>
      </c>
      <c r="C99" s="2001"/>
      <c r="D99" s="985"/>
      <c r="E99" s="981"/>
      <c r="F99" s="981"/>
      <c r="G99" s="982"/>
      <c r="H99" s="982"/>
      <c r="I99" s="982"/>
      <c r="J99" s="981"/>
      <c r="K99" s="981"/>
      <c r="L99" s="982"/>
      <c r="M99" s="982"/>
      <c r="N99" s="982"/>
      <c r="O99" s="981"/>
      <c r="P99" s="981"/>
      <c r="Q99" s="982"/>
      <c r="R99" s="927"/>
    </row>
    <row r="100" spans="1:18" hidden="1" outlineLevel="1" x14ac:dyDescent="0.25">
      <c r="A100" s="927"/>
      <c r="B100" s="2023"/>
      <c r="C100" s="2024"/>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2005" t="s">
        <v>757</v>
      </c>
      <c r="C101" s="2006"/>
      <c r="D101" s="2006"/>
      <c r="E101" s="2006"/>
      <c r="F101" s="2006"/>
      <c r="G101" s="2006"/>
      <c r="H101" s="2006"/>
      <c r="I101" s="2006"/>
      <c r="J101" s="2006"/>
      <c r="K101" s="2006"/>
      <c r="L101" s="2006"/>
      <c r="M101" s="2006"/>
      <c r="N101" s="2006"/>
      <c r="O101" s="2006"/>
      <c r="P101" s="2006"/>
      <c r="Q101" s="2007"/>
      <c r="R101" s="927"/>
    </row>
    <row r="102" spans="1:18" ht="14.45" hidden="1" customHeight="1" outlineLevel="1" x14ac:dyDescent="0.25">
      <c r="A102" s="927"/>
      <c r="B102" s="2000" t="s">
        <v>758</v>
      </c>
      <c r="C102" s="2001"/>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2000" t="s">
        <v>743</v>
      </c>
      <c r="C103" s="2001"/>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2000" t="s">
        <v>737</v>
      </c>
      <c r="C104" s="2001"/>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2000" t="s">
        <v>759</v>
      </c>
      <c r="C105" s="2001"/>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95"/>
      <c r="F107" s="1995"/>
      <c r="G107" s="940" t="str">
        <f>IF(B107, "Кол-во хостов ","")</f>
        <v/>
      </c>
      <c r="H107" s="972"/>
      <c r="I107" s="940" t="str">
        <f>IF(B107, "Домен ","")</f>
        <v/>
      </c>
      <c r="J107" s="1995"/>
      <c r="K107" s="1995"/>
      <c r="L107" s="940"/>
      <c r="M107" s="972"/>
      <c r="N107" s="940"/>
      <c r="O107" s="1995"/>
      <c r="P107" s="1995"/>
      <c r="Q107" s="970" t="str">
        <f>IF(B107,1,"")</f>
        <v/>
      </c>
      <c r="R107" s="927"/>
    </row>
    <row r="108" spans="1:18" x14ac:dyDescent="0.25">
      <c r="A108" s="927">
        <f t="shared" ref="A108:A127" si="1">IF($B$11,1,0)</f>
        <v>1</v>
      </c>
      <c r="B108" s="993" t="b">
        <v>0</v>
      </c>
      <c r="C108" s="994"/>
      <c r="D108" s="938" t="str">
        <f t="shared" si="0"/>
        <v/>
      </c>
      <c r="E108" s="2022"/>
      <c r="F108" s="2022"/>
      <c r="G108" s="938" t="str">
        <f>IF(B108, "Кол-во серверов ПРК ","")</f>
        <v/>
      </c>
      <c r="H108" s="995"/>
      <c r="I108" s="938" t="str">
        <f>IF(B108, "Хосты с агентом","")</f>
        <v/>
      </c>
      <c r="J108" s="2022"/>
      <c r="K108" s="2022"/>
      <c r="L108" s="938"/>
      <c r="M108" s="995"/>
      <c r="N108" s="938"/>
      <c r="O108" s="2022"/>
      <c r="P108" s="2022"/>
      <c r="Q108" s="970" t="str">
        <f t="shared" ref="Q108:Q127" si="2">IF(B108,1,"")</f>
        <v/>
      </c>
      <c r="R108" s="927"/>
    </row>
    <row r="109" spans="1:18" x14ac:dyDescent="0.25">
      <c r="A109" s="927">
        <f t="shared" si="1"/>
        <v>1</v>
      </c>
      <c r="B109" s="970" t="b">
        <v>0</v>
      </c>
      <c r="C109" s="971"/>
      <c r="D109" s="940" t="str">
        <f t="shared" si="0"/>
        <v/>
      </c>
      <c r="E109" s="1995"/>
      <c r="F109" s="1995"/>
      <c r="G109" s="940" t="str">
        <f>IF(B109, "Количество устройств","")</f>
        <v/>
      </c>
      <c r="H109" s="972"/>
      <c r="I109" s="940"/>
      <c r="J109" s="1995"/>
      <c r="K109" s="1995"/>
      <c r="L109" s="940"/>
      <c r="M109" s="972"/>
      <c r="N109" s="940"/>
      <c r="O109" s="1995"/>
      <c r="P109" s="1995"/>
      <c r="Q109" s="970" t="str">
        <f t="shared" si="2"/>
        <v/>
      </c>
      <c r="R109" s="927"/>
    </row>
    <row r="110" spans="1:18" x14ac:dyDescent="0.25">
      <c r="A110" s="927">
        <f t="shared" si="1"/>
        <v>1</v>
      </c>
      <c r="B110" s="970" t="b">
        <v>0</v>
      </c>
      <c r="C110" s="971"/>
      <c r="D110" s="940" t="str">
        <f>IF(B110, "Количество площадок ","")</f>
        <v/>
      </c>
      <c r="E110" s="1995"/>
      <c r="F110" s="1995"/>
      <c r="G110" s="940" t="str">
        <f>IF(B110, "Количество компонентов","")</f>
        <v/>
      </c>
      <c r="H110" s="972"/>
      <c r="I110" s="940" t="str">
        <f>IF(B110, "Кол-во защищ. серверов","")</f>
        <v/>
      </c>
      <c r="J110" s="1995"/>
      <c r="K110" s="1995"/>
      <c r="L110" s="940"/>
      <c r="M110" s="972"/>
      <c r="N110" s="940"/>
      <c r="O110" s="1995"/>
      <c r="P110" s="1995"/>
      <c r="Q110" s="970" t="str">
        <f t="shared" si="2"/>
        <v/>
      </c>
      <c r="R110" s="927"/>
    </row>
    <row r="111" spans="1:18" x14ac:dyDescent="0.25">
      <c r="A111" s="927">
        <f t="shared" si="1"/>
        <v>1</v>
      </c>
      <c r="B111" s="970" t="b">
        <v>0</v>
      </c>
      <c r="C111" s="971"/>
      <c r="D111" s="940" t="str">
        <f>IF(B111, "Количество площадок ","")</f>
        <v/>
      </c>
      <c r="E111" s="1995"/>
      <c r="F111" s="1995"/>
      <c r="G111" s="940" t="str">
        <f>IF(B111, "Количество хостов","")</f>
        <v/>
      </c>
      <c r="H111" s="972"/>
      <c r="I111" s="940"/>
      <c r="J111" s="1995"/>
      <c r="K111" s="1995"/>
      <c r="L111" s="940"/>
      <c r="M111" s="972"/>
      <c r="N111" s="940"/>
      <c r="O111" s="1995"/>
      <c r="P111" s="1995"/>
      <c r="Q111" s="970" t="str">
        <f t="shared" si="2"/>
        <v/>
      </c>
      <c r="R111" s="927"/>
    </row>
    <row r="112" spans="1:18" x14ac:dyDescent="0.25">
      <c r="A112" s="927">
        <f t="shared" si="1"/>
        <v>1</v>
      </c>
      <c r="B112" s="970" t="b">
        <v>0</v>
      </c>
      <c r="C112" s="971"/>
      <c r="D112" s="940" t="str">
        <f>IF(B112, "Количество площадок ","")</f>
        <v/>
      </c>
      <c r="E112" s="1995"/>
      <c r="F112" s="1995"/>
      <c r="G112" s="940" t="str">
        <f>IF(B112, "Количество хостов","")</f>
        <v/>
      </c>
      <c r="H112" s="972"/>
      <c r="I112" s="940"/>
      <c r="J112" s="1995"/>
      <c r="K112" s="1995"/>
      <c r="L112" s="940"/>
      <c r="M112" s="972"/>
      <c r="N112" s="940"/>
      <c r="O112" s="1995"/>
      <c r="P112" s="1995"/>
      <c r="Q112" s="970" t="str">
        <f t="shared" si="2"/>
        <v/>
      </c>
      <c r="R112" s="927"/>
    </row>
    <row r="113" spans="1:18" x14ac:dyDescent="0.25">
      <c r="A113" s="927">
        <f t="shared" si="1"/>
        <v>1</v>
      </c>
      <c r="B113" s="970" t="b">
        <v>0</v>
      </c>
      <c r="C113" s="970"/>
      <c r="D113" s="940" t="str">
        <f>IF(B113, "Количество AiО","")</f>
        <v/>
      </c>
      <c r="E113" s="1995"/>
      <c r="F113" s="1995"/>
      <c r="G113" s="940" t="str">
        <f>IF(B113, "Количество хостов ядра","")</f>
        <v/>
      </c>
      <c r="H113" s="972"/>
      <c r="I113" s="940" t="str">
        <f>IF(B113, "Количество коллекторов","")</f>
        <v/>
      </c>
      <c r="J113" s="1995"/>
      <c r="K113" s="1995"/>
      <c r="L113" s="940" t="str">
        <f>IF(B113, "Количество корреляторов","")</f>
        <v/>
      </c>
      <c r="M113" s="972"/>
      <c r="N113" s="940" t="str">
        <f>IF(B113, "Количество источников","")</f>
        <v/>
      </c>
      <c r="O113" s="1995"/>
      <c r="P113" s="1995"/>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95"/>
      <c r="F114" s="1995"/>
      <c r="G114" s="987" t="str">
        <f>IF(B114, "Количество агрегаторов трафика","")</f>
        <v/>
      </c>
      <c r="H114" s="972"/>
      <c r="I114" s="987" t="str">
        <f>IF(B114, "Количество брокеров сетевых пакетов","")</f>
        <v/>
      </c>
      <c r="J114" s="1995"/>
      <c r="K114" s="1995"/>
      <c r="L114" s="987" t="str">
        <f>IF(B114, "Количество точек мониторинга","")</f>
        <v/>
      </c>
      <c r="M114" s="972"/>
      <c r="N114" s="987" t="str">
        <f>IF(B114, "Количество узлов в защищаемых сегментах","")</f>
        <v/>
      </c>
      <c r="O114" s="1995"/>
      <c r="P114" s="1995"/>
      <c r="Q114" s="970" t="str">
        <f t="shared" si="2"/>
        <v/>
      </c>
      <c r="R114" s="927"/>
    </row>
    <row r="115" spans="1:18" ht="15" hidden="1" customHeight="1" outlineLevel="1" thickBot="1" x14ac:dyDescent="0.3">
      <c r="A115" s="927"/>
      <c r="B115" s="2002" t="s">
        <v>760</v>
      </c>
      <c r="C115" s="2003"/>
      <c r="D115" s="2003"/>
      <c r="E115" s="2003"/>
      <c r="F115" s="2003"/>
      <c r="G115" s="2003"/>
      <c r="H115" s="2003"/>
      <c r="I115" s="2003"/>
      <c r="J115" s="2003"/>
      <c r="K115" s="2003"/>
      <c r="L115" s="2003"/>
      <c r="M115" s="2003"/>
      <c r="N115" s="2003"/>
      <c r="O115" s="2003"/>
      <c r="P115" s="2003"/>
      <c r="Q115" s="2004"/>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2005" t="s">
        <v>761</v>
      </c>
      <c r="C117" s="2006"/>
      <c r="D117" s="2006"/>
      <c r="E117" s="2006"/>
      <c r="F117" s="2006"/>
      <c r="G117" s="2006"/>
      <c r="H117" s="2006"/>
      <c r="I117" s="2006"/>
      <c r="J117" s="2006"/>
      <c r="K117" s="2006"/>
      <c r="L117" s="2006"/>
      <c r="M117" s="2006"/>
      <c r="N117" s="2006"/>
      <c r="O117" s="2006"/>
      <c r="P117" s="2006"/>
      <c r="Q117" s="2007"/>
      <c r="R117" s="927"/>
    </row>
    <row r="118" spans="1:18" ht="30.6" hidden="1" customHeight="1" outlineLevel="1" x14ac:dyDescent="0.25">
      <c r="A118" s="927"/>
      <c r="B118" s="2020" t="s">
        <v>762</v>
      </c>
      <c r="C118" s="2021"/>
      <c r="D118" s="1001" t="s">
        <v>106</v>
      </c>
      <c r="E118" s="2015"/>
      <c r="F118" s="2015"/>
      <c r="G118" s="1002"/>
      <c r="H118" s="1003"/>
      <c r="I118" s="1002"/>
      <c r="J118" s="2015"/>
      <c r="K118" s="2015"/>
      <c r="L118" s="1002"/>
      <c r="M118" s="1003"/>
      <c r="N118" s="1002"/>
      <c r="O118" s="2015"/>
      <c r="P118" s="2015"/>
      <c r="Q118" s="1004"/>
      <c r="R118" s="927"/>
    </row>
    <row r="119" spans="1:18" ht="15" hidden="1" customHeight="1" outlineLevel="1" x14ac:dyDescent="0.25">
      <c r="A119" s="927"/>
      <c r="B119" s="2013" t="s">
        <v>763</v>
      </c>
      <c r="C119" s="2014"/>
      <c r="D119" s="1005" t="s">
        <v>106</v>
      </c>
      <c r="E119" s="2015"/>
      <c r="F119" s="2015"/>
      <c r="G119" s="1002"/>
      <c r="H119" s="1003"/>
      <c r="I119" s="1002"/>
      <c r="J119" s="2015"/>
      <c r="K119" s="2015"/>
      <c r="L119" s="1002"/>
      <c r="M119" s="1003"/>
      <c r="N119" s="1002"/>
      <c r="O119" s="2015"/>
      <c r="P119" s="2015"/>
      <c r="Q119" s="1004"/>
      <c r="R119" s="927"/>
    </row>
    <row r="120" spans="1:18" ht="15" hidden="1" customHeight="1" outlineLevel="1" x14ac:dyDescent="0.25">
      <c r="A120" s="927"/>
      <c r="B120" s="2013" t="s">
        <v>764</v>
      </c>
      <c r="C120" s="2014"/>
      <c r="D120" s="1005" t="s">
        <v>106</v>
      </c>
      <c r="E120" s="2015"/>
      <c r="F120" s="2015"/>
      <c r="G120" s="1002"/>
      <c r="H120" s="1003"/>
      <c r="I120" s="1002"/>
      <c r="J120" s="2015"/>
      <c r="K120" s="2015"/>
      <c r="L120" s="1002"/>
      <c r="M120" s="1003"/>
      <c r="N120" s="1002"/>
      <c r="O120" s="2015"/>
      <c r="P120" s="2015"/>
      <c r="Q120" s="1004"/>
      <c r="R120" s="927"/>
    </row>
    <row r="121" spans="1:18" ht="15" hidden="1" customHeight="1" outlineLevel="1" x14ac:dyDescent="0.25">
      <c r="A121" s="927"/>
      <c r="B121" s="2013" t="s">
        <v>765</v>
      </c>
      <c r="C121" s="2014"/>
      <c r="D121" s="1005"/>
      <c r="E121" s="2015"/>
      <c r="F121" s="2015"/>
      <c r="G121" s="1002"/>
      <c r="H121" s="1003"/>
      <c r="I121" s="1002"/>
      <c r="J121" s="2015"/>
      <c r="K121" s="2015"/>
      <c r="L121" s="1002"/>
      <c r="M121" s="1003"/>
      <c r="N121" s="1002"/>
      <c r="O121" s="2015"/>
      <c r="P121" s="2015"/>
      <c r="Q121" s="1004"/>
      <c r="R121" s="927"/>
    </row>
    <row r="122" spans="1:18" ht="36.6" hidden="1" customHeight="1" outlineLevel="1" x14ac:dyDescent="0.25">
      <c r="A122" s="927"/>
      <c r="B122" s="2018" t="s">
        <v>766</v>
      </c>
      <c r="C122" s="2019"/>
      <c r="D122" s="1006"/>
      <c r="E122" s="2015"/>
      <c r="F122" s="2015"/>
      <c r="G122" s="1002"/>
      <c r="H122" s="1003"/>
      <c r="I122" s="1002"/>
      <c r="J122" s="2015"/>
      <c r="K122" s="2015"/>
      <c r="L122" s="1002"/>
      <c r="M122" s="1003"/>
      <c r="N122" s="1002"/>
      <c r="O122" s="2015"/>
      <c r="P122" s="2015"/>
      <c r="Q122" s="1004"/>
      <c r="R122" s="927"/>
    </row>
    <row r="123" spans="1:18" ht="15" hidden="1" customHeight="1" outlineLevel="1" x14ac:dyDescent="0.25">
      <c r="A123" s="927"/>
      <c r="B123" s="2013" t="s">
        <v>767</v>
      </c>
      <c r="C123" s="2014"/>
      <c r="D123" s="1005" t="s">
        <v>106</v>
      </c>
      <c r="E123" s="2015"/>
      <c r="F123" s="2015"/>
      <c r="G123" s="1002"/>
      <c r="H123" s="1003"/>
      <c r="I123" s="1002"/>
      <c r="J123" s="2015"/>
      <c r="K123" s="2015"/>
      <c r="L123" s="1002"/>
      <c r="M123" s="1003"/>
      <c r="N123" s="1002"/>
      <c r="O123" s="2015"/>
      <c r="P123" s="2015"/>
      <c r="Q123" s="1004"/>
      <c r="R123" s="927"/>
    </row>
    <row r="124" spans="1:18" ht="15" hidden="1" customHeight="1" outlineLevel="1" thickBot="1" x14ac:dyDescent="0.3">
      <c r="A124" s="927"/>
      <c r="B124" s="2016" t="s">
        <v>753</v>
      </c>
      <c r="C124" s="2017"/>
      <c r="D124" s="1007" t="s">
        <v>106</v>
      </c>
      <c r="E124" s="2015"/>
      <c r="F124" s="2015"/>
      <c r="G124" s="1002"/>
      <c r="H124" s="1003"/>
      <c r="I124" s="1002"/>
      <c r="J124" s="2015"/>
      <c r="K124" s="2015"/>
      <c r="L124" s="1002"/>
      <c r="M124" s="1003"/>
      <c r="N124" s="1002"/>
      <c r="O124" s="2015"/>
      <c r="P124" s="2015"/>
      <c r="Q124" s="1004"/>
      <c r="R124" s="927"/>
    </row>
    <row r="125" spans="1:18" ht="4.1500000000000004" hidden="1" customHeight="1" outlineLevel="1" x14ac:dyDescent="0.25">
      <c r="A125" s="927"/>
      <c r="B125" s="1008"/>
      <c r="C125" s="1008"/>
      <c r="D125" s="1009"/>
      <c r="E125" s="2011"/>
      <c r="F125" s="2012"/>
      <c r="G125" s="1009"/>
      <c r="H125" s="1010"/>
      <c r="I125" s="1009"/>
      <c r="J125" s="2011"/>
      <c r="K125" s="2012"/>
      <c r="L125" s="1009"/>
      <c r="M125" s="1010"/>
      <c r="N125" s="1009"/>
      <c r="O125" s="2011"/>
      <c r="P125" s="2012"/>
      <c r="Q125" s="1008"/>
      <c r="R125" s="927"/>
    </row>
    <row r="126" spans="1:18" ht="13.9" customHeight="1" collapsed="1" x14ac:dyDescent="0.25">
      <c r="A126" s="927">
        <f t="shared" si="1"/>
        <v>1</v>
      </c>
      <c r="B126" s="970" t="b">
        <v>0</v>
      </c>
      <c r="C126" s="970"/>
      <c r="D126" s="940" t="str">
        <f>IF(B126, "Количество площадок ","")</f>
        <v/>
      </c>
      <c r="E126" s="1995"/>
      <c r="F126" s="1995"/>
      <c r="G126" s="940" t="str">
        <f>IF(B126, "Количество хостов","")</f>
        <v/>
      </c>
      <c r="H126" s="972"/>
      <c r="I126" s="940"/>
      <c r="J126" s="1995"/>
      <c r="K126" s="1995"/>
      <c r="L126" s="940"/>
      <c r="M126" s="972"/>
      <c r="N126" s="940"/>
      <c r="O126" s="1995"/>
      <c r="P126" s="1995"/>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2010"/>
      <c r="F127" s="2010"/>
      <c r="G127" s="987" t="str">
        <f>IF(B127, "Количество агрегаторов трафика","")</f>
        <v/>
      </c>
      <c r="H127" s="988"/>
      <c r="I127" s="987" t="str">
        <f>IF(B127, "Количество брокеров сетевых пакетов","")</f>
        <v/>
      </c>
      <c r="J127" s="2010"/>
      <c r="K127" s="2010"/>
      <c r="L127" s="987" t="str">
        <f>IF(B127, "Количество точек мониторинга","")</f>
        <v/>
      </c>
      <c r="M127" s="988"/>
      <c r="N127" s="987" t="str">
        <f>IF(B127, "Количество узлов в защищаемых сегментах","")</f>
        <v/>
      </c>
      <c r="O127" s="2010"/>
      <c r="P127" s="2010"/>
      <c r="Q127" s="970" t="str">
        <f t="shared" si="2"/>
        <v/>
      </c>
      <c r="R127" s="927"/>
    </row>
    <row r="128" spans="1:18" ht="19.5" hidden="1" outlineLevel="1" thickBot="1" x14ac:dyDescent="0.3">
      <c r="A128" s="927"/>
      <c r="B128" s="2002" t="s">
        <v>768</v>
      </c>
      <c r="C128" s="2003"/>
      <c r="D128" s="2003"/>
      <c r="E128" s="2003"/>
      <c r="F128" s="2003"/>
      <c r="G128" s="2003"/>
      <c r="H128" s="2003"/>
      <c r="I128" s="2003"/>
      <c r="J128" s="2003"/>
      <c r="K128" s="2003"/>
      <c r="L128" s="2003"/>
      <c r="M128" s="2003"/>
      <c r="N128" s="2003"/>
      <c r="O128" s="2003"/>
      <c r="P128" s="2003"/>
      <c r="Q128" s="2004"/>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2005" t="s">
        <v>761</v>
      </c>
      <c r="C130" s="2006"/>
      <c r="D130" s="2006"/>
      <c r="E130" s="2006"/>
      <c r="F130" s="2006"/>
      <c r="G130" s="2006"/>
      <c r="H130" s="2006"/>
      <c r="I130" s="2006"/>
      <c r="J130" s="2006"/>
      <c r="K130" s="2006"/>
      <c r="L130" s="2006"/>
      <c r="M130" s="2006"/>
      <c r="N130" s="2006"/>
      <c r="O130" s="2006"/>
      <c r="P130" s="2006"/>
      <c r="Q130" s="2007"/>
      <c r="R130" s="927"/>
    </row>
    <row r="131" spans="1:18" ht="28.9" hidden="1" customHeight="1" outlineLevel="1" x14ac:dyDescent="0.25">
      <c r="A131" s="927"/>
      <c r="B131" s="2000" t="s">
        <v>762</v>
      </c>
      <c r="C131" s="2001"/>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2008" t="s">
        <v>763</v>
      </c>
      <c r="C132" s="2009"/>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2008" t="s">
        <v>764</v>
      </c>
      <c r="C133" s="2009"/>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2000" t="s">
        <v>765</v>
      </c>
      <c r="C134" s="2001"/>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2000" t="s">
        <v>766</v>
      </c>
      <c r="C135" s="2001"/>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2000" t="s">
        <v>753</v>
      </c>
      <c r="C136" s="2001"/>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95"/>
      <c r="F138" s="1995"/>
      <c r="G138" s="940" t="str">
        <f>IF(B138, "Количество хостов","")</f>
        <v/>
      </c>
      <c r="H138" s="972"/>
      <c r="I138" s="940"/>
      <c r="J138" s="1995"/>
      <c r="K138" s="1995"/>
      <c r="L138" s="940"/>
      <c r="M138" s="972"/>
      <c r="N138" s="940"/>
      <c r="O138" s="1995"/>
      <c r="P138" s="1995"/>
      <c r="Q138" s="970" t="str">
        <f>IF(B138,1,"")</f>
        <v/>
      </c>
      <c r="R138" s="927"/>
    </row>
    <row r="139" spans="1:18" ht="15.6" customHeight="1" x14ac:dyDescent="0.25">
      <c r="A139" s="927">
        <f t="shared" ref="A139:A164" si="3">IF($B$11,1,0)</f>
        <v>1</v>
      </c>
      <c r="B139" s="970" t="b">
        <v>0</v>
      </c>
      <c r="C139" s="970"/>
      <c r="D139" s="940" t="str">
        <f>IF(B139, "Количество площадок ","")</f>
        <v/>
      </c>
      <c r="E139" s="1995"/>
      <c r="F139" s="1995"/>
      <c r="G139" s="940" t="str">
        <f>IF(B139, "Количество узлов","")</f>
        <v/>
      </c>
      <c r="H139" s="972"/>
      <c r="I139" s="940" t="str">
        <f>IF(B139, "Количество хостов","")</f>
        <v/>
      </c>
      <c r="J139" s="1995"/>
      <c r="K139" s="1995"/>
      <c r="L139" s="940"/>
      <c r="M139" s="972"/>
      <c r="N139" s="940"/>
      <c r="O139" s="1995"/>
      <c r="P139" s="1995"/>
      <c r="Q139" s="970" t="str">
        <f t="shared" ref="Q139:Q164" si="4">IF(B139,1,"")</f>
        <v/>
      </c>
      <c r="R139" s="927"/>
    </row>
    <row r="140" spans="1:18" collapsed="1" x14ac:dyDescent="0.25">
      <c r="A140" s="927">
        <f t="shared" si="3"/>
        <v>1</v>
      </c>
      <c r="B140" s="970" t="b">
        <v>0</v>
      </c>
      <c r="C140" s="970"/>
      <c r="D140" s="940" t="str">
        <f>IF(B140, "Количество площадок ","")</f>
        <v/>
      </c>
      <c r="E140" s="1995"/>
      <c r="F140" s="1995"/>
      <c r="G140" s="940" t="str">
        <f>IF(B140, "Количество диодов","")</f>
        <v/>
      </c>
      <c r="H140" s="972"/>
      <c r="I140" s="940" t="str">
        <f>IF(B140, "Количество кластеров","")</f>
        <v/>
      </c>
      <c r="J140" s="1995"/>
      <c r="K140" s="1995"/>
      <c r="L140" s="940"/>
      <c r="M140" s="972"/>
      <c r="N140" s="940"/>
      <c r="O140" s="1995"/>
      <c r="P140" s="1995"/>
      <c r="Q140" s="970" t="str">
        <f t="shared" si="4"/>
        <v/>
      </c>
      <c r="R140" s="927"/>
    </row>
    <row r="141" spans="1:18" ht="19.5" hidden="1" outlineLevel="1" thickBot="1" x14ac:dyDescent="0.3">
      <c r="A141" s="927"/>
      <c r="B141" s="2002" t="s">
        <v>769</v>
      </c>
      <c r="C141" s="2003"/>
      <c r="D141" s="2003"/>
      <c r="E141" s="2003"/>
      <c r="F141" s="2003"/>
      <c r="G141" s="2003"/>
      <c r="H141" s="2003"/>
      <c r="I141" s="2003"/>
      <c r="J141" s="2003"/>
      <c r="K141" s="2003"/>
      <c r="L141" s="2003"/>
      <c r="M141" s="2003"/>
      <c r="N141" s="2003"/>
      <c r="O141" s="2003"/>
      <c r="P141" s="2003"/>
      <c r="Q141" s="2004"/>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2005" t="s">
        <v>761</v>
      </c>
      <c r="C143" s="2006"/>
      <c r="D143" s="2006"/>
      <c r="E143" s="2006"/>
      <c r="F143" s="2006"/>
      <c r="G143" s="2006"/>
      <c r="H143" s="2006"/>
      <c r="I143" s="2006"/>
      <c r="J143" s="2006"/>
      <c r="K143" s="2006"/>
      <c r="L143" s="2006"/>
      <c r="M143" s="2006"/>
      <c r="N143" s="2006"/>
      <c r="O143" s="2006"/>
      <c r="P143" s="2006"/>
      <c r="Q143" s="2007"/>
      <c r="R143" s="927"/>
    </row>
    <row r="144" spans="1:18" hidden="1" outlineLevel="1" x14ac:dyDescent="0.25">
      <c r="A144" s="927"/>
      <c r="B144" s="2000" t="s">
        <v>770</v>
      </c>
      <c r="C144" s="2001"/>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2008" t="s">
        <v>771</v>
      </c>
      <c r="C145" s="2009"/>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2008" t="s">
        <v>772</v>
      </c>
      <c r="C146" s="2009"/>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2000" t="s">
        <v>773</v>
      </c>
      <c r="C147" s="2001"/>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2000" t="s">
        <v>774</v>
      </c>
      <c r="C148" s="2001"/>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2000" t="s">
        <v>775</v>
      </c>
      <c r="C149" s="2001"/>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2000" t="s">
        <v>776</v>
      </c>
      <c r="C150" s="2001"/>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95"/>
      <c r="F152" s="1995"/>
      <c r="G152" s="940" t="str">
        <f>IF(B152, "Количество хостов","")</f>
        <v/>
      </c>
      <c r="H152" s="972"/>
      <c r="I152" s="940" t="str">
        <f>IF(B152, "Количество ВМ","")</f>
        <v/>
      </c>
      <c r="J152" s="1995"/>
      <c r="K152" s="1995"/>
      <c r="L152" s="940"/>
      <c r="M152" s="972"/>
      <c r="N152" s="940"/>
      <c r="O152" s="1995"/>
      <c r="P152" s="1995"/>
      <c r="Q152" s="970" t="str">
        <f t="shared" si="4"/>
        <v/>
      </c>
      <c r="R152" s="927"/>
    </row>
    <row r="153" spans="1:18" x14ac:dyDescent="0.25">
      <c r="A153" s="927">
        <f t="shared" si="3"/>
        <v>1</v>
      </c>
      <c r="B153" s="970" t="b">
        <v>0</v>
      </c>
      <c r="C153" s="970"/>
      <c r="D153" s="940" t="str">
        <f t="shared" si="5"/>
        <v/>
      </c>
      <c r="E153" s="1995"/>
      <c r="F153" s="1995"/>
      <c r="G153" s="940" t="str">
        <f>IF(B153, "Кол-во хостов вирт-ции","")</f>
        <v/>
      </c>
      <c r="H153" s="972"/>
      <c r="I153" s="940" t="str">
        <f>IF(B153, "Количество брокеров","")</f>
        <v/>
      </c>
      <c r="J153" s="1995"/>
      <c r="K153" s="1995"/>
      <c r="L153" s="940" t="str">
        <f>IF(B153, "Количество ВМ","")</f>
        <v/>
      </c>
      <c r="M153" s="972"/>
      <c r="N153" s="940" t="str">
        <f>IF(B153, "Кол-во золотых образов","")</f>
        <v/>
      </c>
      <c r="O153" s="1995"/>
      <c r="P153" s="1995"/>
      <c r="Q153" s="970" t="str">
        <f t="shared" si="4"/>
        <v/>
      </c>
      <c r="R153" s="927"/>
    </row>
    <row r="154" spans="1:18" x14ac:dyDescent="0.25">
      <c r="A154" s="927">
        <f t="shared" si="3"/>
        <v>1</v>
      </c>
      <c r="B154" s="970" t="b">
        <v>0</v>
      </c>
      <c r="C154" s="970"/>
      <c r="D154" s="940" t="str">
        <f t="shared" si="5"/>
        <v/>
      </c>
      <c r="E154" s="1995"/>
      <c r="F154" s="1995"/>
      <c r="G154" s="940" t="str">
        <f t="shared" ref="G154:G159" si="6">IF(B154, "Количество хостов","")</f>
        <v/>
      </c>
      <c r="H154" s="972"/>
      <c r="I154" s="940"/>
      <c r="J154" s="1995"/>
      <c r="K154" s="1995"/>
      <c r="L154" s="940"/>
      <c r="M154" s="972"/>
      <c r="N154" s="940"/>
      <c r="O154" s="1995"/>
      <c r="P154" s="1995"/>
      <c r="Q154" s="970" t="str">
        <f t="shared" si="4"/>
        <v/>
      </c>
      <c r="R154" s="927"/>
    </row>
    <row r="155" spans="1:18" x14ac:dyDescent="0.25">
      <c r="A155" s="927">
        <f t="shared" si="3"/>
        <v>1</v>
      </c>
      <c r="B155" s="970" t="b">
        <v>0</v>
      </c>
      <c r="C155" s="970"/>
      <c r="D155" s="940" t="str">
        <f t="shared" si="5"/>
        <v/>
      </c>
      <c r="E155" s="1995"/>
      <c r="F155" s="1995"/>
      <c r="G155" s="940" t="str">
        <f t="shared" si="6"/>
        <v/>
      </c>
      <c r="H155" s="972"/>
      <c r="I155" s="940" t="str">
        <f>IF(B155, "Количество endpoint","")</f>
        <v/>
      </c>
      <c r="J155" s="1995"/>
      <c r="K155" s="1995"/>
      <c r="L155" s="940"/>
      <c r="M155" s="972"/>
      <c r="N155" s="940"/>
      <c r="O155" s="1995"/>
      <c r="P155" s="1995"/>
      <c r="Q155" s="970" t="str">
        <f t="shared" si="4"/>
        <v/>
      </c>
      <c r="R155" s="927"/>
    </row>
    <row r="156" spans="1:18" x14ac:dyDescent="0.25">
      <c r="A156" s="927">
        <f t="shared" si="3"/>
        <v>1</v>
      </c>
      <c r="B156" s="970" t="b">
        <v>0</v>
      </c>
      <c r="C156" s="970"/>
      <c r="D156" s="940" t="str">
        <f t="shared" si="5"/>
        <v/>
      </c>
      <c r="E156" s="1995"/>
      <c r="F156" s="1995"/>
      <c r="G156" s="940" t="str">
        <f t="shared" si="6"/>
        <v/>
      </c>
      <c r="H156" s="972"/>
      <c r="I156" s="940" t="s">
        <v>1207</v>
      </c>
      <c r="J156" s="1995"/>
      <c r="K156" s="1995"/>
      <c r="L156" s="940"/>
      <c r="M156" s="972"/>
      <c r="N156" s="940"/>
      <c r="O156" s="1995"/>
      <c r="P156" s="1995"/>
      <c r="Q156" s="970" t="str">
        <f t="shared" si="4"/>
        <v/>
      </c>
      <c r="R156" s="927"/>
    </row>
    <row r="157" spans="1:18" x14ac:dyDescent="0.25">
      <c r="A157" s="927">
        <f t="shared" si="3"/>
        <v>1</v>
      </c>
      <c r="B157" s="970" t="b">
        <v>0</v>
      </c>
      <c r="C157" s="970"/>
      <c r="D157" s="940" t="str">
        <f t="shared" si="5"/>
        <v/>
      </c>
      <c r="E157" s="1995"/>
      <c r="F157" s="1995"/>
      <c r="G157" s="940" t="str">
        <f t="shared" si="6"/>
        <v/>
      </c>
      <c r="H157" s="972"/>
      <c r="I157" s="940" t="str">
        <f>IF(B157, "Количество клиентов","")</f>
        <v/>
      </c>
      <c r="J157" s="1995"/>
      <c r="K157" s="1995"/>
      <c r="L157" s="940"/>
      <c r="M157" s="972"/>
      <c r="N157" s="940"/>
      <c r="O157" s="1995"/>
      <c r="P157" s="1995"/>
      <c r="Q157" s="970" t="str">
        <f t="shared" si="4"/>
        <v/>
      </c>
      <c r="R157" s="927"/>
    </row>
    <row r="158" spans="1:18" x14ac:dyDescent="0.25">
      <c r="A158" s="927">
        <f t="shared" si="3"/>
        <v>1</v>
      </c>
      <c r="B158" s="970" t="b">
        <v>0</v>
      </c>
      <c r="C158" s="970"/>
      <c r="D158" s="940" t="str">
        <f t="shared" ref="D158:D160" si="7">IF(B158, "Количество площадок ","")</f>
        <v/>
      </c>
      <c r="E158" s="1995"/>
      <c r="F158" s="1995"/>
      <c r="G158" s="940" t="str">
        <f t="shared" si="6"/>
        <v/>
      </c>
      <c r="H158" s="972"/>
      <c r="I158" s="940" t="str">
        <f>IF(B158, "Количество АСО","")</f>
        <v/>
      </c>
      <c r="J158" s="1995"/>
      <c r="K158" s="1995"/>
      <c r="L158" s="940"/>
      <c r="M158" s="972"/>
      <c r="N158" s="940"/>
      <c r="O158" s="1995"/>
      <c r="P158" s="1995"/>
      <c r="Q158" s="970" t="str">
        <f t="shared" si="4"/>
        <v/>
      </c>
      <c r="R158" s="927"/>
    </row>
    <row r="159" spans="1:18" x14ac:dyDescent="0.25">
      <c r="A159" s="927">
        <f t="shared" si="3"/>
        <v>1</v>
      </c>
      <c r="B159" s="970" t="b">
        <v>0</v>
      </c>
      <c r="C159" s="970"/>
      <c r="D159" s="940" t="str">
        <f>IF(B159, "Количество площадок ","")</f>
        <v/>
      </c>
      <c r="E159" s="1995"/>
      <c r="F159" s="1995"/>
      <c r="G159" s="940" t="str">
        <f t="shared" si="6"/>
        <v/>
      </c>
      <c r="H159" s="972"/>
      <c r="I159" s="940" t="str">
        <f>IF(B159, "Количество endpoint","")</f>
        <v/>
      </c>
      <c r="J159" s="1995"/>
      <c r="K159" s="1995"/>
      <c r="L159" s="940"/>
      <c r="M159" s="972"/>
      <c r="N159" s="940"/>
      <c r="O159" s="1995"/>
      <c r="P159" s="1995"/>
      <c r="Q159" s="970" t="str">
        <f t="shared" si="4"/>
        <v/>
      </c>
      <c r="R159" s="927"/>
    </row>
    <row r="160" spans="1:18" x14ac:dyDescent="0.25">
      <c r="A160" s="927">
        <f t="shared" si="3"/>
        <v>1</v>
      </c>
      <c r="B160" s="1015" t="b">
        <v>0</v>
      </c>
      <c r="C160" s="970"/>
      <c r="D160" s="1016" t="str">
        <f t="shared" si="7"/>
        <v/>
      </c>
      <c r="E160" s="1996"/>
      <c r="F160" s="1997"/>
      <c r="G160" s="987" t="str">
        <f>IF(B160, "Количество СХД","")</f>
        <v/>
      </c>
      <c r="H160" s="988"/>
      <c r="I160" s="940"/>
      <c r="J160" s="1998"/>
      <c r="K160" s="1999"/>
      <c r="L160" s="940"/>
      <c r="M160" s="972"/>
      <c r="N160" s="940"/>
      <c r="O160" s="1998"/>
      <c r="P160" s="1999"/>
      <c r="Q160" s="970" t="str">
        <f t="shared" si="4"/>
        <v/>
      </c>
      <c r="R160" s="927"/>
    </row>
    <row r="161" spans="1:18" x14ac:dyDescent="0.25">
      <c r="A161" s="927">
        <f t="shared" si="3"/>
        <v>1</v>
      </c>
      <c r="B161" s="970" t="b">
        <v>0</v>
      </c>
      <c r="C161" s="970"/>
      <c r="D161" s="940" t="str">
        <f>IF(B161, "Количество площадок ","")</f>
        <v/>
      </c>
      <c r="E161" s="1995"/>
      <c r="F161" s="1995"/>
      <c r="G161" s="940" t="str">
        <f>IF(B161, "Количество серверов","")</f>
        <v/>
      </c>
      <c r="H161" s="972"/>
      <c r="I161" s="940" t="str">
        <f>IF(B161, "Количество сенсеров","")</f>
        <v/>
      </c>
      <c r="J161" s="1995"/>
      <c r="K161" s="1995"/>
      <c r="L161" s="940" t="str">
        <f>IF(B161, "Количество ЗОКИИ","")</f>
        <v/>
      </c>
      <c r="M161" s="972"/>
      <c r="N161" s="940"/>
      <c r="O161" s="1995"/>
      <c r="P161" s="1995"/>
      <c r="Q161" s="970" t="str">
        <f t="shared" si="4"/>
        <v/>
      </c>
      <c r="R161" s="927"/>
    </row>
    <row r="162" spans="1:18" x14ac:dyDescent="0.25">
      <c r="A162" s="927">
        <f t="shared" si="3"/>
        <v>1</v>
      </c>
      <c r="B162" s="970" t="b">
        <v>0</v>
      </c>
      <c r="C162" s="970"/>
      <c r="D162" s="940" t="str">
        <f>IF(B162, "Количество площадок ","")</f>
        <v/>
      </c>
      <c r="E162" s="1995"/>
      <c r="F162" s="1995"/>
      <c r="G162" s="940"/>
      <c r="H162" s="972"/>
      <c r="I162" s="940"/>
      <c r="J162" s="1995"/>
      <c r="K162" s="1995"/>
      <c r="L162" s="940"/>
      <c r="M162" s="972"/>
      <c r="N162" s="940"/>
      <c r="O162" s="1995"/>
      <c r="P162" s="1995"/>
      <c r="Q162" s="970" t="str">
        <f t="shared" si="4"/>
        <v/>
      </c>
      <c r="R162" s="927"/>
    </row>
    <row r="163" spans="1:18" x14ac:dyDescent="0.25">
      <c r="A163" s="927">
        <f t="shared" si="3"/>
        <v>1</v>
      </c>
      <c r="B163" s="970" t="b">
        <v>0</v>
      </c>
      <c r="C163" s="970"/>
      <c r="D163" s="940" t="str">
        <f>IF(B163, "Количество площадок ","")</f>
        <v/>
      </c>
      <c r="E163" s="1995"/>
      <c r="F163" s="1995"/>
      <c r="G163" s="940" t="str">
        <f>IF(B163, "Количество узлов","")</f>
        <v/>
      </c>
      <c r="H163" s="972"/>
      <c r="I163" s="940"/>
      <c r="J163" s="1995"/>
      <c r="K163" s="1995"/>
      <c r="L163" s="940"/>
      <c r="M163" s="972"/>
      <c r="N163" s="940"/>
      <c r="O163" s="1995"/>
      <c r="P163" s="1995"/>
      <c r="Q163" s="970" t="str">
        <f t="shared" si="4"/>
        <v/>
      </c>
      <c r="R163" s="927"/>
    </row>
    <row r="164" spans="1:18" x14ac:dyDescent="0.25">
      <c r="A164" s="927">
        <f t="shared" si="3"/>
        <v>1</v>
      </c>
      <c r="B164" s="970" t="b">
        <v>0</v>
      </c>
      <c r="C164" s="970"/>
      <c r="D164" s="940" t="str">
        <f>IF(B164, "Количество площадок ","")</f>
        <v/>
      </c>
      <c r="E164" s="1995"/>
      <c r="F164" s="1995"/>
      <c r="G164" s="940" t="str">
        <f>IF(B164, "Количество АСО","")</f>
        <v/>
      </c>
      <c r="H164" s="972"/>
      <c r="I164" s="940"/>
      <c r="J164" s="1995"/>
      <c r="K164" s="1995"/>
      <c r="L164" s="940"/>
      <c r="M164" s="972"/>
      <c r="N164" s="940"/>
      <c r="O164" s="1995"/>
      <c r="P164" s="1995"/>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53" t="s">
        <v>1473</v>
      </c>
      <c r="B9" s="2154"/>
      <c r="C9" s="2154"/>
      <c r="D9" s="2154"/>
      <c r="E9" s="2155"/>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44"/>
      <c r="B10" s="2144"/>
      <c r="C10" s="2147" t="s">
        <v>1395</v>
      </c>
      <c r="D10" s="1585" t="s">
        <v>1392</v>
      </c>
      <c r="E10" s="1409">
        <v>20</v>
      </c>
      <c r="F10" s="2138">
        <f>SUM(G10:I12)</f>
        <v>0</v>
      </c>
      <c r="G10" s="2135">
        <f>SUM(G13:G24)</f>
        <v>0</v>
      </c>
      <c r="H10" s="2135">
        <f t="shared" ref="H10:I10" si="0">SUM(H13:H24)</f>
        <v>0</v>
      </c>
      <c r="I10" s="2135">
        <f t="shared" si="0"/>
        <v>0</v>
      </c>
      <c r="J10" s="2135">
        <f t="shared" ref="J10" si="1">ROUNDUP(SUM(J13:J24),2)</f>
        <v>0</v>
      </c>
      <c r="K10" s="2135">
        <f>ROUNDUP(SUM(K13:K24),2)</f>
        <v>0</v>
      </c>
      <c r="L10" s="2135">
        <f t="shared" ref="L10:M10" si="2">ROUNDUP(SUM(L13:L24),2)</f>
        <v>0</v>
      </c>
      <c r="M10" s="2135">
        <f t="shared" si="2"/>
        <v>0</v>
      </c>
      <c r="N10" s="2150"/>
    </row>
    <row r="11" spans="1:18" ht="30.75" hidden="1" customHeight="1" outlineLevel="1" thickBot="1" x14ac:dyDescent="0.25">
      <c r="A11" s="2145"/>
      <c r="B11" s="2145"/>
      <c r="C11" s="2148"/>
      <c r="D11" s="1586" t="s">
        <v>1393</v>
      </c>
      <c r="E11" s="1409">
        <v>20</v>
      </c>
      <c r="F11" s="2139"/>
      <c r="G11" s="2136"/>
      <c r="H11" s="2136"/>
      <c r="I11" s="2136"/>
      <c r="J11" s="2136"/>
      <c r="K11" s="2136"/>
      <c r="L11" s="2136"/>
      <c r="M11" s="2136"/>
      <c r="N11" s="2151"/>
    </row>
    <row r="12" spans="1:18" ht="16.5" hidden="1" customHeight="1" outlineLevel="1" thickBot="1" x14ac:dyDescent="0.25">
      <c r="A12" s="2146"/>
      <c r="B12" s="2146"/>
      <c r="C12" s="2149"/>
      <c r="D12" s="1586" t="s">
        <v>1394</v>
      </c>
      <c r="E12" s="1409">
        <v>3</v>
      </c>
      <c r="F12" s="2140"/>
      <c r="G12" s="2137"/>
      <c r="H12" s="2137"/>
      <c r="I12" s="2137"/>
      <c r="J12" s="2137"/>
      <c r="K12" s="2137"/>
      <c r="L12" s="2137"/>
      <c r="M12" s="2137"/>
      <c r="N12" s="2152"/>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44"/>
      <c r="B25" s="2144"/>
      <c r="C25" s="2147" t="s">
        <v>1479</v>
      </c>
      <c r="D25" s="1585" t="s">
        <v>876</v>
      </c>
      <c r="E25" s="1409">
        <v>1</v>
      </c>
      <c r="F25" s="2138">
        <f>SUM(G25:I27)</f>
        <v>149</v>
      </c>
      <c r="G25" s="2135">
        <f>ROUNDUP(G28+G31+G33+G35,0)</f>
        <v>68</v>
      </c>
      <c r="H25" s="2135">
        <f>ROUNDUP(H28+H31+H33+H35,0)</f>
        <v>59</v>
      </c>
      <c r="I25" s="2135">
        <f>ROUNDUP(I28+I31+I33+I35,0)</f>
        <v>22</v>
      </c>
      <c r="J25" s="2135">
        <f>ROUNDUP(SUM(K25:M27),2)</f>
        <v>18.5</v>
      </c>
      <c r="K25" s="2135">
        <f>ROUNDUP(SUM(K28,K31,K33,K35),2)</f>
        <v>8.4499999999999993</v>
      </c>
      <c r="L25" s="2135">
        <f>ROUNDUP(SUM(L28,L31,L33,L35),2)</f>
        <v>7.3</v>
      </c>
      <c r="M25" s="2135">
        <f>ROUNDUP(SUM(M28,M31,M33,M35),2)</f>
        <v>2.75</v>
      </c>
      <c r="N25" s="2141" t="s">
        <v>1480</v>
      </c>
    </row>
    <row r="26" spans="1:14" ht="16.5" hidden="1" customHeight="1" outlineLevel="1" thickBot="1" x14ac:dyDescent="0.25">
      <c r="A26" s="2145"/>
      <c r="B26" s="2145"/>
      <c r="C26" s="2148"/>
      <c r="D26" s="1587" t="s">
        <v>1358</v>
      </c>
      <c r="E26" s="1409">
        <v>20</v>
      </c>
      <c r="F26" s="2139"/>
      <c r="G26" s="2136"/>
      <c r="H26" s="2136"/>
      <c r="I26" s="2136"/>
      <c r="J26" s="2136"/>
      <c r="K26" s="2136"/>
      <c r="L26" s="2136"/>
      <c r="M26" s="2136"/>
      <c r="N26" s="2142"/>
    </row>
    <row r="27" spans="1:14" ht="27" hidden="1" customHeight="1" outlineLevel="1" thickBot="1" x14ac:dyDescent="0.25">
      <c r="A27" s="2146"/>
      <c r="B27" s="2146"/>
      <c r="C27" s="2149"/>
      <c r="D27" s="1588" t="s">
        <v>1481</v>
      </c>
      <c r="E27" s="1409" t="s">
        <v>106</v>
      </c>
      <c r="F27" s="2140"/>
      <c r="G27" s="2137"/>
      <c r="H27" s="2137"/>
      <c r="I27" s="2137"/>
      <c r="J27" s="2137"/>
      <c r="K27" s="2137"/>
      <c r="L27" s="2137"/>
      <c r="M27" s="2137"/>
      <c r="N27" s="2143"/>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44"/>
      <c r="B38" s="2144"/>
      <c r="C38" s="2147" t="s">
        <v>1483</v>
      </c>
      <c r="D38" s="1585" t="s">
        <v>1421</v>
      </c>
      <c r="E38" s="1409">
        <v>1</v>
      </c>
      <c r="F38" s="2138">
        <f>SUM(G38:I40)</f>
        <v>0</v>
      </c>
      <c r="G38" s="2135">
        <f>ROUNDUP(SUM(G41:G41),0)</f>
        <v>0</v>
      </c>
      <c r="H38" s="2135">
        <f t="shared" ref="H38:I38" si="16">ROUNDUP(SUM(H41:H41),0)</f>
        <v>0</v>
      </c>
      <c r="I38" s="2135">
        <f t="shared" si="16"/>
        <v>0</v>
      </c>
      <c r="J38" s="2138">
        <f>ROUNDUP(SUM(J41),2)</f>
        <v>0</v>
      </c>
      <c r="K38" s="2138">
        <f t="shared" ref="K38:M38" si="17">ROUNDUP(SUM(K41),2)</f>
        <v>0</v>
      </c>
      <c r="L38" s="2138">
        <f t="shared" si="17"/>
        <v>0</v>
      </c>
      <c r="M38" s="2138">
        <f t="shared" si="17"/>
        <v>0</v>
      </c>
      <c r="N38" s="2141" t="s">
        <v>1484</v>
      </c>
    </row>
    <row r="39" spans="1:14" ht="12.6" hidden="1" customHeight="1" outlineLevel="1" thickBot="1" x14ac:dyDescent="0.25">
      <c r="A39" s="2145"/>
      <c r="B39" s="2145"/>
      <c r="C39" s="2148"/>
      <c r="D39" s="1586" t="s">
        <v>1422</v>
      </c>
      <c r="E39" s="1409">
        <v>1</v>
      </c>
      <c r="F39" s="2139"/>
      <c r="G39" s="2136"/>
      <c r="H39" s="2136"/>
      <c r="I39" s="2136"/>
      <c r="J39" s="2139"/>
      <c r="K39" s="2139"/>
      <c r="L39" s="2139"/>
      <c r="M39" s="2139"/>
      <c r="N39" s="2142"/>
    </row>
    <row r="40" spans="1:14" ht="24.75" hidden="1" outlineLevel="1" thickBot="1" x14ac:dyDescent="0.25">
      <c r="A40" s="2146"/>
      <c r="B40" s="2146"/>
      <c r="C40" s="2149"/>
      <c r="D40" s="1586" t="s">
        <v>1423</v>
      </c>
      <c r="E40" s="1409" t="s">
        <v>106</v>
      </c>
      <c r="F40" s="2140"/>
      <c r="G40" s="2137"/>
      <c r="H40" s="2137"/>
      <c r="I40" s="2137"/>
      <c r="J40" s="2140"/>
      <c r="K40" s="2140"/>
      <c r="L40" s="2140"/>
      <c r="M40" s="2140"/>
      <c r="N40" s="2143"/>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44"/>
      <c r="B42" s="2144"/>
      <c r="C42" s="2147" t="s">
        <v>1485</v>
      </c>
      <c r="D42" s="1594" t="s">
        <v>1230</v>
      </c>
      <c r="E42" s="1409">
        <v>1</v>
      </c>
      <c r="F42" s="2138">
        <f>SUM(G42:I44)</f>
        <v>0</v>
      </c>
      <c r="G42" s="2135">
        <f>ROUNDUP(G45+G49+G85,0)</f>
        <v>0</v>
      </c>
      <c r="H42" s="2135">
        <f>ROUNDUP(H45+H49+H85,0)</f>
        <v>0</v>
      </c>
      <c r="I42" s="2135">
        <f t="shared" ref="I42" si="19">ROUNDUP(I45+I49+I85,0)</f>
        <v>0</v>
      </c>
      <c r="J42" s="2138">
        <f>ROUNDUP(SUM(J45,J49,J85),2)</f>
        <v>0</v>
      </c>
      <c r="K42" s="2138">
        <f>ROUNDUP(SUM(K45,K49,K85),2)</f>
        <v>0</v>
      </c>
      <c r="L42" s="2138">
        <f t="shared" ref="L42:M42" si="20">ROUNDUP(SUM(L45,L49,L85),2)</f>
        <v>0</v>
      </c>
      <c r="M42" s="2138">
        <f t="shared" si="20"/>
        <v>0</v>
      </c>
      <c r="N42" s="2141" t="s">
        <v>1486</v>
      </c>
    </row>
    <row r="43" spans="1:14" ht="12.6" hidden="1" customHeight="1" outlineLevel="1" thickBot="1" x14ac:dyDescent="0.25">
      <c r="A43" s="2145"/>
      <c r="B43" s="2145"/>
      <c r="C43" s="2148"/>
      <c r="D43" s="1595" t="s">
        <v>1231</v>
      </c>
      <c r="E43" s="1409" t="s">
        <v>106</v>
      </c>
      <c r="F43" s="2139"/>
      <c r="G43" s="2136"/>
      <c r="H43" s="2136"/>
      <c r="I43" s="2136"/>
      <c r="J43" s="2139"/>
      <c r="K43" s="2139"/>
      <c r="L43" s="2139"/>
      <c r="M43" s="2139"/>
      <c r="N43" s="2142"/>
    </row>
    <row r="44" spans="1:14" ht="24.75" hidden="1" outlineLevel="1" thickBot="1" x14ac:dyDescent="0.25">
      <c r="A44" s="2146"/>
      <c r="B44" s="2146"/>
      <c r="C44" s="2149"/>
      <c r="D44" s="1595" t="s">
        <v>1232</v>
      </c>
      <c r="E44" s="1409" t="s">
        <v>106</v>
      </c>
      <c r="F44" s="2140"/>
      <c r="G44" s="2137"/>
      <c r="H44" s="2137"/>
      <c r="I44" s="2137"/>
      <c r="J44" s="2140"/>
      <c r="K44" s="2140"/>
      <c r="L44" s="2140"/>
      <c r="M44" s="2140"/>
      <c r="N44" s="2143"/>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32" t="s">
        <v>1489</v>
      </c>
      <c r="B88" s="2133"/>
      <c r="C88" s="2133"/>
      <c r="D88" s="2133"/>
      <c r="E88" s="2134"/>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27"/>
      <c r="B89" s="2127"/>
      <c r="C89" s="2118" t="s">
        <v>1479</v>
      </c>
      <c r="D89" s="1430" t="s">
        <v>876</v>
      </c>
      <c r="E89" s="1409">
        <v>1</v>
      </c>
      <c r="F89" s="2118">
        <f>SUM(G89:I89)</f>
        <v>128</v>
      </c>
      <c r="G89" s="2118">
        <f>ROUNDUP(G92+G95+G97+G99+G101,0)</f>
        <v>54</v>
      </c>
      <c r="H89" s="2118">
        <f t="shared" ref="H89:I89" si="33">ROUNDUP(H92+H95+H97+H99+H101,0)</f>
        <v>50</v>
      </c>
      <c r="I89" s="2118">
        <f t="shared" si="33"/>
        <v>24</v>
      </c>
      <c r="J89" s="2118">
        <f>ROUNDUP(SUM(K89:M91),2)</f>
        <v>15.86</v>
      </c>
      <c r="K89" s="2118">
        <f t="shared" ref="K89:M89" si="34">ROUNDUP(SUM(K92,K95,K97,K99,K101),2)</f>
        <v>6.68</v>
      </c>
      <c r="L89" s="2118">
        <f t="shared" si="34"/>
        <v>6.24</v>
      </c>
      <c r="M89" s="2118">
        <f t="shared" si="34"/>
        <v>2.94</v>
      </c>
      <c r="N89" s="2121" t="s">
        <v>1480</v>
      </c>
    </row>
    <row r="90" spans="1:14" ht="16.5" hidden="1" customHeight="1" outlineLevel="1" thickBot="1" x14ac:dyDescent="0.25">
      <c r="A90" s="2128"/>
      <c r="B90" s="2128"/>
      <c r="C90" s="2120"/>
      <c r="D90" s="1431" t="s">
        <v>1282</v>
      </c>
      <c r="E90" s="1409">
        <v>10</v>
      </c>
      <c r="F90" s="2120"/>
      <c r="G90" s="2120"/>
      <c r="H90" s="2120"/>
      <c r="I90" s="2120"/>
      <c r="J90" s="2120"/>
      <c r="K90" s="2120"/>
      <c r="L90" s="2120"/>
      <c r="M90" s="2120"/>
      <c r="N90" s="2122"/>
    </row>
    <row r="91" spans="1:14" ht="24.75" hidden="1" outlineLevel="1" thickBot="1" x14ac:dyDescent="0.25">
      <c r="A91" s="2129"/>
      <c r="B91" s="2129"/>
      <c r="C91" s="2119"/>
      <c r="D91" s="1432" t="s">
        <v>1481</v>
      </c>
      <c r="E91" s="1409" t="s">
        <v>106</v>
      </c>
      <c r="F91" s="2119"/>
      <c r="G91" s="2119"/>
      <c r="H91" s="2119"/>
      <c r="I91" s="2119"/>
      <c r="J91" s="2119"/>
      <c r="K91" s="2119"/>
      <c r="L91" s="2119"/>
      <c r="M91" s="2119"/>
      <c r="N91" s="2123"/>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27"/>
      <c r="B104" s="2127"/>
      <c r="C104" s="2118" t="s">
        <v>1483</v>
      </c>
      <c r="D104" s="1430" t="s">
        <v>1421</v>
      </c>
      <c r="E104" s="1409">
        <v>1</v>
      </c>
      <c r="F104" s="2118">
        <f>SUM(G104:I105)</f>
        <v>0</v>
      </c>
      <c r="G104" s="2118">
        <f>ROUNDUP(SUM(G106:G106),0)</f>
        <v>0</v>
      </c>
      <c r="H104" s="2118">
        <f t="shared" ref="H104:I104" si="46">ROUNDUP(SUM(H106:H106),0)</f>
        <v>0</v>
      </c>
      <c r="I104" s="2118">
        <f t="shared" si="46"/>
        <v>0</v>
      </c>
      <c r="J104" s="2118">
        <f>ROUNDUP(SUM(J106),2)</f>
        <v>0</v>
      </c>
      <c r="K104" s="2118">
        <f>ROUNDUP(SUM(K106),2)</f>
        <v>0</v>
      </c>
      <c r="L104" s="2118">
        <f t="shared" ref="L104:M104" si="47">ROUNDUP(SUM(L106),2)</f>
        <v>0</v>
      </c>
      <c r="M104" s="2118">
        <f t="shared" si="47"/>
        <v>0</v>
      </c>
      <c r="N104" s="2130" t="s">
        <v>1490</v>
      </c>
    </row>
    <row r="105" spans="1:14" ht="16.5" hidden="1" customHeight="1" outlineLevel="1" thickBot="1" x14ac:dyDescent="0.25">
      <c r="A105" s="2129"/>
      <c r="B105" s="2129"/>
      <c r="C105" s="2119"/>
      <c r="D105" s="1445" t="s">
        <v>1422</v>
      </c>
      <c r="E105" s="1409">
        <v>1</v>
      </c>
      <c r="F105" s="2119"/>
      <c r="G105" s="2119"/>
      <c r="H105" s="2119"/>
      <c r="I105" s="2119"/>
      <c r="J105" s="2119"/>
      <c r="K105" s="2119"/>
      <c r="L105" s="2119"/>
      <c r="M105" s="2119"/>
      <c r="N105" s="2131"/>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27"/>
      <c r="B110" s="2127"/>
      <c r="C110" s="2118" t="s">
        <v>1491</v>
      </c>
      <c r="D110" s="1449" t="s">
        <v>1282</v>
      </c>
      <c r="E110" s="1409">
        <v>2</v>
      </c>
      <c r="F110" s="2118">
        <f>SUM(G110:I110)</f>
        <v>0</v>
      </c>
      <c r="G110" s="2118">
        <f>G113+G117+G145+G147+G149+G151+G153+G155+G158+G160</f>
        <v>0</v>
      </c>
      <c r="H110" s="2118">
        <f t="shared" ref="H110:I110" si="51">H113+H117+H145+H147+H149+H151+H153+H155+H158+H160</f>
        <v>0</v>
      </c>
      <c r="I110" s="2118">
        <f t="shared" si="51"/>
        <v>0</v>
      </c>
      <c r="J110" s="2118">
        <f>ROUNDUP(SUM(K110:M112),2)</f>
        <v>0</v>
      </c>
      <c r="K110" s="2118">
        <f>ROUNDUP(SUM(K113,K117,K145,K147,K149,K151,K153,K155,K158,K160),2)</f>
        <v>0</v>
      </c>
      <c r="L110" s="2118">
        <f t="shared" ref="L110:M110" si="52">ROUNDUP(SUM(L113,L117,L145,L147,L149,L151,L153,L155,L158,L160),2)</f>
        <v>0</v>
      </c>
      <c r="M110" s="2118">
        <f t="shared" si="52"/>
        <v>0</v>
      </c>
      <c r="N110" s="2121"/>
    </row>
    <row r="111" spans="1:14" ht="12.6" hidden="1" customHeight="1" outlineLevel="1" thickBot="1" x14ac:dyDescent="0.25">
      <c r="A111" s="2128"/>
      <c r="B111" s="2128"/>
      <c r="C111" s="2120"/>
      <c r="D111" s="1450" t="s">
        <v>1231</v>
      </c>
      <c r="E111" s="1409" t="s">
        <v>107</v>
      </c>
      <c r="F111" s="2120"/>
      <c r="G111" s="2120"/>
      <c r="H111" s="2120"/>
      <c r="I111" s="2120"/>
      <c r="J111" s="2120"/>
      <c r="K111" s="2120"/>
      <c r="L111" s="2120"/>
      <c r="M111" s="2120"/>
      <c r="N111" s="2122"/>
    </row>
    <row r="112" spans="1:14" ht="24.75" hidden="1" outlineLevel="1" thickBot="1" x14ac:dyDescent="0.25">
      <c r="A112" s="2129"/>
      <c r="B112" s="2129"/>
      <c r="C112" s="2119"/>
      <c r="D112" s="1450" t="s">
        <v>1232</v>
      </c>
      <c r="E112" s="1409" t="s">
        <v>107</v>
      </c>
      <c r="F112" s="2119"/>
      <c r="G112" s="2119"/>
      <c r="H112" s="2119"/>
      <c r="I112" s="2119"/>
      <c r="J112" s="2119"/>
      <c r="K112" s="2119"/>
      <c r="L112" s="2119"/>
      <c r="M112" s="2119"/>
      <c r="N112" s="2123"/>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24" t="s">
        <v>1492</v>
      </c>
      <c r="B166" s="2125"/>
      <c r="C166" s="2125"/>
      <c r="D166" s="2125"/>
      <c r="E166" s="2126"/>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114"/>
      <c r="B167" s="2114"/>
      <c r="C167" s="2106" t="s">
        <v>1479</v>
      </c>
      <c r="D167" s="1454" t="s">
        <v>876</v>
      </c>
      <c r="E167" s="1409">
        <v>1</v>
      </c>
      <c r="F167" s="2106">
        <f>SUM(G167:I169)</f>
        <v>161</v>
      </c>
      <c r="G167" s="2106">
        <f>ROUNDUP(G170+G173+G175+G177+G179,0)</f>
        <v>67</v>
      </c>
      <c r="H167" s="2106">
        <f t="shared" ref="H167:I167" si="84">ROUNDUP(H170+H173+H175+H177+H179,0)</f>
        <v>63</v>
      </c>
      <c r="I167" s="2106">
        <f t="shared" si="84"/>
        <v>31</v>
      </c>
      <c r="J167" s="2106">
        <f>ROUNDUP(SUM(J170,J173,J175,J177,J179),2)</f>
        <v>19.87</v>
      </c>
      <c r="K167" s="2106">
        <f t="shared" ref="K167:M167" si="85">ROUNDUP(SUM(K170,K173,K175,K177,K179),2)</f>
        <v>8.34</v>
      </c>
      <c r="L167" s="2106">
        <f t="shared" si="85"/>
        <v>7.76</v>
      </c>
      <c r="M167" s="2106">
        <f t="shared" si="85"/>
        <v>3.78</v>
      </c>
      <c r="N167" s="2109" t="s">
        <v>1480</v>
      </c>
    </row>
    <row r="168" spans="1:14" ht="16.5" customHeight="1" outlineLevel="1" thickBot="1" x14ac:dyDescent="0.25">
      <c r="A168" s="2116"/>
      <c r="B168" s="2116"/>
      <c r="C168" s="2107"/>
      <c r="D168" s="1455" t="s">
        <v>1320</v>
      </c>
      <c r="E168" s="1409">
        <v>1</v>
      </c>
      <c r="F168" s="2107"/>
      <c r="G168" s="2107"/>
      <c r="H168" s="2107"/>
      <c r="I168" s="2107"/>
      <c r="J168" s="2107"/>
      <c r="K168" s="2107"/>
      <c r="L168" s="2107"/>
      <c r="M168" s="2107"/>
      <c r="N168" s="2117"/>
    </row>
    <row r="169" spans="1:14" ht="30" customHeight="1" outlineLevel="1" thickBot="1" x14ac:dyDescent="0.25">
      <c r="A169" s="2115"/>
      <c r="B169" s="2115"/>
      <c r="C169" s="2108"/>
      <c r="D169" s="1456" t="s">
        <v>1481</v>
      </c>
      <c r="E169" s="1409" t="s">
        <v>106</v>
      </c>
      <c r="F169" s="2108"/>
      <c r="G169" s="2108"/>
      <c r="H169" s="2108"/>
      <c r="I169" s="2108"/>
      <c r="J169" s="2108"/>
      <c r="K169" s="2108"/>
      <c r="L169" s="2108"/>
      <c r="M169" s="2108"/>
      <c r="N169" s="2110"/>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114"/>
      <c r="B182" s="2114"/>
      <c r="C182" s="2106" t="s">
        <v>1483</v>
      </c>
      <c r="D182" s="1454" t="s">
        <v>1421</v>
      </c>
      <c r="E182" s="1409">
        <v>1</v>
      </c>
      <c r="F182" s="2106">
        <f>SUM(G182:I183)</f>
        <v>64</v>
      </c>
      <c r="G182" s="2106">
        <f>SUM(G184:G184)</f>
        <v>19.2</v>
      </c>
      <c r="H182" s="2106">
        <f>SUM(H184:H184)</f>
        <v>25.6</v>
      </c>
      <c r="I182" s="2106">
        <f>SUM(I184:I184)</f>
        <v>19.2</v>
      </c>
      <c r="J182" s="2106">
        <f>SUM(J184)</f>
        <v>8</v>
      </c>
      <c r="K182" s="2106">
        <f>SUM(K184)</f>
        <v>2.4</v>
      </c>
      <c r="L182" s="2106">
        <f>SUM(L184)</f>
        <v>3.2</v>
      </c>
      <c r="M182" s="2106">
        <f>SUM(M184)</f>
        <v>2.4</v>
      </c>
      <c r="N182" s="2109" t="s">
        <v>1497</v>
      </c>
    </row>
    <row r="183" spans="1:14" ht="12.6" customHeight="1" outlineLevel="1" thickBot="1" x14ac:dyDescent="0.25">
      <c r="A183" s="2115"/>
      <c r="B183" s="2115"/>
      <c r="C183" s="2108"/>
      <c r="D183" s="1469" t="s">
        <v>1422</v>
      </c>
      <c r="E183" s="1409">
        <v>1</v>
      </c>
      <c r="F183" s="2108"/>
      <c r="G183" s="2108"/>
      <c r="H183" s="2108"/>
      <c r="I183" s="2108"/>
      <c r="J183" s="2108"/>
      <c r="K183" s="2108"/>
      <c r="L183" s="2108"/>
      <c r="M183" s="2108"/>
      <c r="N183" s="2110"/>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114"/>
      <c r="B188" s="2114"/>
      <c r="C188" s="2106" t="s">
        <v>1498</v>
      </c>
      <c r="D188" s="1472" t="s">
        <v>1320</v>
      </c>
      <c r="E188" s="1409">
        <v>1</v>
      </c>
      <c r="F188" s="2106">
        <f>SUM(G188:I190)</f>
        <v>118.65</v>
      </c>
      <c r="G188" s="2106">
        <f>G191+G195+G220</f>
        <v>74.08</v>
      </c>
      <c r="H188" s="2106">
        <f>H191+H195+H220</f>
        <v>32.971000000000004</v>
      </c>
      <c r="I188" s="2106">
        <f>I191+I195+I220</f>
        <v>11.599000000000002</v>
      </c>
      <c r="J188" s="2106">
        <f>SUM(K188:M190)</f>
        <v>14.831250000000001</v>
      </c>
      <c r="K188" s="2106">
        <f t="shared" ref="K188:L188" si="100">SUM(K191+K195+K220)</f>
        <v>9.26</v>
      </c>
      <c r="L188" s="2106">
        <f t="shared" si="100"/>
        <v>4.1213750000000005</v>
      </c>
      <c r="M188" s="2106">
        <f>SUM(M191+M195+M220)</f>
        <v>1.4498750000000002</v>
      </c>
      <c r="N188" s="2109"/>
    </row>
    <row r="189" spans="1:14" ht="12.6" customHeight="1" outlineLevel="1" thickBot="1" x14ac:dyDescent="0.25">
      <c r="A189" s="2116"/>
      <c r="B189" s="2116"/>
      <c r="C189" s="2107"/>
      <c r="D189" s="1473" t="s">
        <v>1231</v>
      </c>
      <c r="E189" s="1409" t="s">
        <v>106</v>
      </c>
      <c r="F189" s="2107"/>
      <c r="G189" s="2107"/>
      <c r="H189" s="2107"/>
      <c r="I189" s="2107"/>
      <c r="J189" s="2107"/>
      <c r="K189" s="2107"/>
      <c r="L189" s="2107"/>
      <c r="M189" s="2107"/>
      <c r="N189" s="2117"/>
    </row>
    <row r="190" spans="1:14" ht="24.75" outlineLevel="1" thickBot="1" x14ac:dyDescent="0.25">
      <c r="A190" s="2115"/>
      <c r="B190" s="2115"/>
      <c r="C190" s="2108"/>
      <c r="D190" s="1473" t="s">
        <v>1232</v>
      </c>
      <c r="E190" s="1409" t="s">
        <v>106</v>
      </c>
      <c r="F190" s="2108"/>
      <c r="G190" s="2108"/>
      <c r="H190" s="2108"/>
      <c r="I190" s="2108"/>
      <c r="J190" s="2108"/>
      <c r="K190" s="2108"/>
      <c r="L190" s="2108"/>
      <c r="M190" s="2108"/>
      <c r="N190" s="2110"/>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114"/>
      <c r="B223" s="2114"/>
      <c r="C223" s="2106" t="s">
        <v>1442</v>
      </c>
      <c r="D223" s="1472" t="s">
        <v>1421</v>
      </c>
      <c r="E223" s="1409">
        <v>1</v>
      </c>
      <c r="F223" s="2106">
        <f>SUM(G223:I224)</f>
        <v>0</v>
      </c>
      <c r="G223" s="2106">
        <f>SUM(G225:G236)</f>
        <v>0</v>
      </c>
      <c r="H223" s="2106">
        <f t="shared" ref="H223:I223" si="110">SUM(H225:H236)</f>
        <v>0</v>
      </c>
      <c r="I223" s="2106">
        <f t="shared" si="110"/>
        <v>0</v>
      </c>
      <c r="J223" s="2106">
        <f>SUM(K223:M224)</f>
        <v>0</v>
      </c>
      <c r="K223" s="2106">
        <f>SUM(K225:K236)</f>
        <v>0</v>
      </c>
      <c r="L223" s="2106">
        <f t="shared" ref="L223:M223" si="111">SUM(L225:L236)</f>
        <v>0</v>
      </c>
      <c r="M223" s="2106">
        <f t="shared" si="111"/>
        <v>0</v>
      </c>
      <c r="N223" s="2109"/>
    </row>
    <row r="224" spans="1:14" ht="16.5" customHeight="1" outlineLevel="1" thickBot="1" x14ac:dyDescent="0.25">
      <c r="A224" s="2115"/>
      <c r="B224" s="2115"/>
      <c r="C224" s="2108"/>
      <c r="D224" s="1472" t="s">
        <v>1441</v>
      </c>
      <c r="E224" s="1409" t="s">
        <v>106</v>
      </c>
      <c r="F224" s="2108"/>
      <c r="G224" s="2108"/>
      <c r="H224" s="2108"/>
      <c r="I224" s="2108"/>
      <c r="J224" s="2108"/>
      <c r="K224" s="2108"/>
      <c r="L224" s="2108"/>
      <c r="M224" s="2108"/>
      <c r="N224" s="2110"/>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111" t="s">
        <v>1499</v>
      </c>
      <c r="B237" s="2112"/>
      <c r="C237" s="2112"/>
      <c r="D237" s="2112"/>
      <c r="E237" s="2113"/>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102"/>
      <c r="B238" s="2102"/>
      <c r="C238" s="2094" t="s">
        <v>1479</v>
      </c>
      <c r="D238" s="1476" t="s">
        <v>876</v>
      </c>
      <c r="E238" s="1409">
        <v>1</v>
      </c>
      <c r="F238" s="2094">
        <f>SUM(G238:I240)</f>
        <v>67</v>
      </c>
      <c r="G238" s="2094">
        <f>ROUNDUP(G241+G244+G246+G248+G250,0)</f>
        <v>25</v>
      </c>
      <c r="H238" s="2094">
        <f>ROUNDUP(H241+H244+H246+H248+H250,0)</f>
        <v>26</v>
      </c>
      <c r="I238" s="2094">
        <f>ROUNDUP(I241+I244+I246+I248+I250,0)</f>
        <v>16</v>
      </c>
      <c r="J238" s="2094">
        <f>ROUNDUP(SUM(K238:M240),2)</f>
        <v>8.1999999999999993</v>
      </c>
      <c r="K238" s="2094">
        <f>ROUNDUP(SUM(K241,K244,K246,K248,K250),2)</f>
        <v>3.03</v>
      </c>
      <c r="L238" s="2094">
        <f>ROUNDUP(SUM(L241,L244,L246,L248,L250),2)</f>
        <v>3.18</v>
      </c>
      <c r="M238" s="2094">
        <f>ROUNDUP(SUM(M241,M244,M246,M248,M250),2)</f>
        <v>1.99</v>
      </c>
      <c r="N238" s="2100" t="s">
        <v>1480</v>
      </c>
    </row>
    <row r="239" spans="1:14" ht="24.75" hidden="1" outlineLevel="1" thickBot="1" x14ac:dyDescent="0.25">
      <c r="A239" s="2103"/>
      <c r="B239" s="2103"/>
      <c r="C239" s="2095"/>
      <c r="D239" s="1477" t="s">
        <v>1500</v>
      </c>
      <c r="E239" s="1409">
        <v>1</v>
      </c>
      <c r="F239" s="2095"/>
      <c r="G239" s="2095"/>
      <c r="H239" s="2095"/>
      <c r="I239" s="2095"/>
      <c r="J239" s="2095"/>
      <c r="K239" s="2095"/>
      <c r="L239" s="2095"/>
      <c r="M239" s="2095"/>
      <c r="N239" s="2101"/>
    </row>
    <row r="240" spans="1:14" ht="24.75" hidden="1" outlineLevel="1" thickBot="1" x14ac:dyDescent="0.25">
      <c r="A240" s="2104"/>
      <c r="B240" s="2104"/>
      <c r="C240" s="2096"/>
      <c r="D240" s="1478" t="s">
        <v>1481</v>
      </c>
      <c r="E240" s="1409" t="s">
        <v>106</v>
      </c>
      <c r="F240" s="2096"/>
      <c r="G240" s="2096"/>
      <c r="H240" s="2096"/>
      <c r="I240" s="2096"/>
      <c r="J240" s="2096"/>
      <c r="K240" s="2096"/>
      <c r="L240" s="2096"/>
      <c r="M240" s="2096"/>
      <c r="N240" s="2105"/>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102"/>
      <c r="B253" s="2102"/>
      <c r="C253" s="2094" t="s">
        <v>1483</v>
      </c>
      <c r="D253" s="1489" t="s">
        <v>1421</v>
      </c>
      <c r="E253" s="1409">
        <v>2</v>
      </c>
      <c r="F253" s="2094">
        <f>SUM(G253:I254)</f>
        <v>0</v>
      </c>
      <c r="G253" s="2094">
        <f>ROUNDUP(SUM(G255:G255),0)</f>
        <v>0</v>
      </c>
      <c r="H253" s="2094">
        <f t="shared" ref="H253:I253" si="130">ROUNDUP(SUM(H255:H255),0)</f>
        <v>0</v>
      </c>
      <c r="I253" s="2094">
        <f t="shared" si="130"/>
        <v>0</v>
      </c>
      <c r="J253" s="2094">
        <f>ROUNDUP(SUM(J255),2)</f>
        <v>0</v>
      </c>
      <c r="K253" s="2094">
        <f t="shared" ref="K253:M253" si="131">ROUNDUP(SUM(K255),2)</f>
        <v>0</v>
      </c>
      <c r="L253" s="2094">
        <f t="shared" si="131"/>
        <v>0</v>
      </c>
      <c r="M253" s="2094">
        <f t="shared" si="131"/>
        <v>0</v>
      </c>
      <c r="N253" s="2100" t="s">
        <v>1501</v>
      </c>
    </row>
    <row r="254" spans="1:14" ht="18" hidden="1" customHeight="1" outlineLevel="1" thickBot="1" x14ac:dyDescent="0.25">
      <c r="A254" s="2104"/>
      <c r="B254" s="2104"/>
      <c r="C254" s="2096"/>
      <c r="D254" s="1490" t="s">
        <v>1422</v>
      </c>
      <c r="E254" s="1409">
        <v>2</v>
      </c>
      <c r="F254" s="2096"/>
      <c r="G254" s="2096"/>
      <c r="H254" s="2096"/>
      <c r="I254" s="2096"/>
      <c r="J254" s="2096"/>
      <c r="K254" s="2096"/>
      <c r="L254" s="2096"/>
      <c r="M254" s="2096"/>
      <c r="N254" s="2101"/>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102"/>
      <c r="B256" s="2102"/>
      <c r="C256" s="2094" t="s">
        <v>1503</v>
      </c>
      <c r="D256" s="1489" t="s">
        <v>1340</v>
      </c>
      <c r="E256" s="1409">
        <v>1</v>
      </c>
      <c r="F256" s="2094">
        <f>SUM(G256:I258)</f>
        <v>0</v>
      </c>
      <c r="G256" s="2094">
        <f>ROUNDUP(G259+G263,0)</f>
        <v>0</v>
      </c>
      <c r="H256" s="2094">
        <f t="shared" ref="H256:I256" si="133">ROUNDUP(H259+H263,0)</f>
        <v>0</v>
      </c>
      <c r="I256" s="2094">
        <f t="shared" si="133"/>
        <v>0</v>
      </c>
      <c r="J256" s="2094">
        <f>ROUNDUP(SUM(J259,J263),2)</f>
        <v>0</v>
      </c>
      <c r="K256" s="2094">
        <f t="shared" ref="K256:L256" si="134">ROUNDUP(SUM(K259,K263),2)</f>
        <v>0</v>
      </c>
      <c r="L256" s="2094">
        <f t="shared" si="134"/>
        <v>0</v>
      </c>
      <c r="M256" s="2094">
        <f>ROUNDUP(SUM(M259,M263),2)</f>
        <v>0</v>
      </c>
      <c r="N256" s="2100"/>
    </row>
    <row r="257" spans="1:14" ht="12.6" hidden="1" customHeight="1" outlineLevel="1" thickBot="1" x14ac:dyDescent="0.25">
      <c r="A257" s="2103"/>
      <c r="B257" s="2103"/>
      <c r="C257" s="2095"/>
      <c r="D257" s="1490" t="s">
        <v>1231</v>
      </c>
      <c r="E257" s="1409" t="s">
        <v>106</v>
      </c>
      <c r="F257" s="2095"/>
      <c r="G257" s="2095"/>
      <c r="H257" s="2095"/>
      <c r="I257" s="2095"/>
      <c r="J257" s="2095"/>
      <c r="K257" s="2095"/>
      <c r="L257" s="2095"/>
      <c r="M257" s="2095"/>
      <c r="N257" s="2101"/>
    </row>
    <row r="258" spans="1:14" ht="24.75" hidden="1" outlineLevel="1" thickBot="1" x14ac:dyDescent="0.25">
      <c r="A258" s="2104"/>
      <c r="B258" s="2104"/>
      <c r="C258" s="2096"/>
      <c r="D258" s="1490" t="s">
        <v>1232</v>
      </c>
      <c r="E258" s="1409" t="s">
        <v>106</v>
      </c>
      <c r="F258" s="2096"/>
      <c r="G258" s="2096"/>
      <c r="H258" s="2096"/>
      <c r="I258" s="2096"/>
      <c r="J258" s="2096"/>
      <c r="K258" s="2096"/>
      <c r="L258" s="2096"/>
      <c r="M258" s="2096"/>
      <c r="N258" s="2105"/>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88" t="s">
        <v>1463</v>
      </c>
      <c r="B275" s="2089"/>
      <c r="C275" s="2089"/>
      <c r="D275" s="2089"/>
      <c r="E275" s="2090"/>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91" t="s">
        <v>113</v>
      </c>
      <c r="B279" s="2092"/>
      <c r="C279" s="2092"/>
      <c r="D279" s="2092"/>
      <c r="E279" s="2093"/>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97" t="s">
        <v>1504</v>
      </c>
      <c r="B287" s="2098"/>
      <c r="C287" s="2098"/>
      <c r="D287" s="2098"/>
      <c r="E287" s="2099"/>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86"/>
      <c r="B288" s="2086"/>
      <c r="C288" s="2084" t="s">
        <v>1431</v>
      </c>
      <c r="D288" s="1520" t="s">
        <v>1421</v>
      </c>
      <c r="E288" s="1409">
        <v>1</v>
      </c>
      <c r="F288" s="2084">
        <f>SUM(G288:I289)</f>
        <v>0</v>
      </c>
      <c r="G288" s="2084">
        <f>ROUNDUP(G290,0)</f>
        <v>0</v>
      </c>
      <c r="H288" s="2084">
        <f t="shared" ref="H288:I288" si="154">ROUNDUP(H290,0)</f>
        <v>0</v>
      </c>
      <c r="I288" s="2084">
        <f t="shared" si="154"/>
        <v>0</v>
      </c>
      <c r="J288" s="2084">
        <f>SUM(K288:M289)</f>
        <v>0</v>
      </c>
      <c r="K288" s="2084">
        <f>ROUNDUP(K290,0)</f>
        <v>0</v>
      </c>
      <c r="L288" s="2084">
        <f t="shared" ref="L288:M288" si="155">ROUNDUP(L290,0)</f>
        <v>0</v>
      </c>
      <c r="M288" s="2084">
        <f t="shared" si="155"/>
        <v>0</v>
      </c>
      <c r="N288" s="2082"/>
    </row>
    <row r="289" spans="1:14" ht="12.6" hidden="1" customHeight="1" outlineLevel="1" thickBot="1" x14ac:dyDescent="0.25">
      <c r="A289" s="2087"/>
      <c r="B289" s="2087"/>
      <c r="C289" s="2085"/>
      <c r="D289" s="1520" t="s">
        <v>1422</v>
      </c>
      <c r="E289" s="1409">
        <v>1</v>
      </c>
      <c r="F289" s="2085"/>
      <c r="G289" s="2085"/>
      <c r="H289" s="2085"/>
      <c r="I289" s="2085"/>
      <c r="J289" s="2085"/>
      <c r="K289" s="2085"/>
      <c r="L289" s="2085"/>
      <c r="M289" s="2085"/>
      <c r="N289" s="2083"/>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2" t="s">
        <v>1229</v>
      </c>
      <c r="D1" s="1377" t="s">
        <v>1392</v>
      </c>
      <c r="E1" s="1377" t="s">
        <v>1393</v>
      </c>
      <c r="F1" s="1377" t="s">
        <v>1394</v>
      </c>
      <c r="G1" s="2163" t="s">
        <v>38</v>
      </c>
      <c r="H1" s="2161" t="s">
        <v>715</v>
      </c>
      <c r="I1" s="2161" t="s">
        <v>714</v>
      </c>
      <c r="J1" s="2161" t="s">
        <v>713</v>
      </c>
      <c r="K1" s="2161" t="s">
        <v>272</v>
      </c>
    </row>
    <row r="2" spans="1:11" ht="15.75" x14ac:dyDescent="0.25">
      <c r="A2" s="1379" t="s">
        <v>36</v>
      </c>
      <c r="B2" s="206">
        <f>IF(ТрЗ_ОКиА!$M$1="Простой", 1, IF(ТрЗ_ОКиА!$M$1="Обычный",2,3))</f>
        <v>2</v>
      </c>
      <c r="C2" s="2162"/>
      <c r="D2" s="184">
        <f>ТрЗ_ОКиА!E10</f>
        <v>20</v>
      </c>
      <c r="E2" s="184">
        <f>ТрЗ_ОКиА!E11</f>
        <v>20</v>
      </c>
      <c r="F2" s="184">
        <f>ТрЗ_ОКиА!E12</f>
        <v>3</v>
      </c>
      <c r="G2" s="2163"/>
      <c r="H2" s="2161"/>
      <c r="I2" s="2161"/>
      <c r="J2" s="2161"/>
      <c r="K2" s="2161"/>
    </row>
    <row r="3" spans="1:11" ht="15.75" x14ac:dyDescent="0.25">
      <c r="A3" s="1384" t="s">
        <v>1395</v>
      </c>
      <c r="B3" s="1384"/>
      <c r="C3" s="1384"/>
      <c r="D3" s="1384"/>
      <c r="E3" s="1384"/>
      <c r="F3" s="1384"/>
      <c r="G3" s="1384"/>
      <c r="H3" s="1385"/>
      <c r="I3" s="1385"/>
      <c r="J3" s="1385"/>
      <c r="K3" s="1385"/>
    </row>
    <row r="4" spans="1:11" x14ac:dyDescent="0.25">
      <c r="A4" s="1973"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95" t="s">
        <v>1375</v>
      </c>
    </row>
    <row r="5" spans="1:11" x14ac:dyDescent="0.25">
      <c r="A5" s="1973"/>
      <c r="B5" s="129" t="s">
        <v>33</v>
      </c>
      <c r="C5" s="814">
        <f>8*4</f>
        <v>32</v>
      </c>
      <c r="D5" s="658">
        <v>0</v>
      </c>
      <c r="E5" s="764">
        <v>0</v>
      </c>
      <c r="F5" s="764">
        <v>0</v>
      </c>
      <c r="G5" s="814">
        <f xml:space="preserve"> SUM(C5:F5)</f>
        <v>32</v>
      </c>
      <c r="H5" s="813">
        <f>G5*60%</f>
        <v>19.2</v>
      </c>
      <c r="I5" s="813">
        <f>G5*25%</f>
        <v>8</v>
      </c>
      <c r="J5" s="813">
        <f>G5*15%</f>
        <v>4.8</v>
      </c>
      <c r="K5" s="1896"/>
    </row>
    <row r="6" spans="1:11" x14ac:dyDescent="0.25">
      <c r="A6" s="1973"/>
      <c r="B6" s="129" t="s">
        <v>34</v>
      </c>
      <c r="C6" s="814">
        <f>8*7</f>
        <v>56</v>
      </c>
      <c r="D6" s="658">
        <v>0</v>
      </c>
      <c r="E6" s="764">
        <v>0</v>
      </c>
      <c r="F6" s="764">
        <v>0</v>
      </c>
      <c r="G6" s="814">
        <f xml:space="preserve"> SUM(C6:F6)</f>
        <v>56</v>
      </c>
      <c r="H6" s="813">
        <f>G6*40%</f>
        <v>22.400000000000002</v>
      </c>
      <c r="I6" s="813">
        <f>G6*30%</f>
        <v>16.8</v>
      </c>
      <c r="J6" s="813">
        <f>G6*30%</f>
        <v>16.8</v>
      </c>
      <c r="K6" s="1897"/>
    </row>
    <row r="7" spans="1:11" x14ac:dyDescent="0.25">
      <c r="A7" s="2156"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56"/>
      <c r="B8" s="129" t="s">
        <v>33</v>
      </c>
      <c r="C8" s="814">
        <v>1</v>
      </c>
      <c r="D8" s="658">
        <v>0</v>
      </c>
      <c r="E8" s="764">
        <v>0</v>
      </c>
      <c r="F8" s="764">
        <v>0</v>
      </c>
      <c r="G8" s="814">
        <f t="shared" si="0"/>
        <v>1</v>
      </c>
      <c r="H8" s="813">
        <f>G8*40%</f>
        <v>0.4</v>
      </c>
      <c r="I8" s="813">
        <f>G8*40%</f>
        <v>0.4</v>
      </c>
      <c r="J8" s="813">
        <f>G8*20%</f>
        <v>0.2</v>
      </c>
      <c r="K8" s="129"/>
    </row>
    <row r="9" spans="1:11" x14ac:dyDescent="0.25">
      <c r="A9" s="2156"/>
      <c r="B9" s="129" t="s">
        <v>34</v>
      </c>
      <c r="C9" s="814">
        <v>2</v>
      </c>
      <c r="D9" s="658">
        <v>0</v>
      </c>
      <c r="E9" s="764">
        <v>0</v>
      </c>
      <c r="F9" s="764">
        <v>0</v>
      </c>
      <c r="G9" s="814">
        <f t="shared" si="0"/>
        <v>2</v>
      </c>
      <c r="H9" s="813">
        <f>G9*20%</f>
        <v>0.4</v>
      </c>
      <c r="I9" s="813">
        <f>G9*40%</f>
        <v>0.8</v>
      </c>
      <c r="J9" s="813">
        <f>G9*40%</f>
        <v>0.8</v>
      </c>
      <c r="K9" s="129"/>
    </row>
    <row r="10" spans="1:11" x14ac:dyDescent="0.25">
      <c r="A10" s="2156" t="s">
        <v>1398</v>
      </c>
      <c r="B10" s="129" t="s">
        <v>32</v>
      </c>
      <c r="C10" s="814">
        <v>6</v>
      </c>
      <c r="D10" s="629">
        <f>$D$2*0.1</f>
        <v>2</v>
      </c>
      <c r="E10" s="764">
        <v>0</v>
      </c>
      <c r="F10" s="764">
        <v>0</v>
      </c>
      <c r="G10" s="814">
        <f t="shared" si="0"/>
        <v>8</v>
      </c>
      <c r="H10" s="813">
        <f>G10*70%</f>
        <v>5.6</v>
      </c>
      <c r="I10" s="813">
        <f>G10*20%</f>
        <v>1.6</v>
      </c>
      <c r="J10" s="813">
        <f>G10*10%</f>
        <v>0.8</v>
      </c>
      <c r="K10" s="2158" t="s">
        <v>1399</v>
      </c>
    </row>
    <row r="11" spans="1:11" x14ac:dyDescent="0.25">
      <c r="A11" s="2156"/>
      <c r="B11" s="129" t="s">
        <v>33</v>
      </c>
      <c r="C11" s="814">
        <v>8</v>
      </c>
      <c r="D11" s="629">
        <f>$D$2*0.1</f>
        <v>2</v>
      </c>
      <c r="E11" s="764">
        <v>0</v>
      </c>
      <c r="F11" s="764">
        <v>0</v>
      </c>
      <c r="G11" s="814">
        <f t="shared" si="0"/>
        <v>10</v>
      </c>
      <c r="H11" s="813">
        <f>G11*25%</f>
        <v>2.5</v>
      </c>
      <c r="I11" s="813">
        <f>G11*60%</f>
        <v>6</v>
      </c>
      <c r="J11" s="813">
        <f>G11*15%</f>
        <v>1.5</v>
      </c>
      <c r="K11" s="2159"/>
    </row>
    <row r="12" spans="1:11" ht="47.25" customHeight="1" x14ac:dyDescent="0.25">
      <c r="A12" s="2156"/>
      <c r="B12" s="129" t="s">
        <v>34</v>
      </c>
      <c r="C12" s="814">
        <v>10</v>
      </c>
      <c r="D12" s="629">
        <f>$D$2*0.2</f>
        <v>4</v>
      </c>
      <c r="E12" s="764">
        <v>0</v>
      </c>
      <c r="F12" s="764">
        <v>0</v>
      </c>
      <c r="G12" s="814">
        <f t="shared" si="0"/>
        <v>14</v>
      </c>
      <c r="H12" s="813">
        <f>G12*30%</f>
        <v>4.2</v>
      </c>
      <c r="I12" s="813">
        <f>G12*10%</f>
        <v>1.4000000000000001</v>
      </c>
      <c r="J12" s="813">
        <f>G12*60%</f>
        <v>8.4</v>
      </c>
      <c r="K12" s="2160"/>
    </row>
    <row r="13" spans="1:11" x14ac:dyDescent="0.25">
      <c r="A13" s="2156"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56"/>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56"/>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73"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73"/>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73"/>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73"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73"/>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73"/>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73" t="s">
        <v>1403</v>
      </c>
      <c r="B22" s="129" t="s">
        <v>32</v>
      </c>
      <c r="C22" s="814">
        <v>3</v>
      </c>
      <c r="D22" s="764">
        <v>0</v>
      </c>
      <c r="E22" s="630">
        <f>$E$2*6</f>
        <v>120</v>
      </c>
      <c r="F22" s="764">
        <v>0</v>
      </c>
      <c r="G22" s="814">
        <f t="shared" si="0"/>
        <v>123</v>
      </c>
      <c r="H22" s="813">
        <f>G22*70%</f>
        <v>86.1</v>
      </c>
      <c r="I22" s="813">
        <f>G22*20%</f>
        <v>24.6</v>
      </c>
      <c r="J22" s="813">
        <f>G22*10%</f>
        <v>12.3</v>
      </c>
      <c r="K22" s="1895" t="s">
        <v>1375</v>
      </c>
    </row>
    <row r="23" spans="1:11" x14ac:dyDescent="0.25">
      <c r="A23" s="1973"/>
      <c r="B23" s="129" t="s">
        <v>33</v>
      </c>
      <c r="C23" s="814">
        <v>4</v>
      </c>
      <c r="D23" s="764">
        <v>0</v>
      </c>
      <c r="E23" s="630">
        <f>$E$2*8</f>
        <v>160</v>
      </c>
      <c r="F23" s="764">
        <v>0</v>
      </c>
      <c r="G23" s="814">
        <f t="shared" si="0"/>
        <v>164</v>
      </c>
      <c r="H23" s="813">
        <f>G23*40%</f>
        <v>65.600000000000009</v>
      </c>
      <c r="I23" s="813">
        <f>G23*50%</f>
        <v>82</v>
      </c>
      <c r="J23" s="813">
        <f>G23*10%</f>
        <v>16.400000000000002</v>
      </c>
      <c r="K23" s="1896"/>
    </row>
    <row r="24" spans="1:11" x14ac:dyDescent="0.25">
      <c r="A24" s="1973"/>
      <c r="B24" s="129" t="s">
        <v>34</v>
      </c>
      <c r="C24" s="814">
        <v>6</v>
      </c>
      <c r="D24" s="764">
        <v>0</v>
      </c>
      <c r="E24" s="630">
        <f>$E$2*10</f>
        <v>200</v>
      </c>
      <c r="F24" s="764">
        <v>0</v>
      </c>
      <c r="G24" s="814">
        <f t="shared" si="0"/>
        <v>206</v>
      </c>
      <c r="H24" s="813">
        <f>G24*40%</f>
        <v>82.4</v>
      </c>
      <c r="I24" s="813">
        <f>G24*30%</f>
        <v>61.8</v>
      </c>
      <c r="J24" s="813">
        <f>G24*30%</f>
        <v>61.8</v>
      </c>
      <c r="K24" s="1897"/>
    </row>
    <row r="25" spans="1:11" x14ac:dyDescent="0.25">
      <c r="A25" s="1973"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57"/>
    </row>
    <row r="26" spans="1:11" x14ac:dyDescent="0.25">
      <c r="A26" s="1973"/>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57"/>
    </row>
    <row r="27" spans="1:11" x14ac:dyDescent="0.25">
      <c r="A27" s="1973"/>
      <c r="B27" s="129" t="s">
        <v>34</v>
      </c>
      <c r="C27" s="813">
        <v>0</v>
      </c>
      <c r="D27" s="813">
        <v>0</v>
      </c>
      <c r="E27" s="629">
        <f>1*($E$2-$F$2)</f>
        <v>17</v>
      </c>
      <c r="F27" s="630">
        <f>6*$F$2</f>
        <v>18</v>
      </c>
      <c r="G27" s="814">
        <f t="shared" si="0"/>
        <v>35</v>
      </c>
      <c r="H27" s="813">
        <f>G27*20%</f>
        <v>7</v>
      </c>
      <c r="I27" s="813">
        <f>G27*20%</f>
        <v>7</v>
      </c>
      <c r="J27" s="813">
        <f>G27*60%</f>
        <v>21</v>
      </c>
      <c r="K27" s="2157"/>
    </row>
    <row r="28" spans="1:11" x14ac:dyDescent="0.25">
      <c r="A28" s="1973"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73"/>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73"/>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73"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73"/>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73"/>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56"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56"/>
      <c r="B35" s="129" t="s">
        <v>33</v>
      </c>
      <c r="C35" s="814">
        <f>4</f>
        <v>4</v>
      </c>
      <c r="D35" s="658">
        <v>0</v>
      </c>
      <c r="E35" s="764">
        <v>0</v>
      </c>
      <c r="F35" s="764">
        <v>0</v>
      </c>
      <c r="G35" s="814">
        <f t="shared" si="0"/>
        <v>4</v>
      </c>
      <c r="H35" s="813">
        <f>G35*40%</f>
        <v>1.6</v>
      </c>
      <c r="I35" s="813">
        <f>G35*50%</f>
        <v>2</v>
      </c>
      <c r="J35" s="813">
        <f>G35*10%</f>
        <v>0.4</v>
      </c>
      <c r="K35" s="129"/>
    </row>
    <row r="36" spans="1:11" x14ac:dyDescent="0.25">
      <c r="A36" s="2156"/>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56"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56"/>
      <c r="B38" s="129" t="s">
        <v>33</v>
      </c>
      <c r="C38" s="764">
        <v>0</v>
      </c>
      <c r="D38" s="764">
        <v>0</v>
      </c>
      <c r="E38" s="630">
        <f>$E$2*3</f>
        <v>60</v>
      </c>
      <c r="F38" s="764">
        <v>0</v>
      </c>
      <c r="G38" s="814">
        <f t="shared" si="0"/>
        <v>60</v>
      </c>
      <c r="H38" s="813">
        <f>G38*10%</f>
        <v>6</v>
      </c>
      <c r="I38" s="813">
        <f>G38*60%</f>
        <v>36</v>
      </c>
      <c r="J38" s="813">
        <f>G38*30%</f>
        <v>18</v>
      </c>
      <c r="K38" s="129"/>
    </row>
    <row r="39" spans="1:11" x14ac:dyDescent="0.25">
      <c r="A39" s="2156"/>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201" t="s">
        <v>1382</v>
      </c>
      <c r="B1" s="2202"/>
      <c r="C1" s="2202"/>
      <c r="D1" s="2202"/>
      <c r="E1" s="2202"/>
      <c r="F1" s="2202"/>
      <c r="G1" s="2202"/>
      <c r="H1" s="2202"/>
      <c r="I1" s="2202"/>
      <c r="J1" s="2202"/>
      <c r="K1" s="2203"/>
    </row>
    <row r="2" spans="1:14" x14ac:dyDescent="0.25">
      <c r="A2" s="2156" t="s">
        <v>1353</v>
      </c>
      <c r="B2" s="129" t="s">
        <v>32</v>
      </c>
      <c r="C2" s="814">
        <v>8</v>
      </c>
      <c r="D2" s="814">
        <v>0</v>
      </c>
      <c r="E2" s="814">
        <v>0</v>
      </c>
      <c r="F2" s="814">
        <v>0</v>
      </c>
      <c r="G2" s="814">
        <f t="shared" ref="G2:G7" si="0" xml:space="preserve"> SUM(C2:F2)</f>
        <v>8</v>
      </c>
      <c r="H2" s="813">
        <f>G2*80%</f>
        <v>6.4</v>
      </c>
      <c r="I2" s="813">
        <f>G2*20%</f>
        <v>1.6</v>
      </c>
      <c r="J2" s="813">
        <f>G2*0</f>
        <v>0</v>
      </c>
      <c r="K2" s="2157"/>
    </row>
    <row r="3" spans="1:14" x14ac:dyDescent="0.25">
      <c r="A3" s="2156"/>
      <c r="B3" s="129" t="s">
        <v>33</v>
      </c>
      <c r="C3" s="813">
        <v>12</v>
      </c>
      <c r="D3" s="814">
        <v>0</v>
      </c>
      <c r="E3" s="814">
        <v>0</v>
      </c>
      <c r="F3" s="814">
        <v>0</v>
      </c>
      <c r="G3" s="814">
        <f t="shared" si="0"/>
        <v>12</v>
      </c>
      <c r="H3" s="813">
        <f>G3*60%</f>
        <v>7.1999999999999993</v>
      </c>
      <c r="I3" s="813">
        <f>G3*30%</f>
        <v>3.5999999999999996</v>
      </c>
      <c r="J3" s="813">
        <f>G3*10%</f>
        <v>1.2000000000000002</v>
      </c>
      <c r="K3" s="2157"/>
    </row>
    <row r="4" spans="1:14" ht="14.45" customHeight="1" x14ac:dyDescent="0.25">
      <c r="A4" s="2156"/>
      <c r="B4" s="129" t="s">
        <v>34</v>
      </c>
      <c r="C4" s="813">
        <v>16</v>
      </c>
      <c r="D4" s="814">
        <v>0</v>
      </c>
      <c r="E4" s="814">
        <v>0</v>
      </c>
      <c r="F4" s="814">
        <v>0</v>
      </c>
      <c r="G4" s="814">
        <f t="shared" si="0"/>
        <v>16</v>
      </c>
      <c r="H4" s="813">
        <f>G4*50%</f>
        <v>8</v>
      </c>
      <c r="I4" s="813">
        <f>G4*30%</f>
        <v>4.8</v>
      </c>
      <c r="J4" s="813">
        <f>G4*20%</f>
        <v>3.2</v>
      </c>
      <c r="K4" s="2157"/>
    </row>
    <row r="5" spans="1:14" ht="14.45" customHeight="1" x14ac:dyDescent="0.25">
      <c r="A5" s="2164" t="s">
        <v>1354</v>
      </c>
      <c r="B5" s="129" t="s">
        <v>32</v>
      </c>
      <c r="C5" s="814">
        <v>8</v>
      </c>
      <c r="D5" s="814">
        <v>0</v>
      </c>
      <c r="E5" s="814">
        <v>0</v>
      </c>
      <c r="F5" s="814">
        <v>0</v>
      </c>
      <c r="G5" s="814">
        <f t="shared" si="0"/>
        <v>8</v>
      </c>
      <c r="H5" s="813">
        <f>G5*80%</f>
        <v>6.4</v>
      </c>
      <c r="I5" s="813">
        <f>G5*20%</f>
        <v>1.6</v>
      </c>
      <c r="J5" s="813">
        <v>0</v>
      </c>
      <c r="K5" s="2157"/>
    </row>
    <row r="6" spans="1:14" ht="14.45" customHeight="1" x14ac:dyDescent="0.25">
      <c r="A6" s="2165"/>
      <c r="B6" s="129" t="s">
        <v>33</v>
      </c>
      <c r="C6" s="813">
        <v>12</v>
      </c>
      <c r="D6" s="814">
        <v>0</v>
      </c>
      <c r="E6" s="814">
        <v>0</v>
      </c>
      <c r="F6" s="814">
        <v>0</v>
      </c>
      <c r="G6" s="814">
        <f t="shared" si="0"/>
        <v>12</v>
      </c>
      <c r="H6" s="813">
        <f>G6*60%</f>
        <v>7.1999999999999993</v>
      </c>
      <c r="I6" s="813">
        <f>G6*30%</f>
        <v>3.5999999999999996</v>
      </c>
      <c r="J6" s="813">
        <f>G6*10%</f>
        <v>1.2000000000000002</v>
      </c>
      <c r="K6" s="2157"/>
    </row>
    <row r="7" spans="1:14" ht="14.45" customHeight="1" x14ac:dyDescent="0.25">
      <c r="A7" s="2166"/>
      <c r="B7" s="129" t="s">
        <v>34</v>
      </c>
      <c r="C7" s="813">
        <v>16</v>
      </c>
      <c r="D7" s="814">
        <v>0</v>
      </c>
      <c r="E7" s="814">
        <v>0</v>
      </c>
      <c r="F7" s="814">
        <v>0</v>
      </c>
      <c r="G7" s="814">
        <f t="shared" si="0"/>
        <v>16</v>
      </c>
      <c r="H7" s="813">
        <f>G7*50%</f>
        <v>8</v>
      </c>
      <c r="I7" s="813">
        <f>G7*30%</f>
        <v>4.8</v>
      </c>
      <c r="J7" s="813">
        <f>G7*20%</f>
        <v>3.2</v>
      </c>
      <c r="K7" s="2157"/>
    </row>
    <row r="8" spans="1:14" ht="30.6" customHeight="1" x14ac:dyDescent="0.25">
      <c r="A8" s="2173" t="s">
        <v>1493</v>
      </c>
      <c r="B8" s="2174"/>
      <c r="C8" s="2174"/>
      <c r="D8" s="2174"/>
      <c r="E8" s="2174"/>
      <c r="F8" s="2174"/>
      <c r="G8" s="2174"/>
      <c r="H8" s="2174"/>
      <c r="I8" s="2174"/>
      <c r="J8" s="2174"/>
      <c r="K8" s="2175"/>
    </row>
    <row r="9" spans="1:14" ht="118.15" customHeight="1" x14ac:dyDescent="0.25">
      <c r="A9" s="879" t="s">
        <v>1356</v>
      </c>
      <c r="B9" s="1527" t="s">
        <v>1228</v>
      </c>
      <c r="C9" s="2200" t="s">
        <v>1357</v>
      </c>
      <c r="D9" s="1377" t="s">
        <v>876</v>
      </c>
      <c r="E9" s="1377" t="s">
        <v>1320</v>
      </c>
      <c r="F9" s="1378" t="s">
        <v>1359</v>
      </c>
      <c r="G9" s="2163" t="s">
        <v>38</v>
      </c>
      <c r="H9" s="2161" t="s">
        <v>715</v>
      </c>
      <c r="I9" s="2161" t="s">
        <v>714</v>
      </c>
      <c r="J9" s="2161" t="s">
        <v>713</v>
      </c>
      <c r="K9" s="2161" t="s">
        <v>272</v>
      </c>
    </row>
    <row r="10" spans="1:14" ht="14.45" customHeight="1" x14ac:dyDescent="0.25">
      <c r="A10" s="1379" t="s">
        <v>36</v>
      </c>
      <c r="B10" s="206">
        <f>IF(ТрЗ_ОКиА!$M$1="Простой", 1, IF(ТрЗ_ОКиА!$M$1="Обычный",2,3))</f>
        <v>2</v>
      </c>
      <c r="C10" s="2200"/>
      <c r="D10" s="184">
        <f>ТрЗ_ОКиА!E167</f>
        <v>1</v>
      </c>
      <c r="E10" s="184">
        <f>ТрЗ_ОКиА!E168</f>
        <v>1</v>
      </c>
      <c r="F10" s="184">
        <f>IF(ТрЗ_ОКиА!E169="Да",1,0)</f>
        <v>1</v>
      </c>
      <c r="G10" s="2163"/>
      <c r="H10" s="2161"/>
      <c r="I10" s="2161"/>
      <c r="J10" s="2161"/>
      <c r="K10" s="2161"/>
    </row>
    <row r="11" spans="1:14" ht="14.45" customHeight="1" x14ac:dyDescent="0.25">
      <c r="A11" s="2197"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98"/>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99"/>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73" t="s">
        <v>1362</v>
      </c>
      <c r="B14" s="2174"/>
      <c r="C14" s="2174"/>
      <c r="D14" s="2174"/>
      <c r="E14" s="2174"/>
      <c r="F14" s="2174"/>
      <c r="G14" s="2174"/>
      <c r="H14" s="2174"/>
      <c r="I14" s="2174"/>
      <c r="J14" s="2174"/>
      <c r="K14" s="2175"/>
    </row>
    <row r="15" spans="1:14" ht="31.5" x14ac:dyDescent="0.25">
      <c r="A15" s="879"/>
      <c r="B15" s="1527" t="s">
        <v>1228</v>
      </c>
      <c r="C15" s="2200" t="s">
        <v>1363</v>
      </c>
      <c r="D15" s="1377" t="s">
        <v>876</v>
      </c>
      <c r="E15" s="1377"/>
      <c r="F15" s="1377"/>
      <c r="G15" s="2163" t="s">
        <v>38</v>
      </c>
      <c r="H15" s="2161" t="s">
        <v>715</v>
      </c>
      <c r="I15" s="2161" t="s">
        <v>714</v>
      </c>
      <c r="J15" s="2161" t="s">
        <v>713</v>
      </c>
      <c r="K15" s="2161" t="s">
        <v>272</v>
      </c>
    </row>
    <row r="16" spans="1:14" ht="14.45" customHeight="1" x14ac:dyDescent="0.25">
      <c r="A16" s="1379" t="s">
        <v>36</v>
      </c>
      <c r="B16" s="206">
        <f>IF(ТрЗ_ОКиА!$M$1="Простой", 1, IF(ТрЗ_ОКиА!$M$1="Обычный",2,3))</f>
        <v>2</v>
      </c>
      <c r="C16" s="2200"/>
      <c r="D16" s="184">
        <f>ТрЗ_ОКиА!E167</f>
        <v>1</v>
      </c>
      <c r="E16" s="184">
        <v>0</v>
      </c>
      <c r="F16" s="184">
        <v>0</v>
      </c>
      <c r="G16" s="2163"/>
      <c r="H16" s="2161"/>
      <c r="I16" s="2161"/>
      <c r="J16" s="2161"/>
      <c r="K16" s="2161"/>
    </row>
    <row r="17" spans="1:14" ht="14.45" customHeight="1" x14ac:dyDescent="0.25">
      <c r="A17" s="2164"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65"/>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66"/>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73" t="s">
        <v>1495</v>
      </c>
      <c r="B20" s="2174"/>
      <c r="C20" s="2174"/>
      <c r="D20" s="2174"/>
      <c r="E20" s="2174"/>
      <c r="F20" s="2174"/>
      <c r="G20" s="2174"/>
      <c r="H20" s="2174"/>
      <c r="I20" s="2174"/>
      <c r="J20" s="2174"/>
      <c r="K20" s="2175"/>
    </row>
    <row r="21" spans="1:14" ht="28.9" customHeight="1" x14ac:dyDescent="0.25">
      <c r="A21" s="879"/>
      <c r="B21" s="1527" t="s">
        <v>1228</v>
      </c>
      <c r="C21" s="2191" t="s">
        <v>1378</v>
      </c>
      <c r="D21" s="1377" t="s">
        <v>876</v>
      </c>
      <c r="E21" s="1377" t="s">
        <v>1377</v>
      </c>
      <c r="F21" s="1377"/>
      <c r="G21" s="2193" t="s">
        <v>38</v>
      </c>
      <c r="H21" s="2195" t="s">
        <v>715</v>
      </c>
      <c r="I21" s="2195" t="s">
        <v>714</v>
      </c>
      <c r="J21" s="2195" t="s">
        <v>713</v>
      </c>
      <c r="K21" s="2195" t="s">
        <v>272</v>
      </c>
    </row>
    <row r="22" spans="1:14" ht="15.75" x14ac:dyDescent="0.25">
      <c r="A22" s="1379" t="s">
        <v>36</v>
      </c>
      <c r="B22" s="206">
        <f>IF(ТрЗ_ОКиА!$M$1="Простой", 1, IF(ТрЗ_ОКиА!$M$1="Обычный",2,3))</f>
        <v>2</v>
      </c>
      <c r="C22" s="2192"/>
      <c r="D22" s="184">
        <f>ТрЗ_ОКиА!E167</f>
        <v>1</v>
      </c>
      <c r="E22" s="184">
        <f>ТрЗ_ОКиА!E177</f>
        <v>1</v>
      </c>
      <c r="F22" s="184">
        <v>0</v>
      </c>
      <c r="G22" s="2194"/>
      <c r="H22" s="2196"/>
      <c r="I22" s="2196"/>
      <c r="J22" s="2196"/>
      <c r="K22" s="2196"/>
    </row>
    <row r="23" spans="1:14" ht="14.45" customHeight="1" x14ac:dyDescent="0.25">
      <c r="A23" s="2182" t="s">
        <v>1376</v>
      </c>
      <c r="B23" s="129" t="s">
        <v>32</v>
      </c>
      <c r="C23" s="814">
        <v>2</v>
      </c>
      <c r="D23" s="629">
        <f>$D$22*2</f>
        <v>2</v>
      </c>
      <c r="E23" s="629">
        <f>C23*$E$22</f>
        <v>2</v>
      </c>
      <c r="F23" s="814">
        <v>0</v>
      </c>
      <c r="G23" s="814">
        <f xml:space="preserve"> SUM(D23:F23)*$N$12</f>
        <v>5.2</v>
      </c>
      <c r="H23" s="813">
        <f>G23*20%</f>
        <v>1.04</v>
      </c>
      <c r="I23" s="813">
        <f>G23*40%</f>
        <v>2.08</v>
      </c>
      <c r="J23" s="813">
        <f>G23*40%</f>
        <v>2.08</v>
      </c>
      <c r="K23" s="2185" t="s">
        <v>1375</v>
      </c>
    </row>
    <row r="24" spans="1:14" ht="14.45" customHeight="1" x14ac:dyDescent="0.25">
      <c r="A24" s="2183"/>
      <c r="B24" s="129" t="s">
        <v>33</v>
      </c>
      <c r="C24" s="814">
        <v>3</v>
      </c>
      <c r="D24" s="629">
        <f>$D$22*2</f>
        <v>2</v>
      </c>
      <c r="E24" s="629">
        <f>C24*$E$22</f>
        <v>3</v>
      </c>
      <c r="F24" s="814">
        <v>0</v>
      </c>
      <c r="G24" s="814">
        <f xml:space="preserve"> SUM(D24:F24)*$N$12</f>
        <v>6.5</v>
      </c>
      <c r="H24" s="813">
        <f>G24*20%</f>
        <v>1.3</v>
      </c>
      <c r="I24" s="813">
        <f>G24*40%</f>
        <v>2.6</v>
      </c>
      <c r="J24" s="813">
        <f>G24*40%</f>
        <v>2.6</v>
      </c>
      <c r="K24" s="2186"/>
    </row>
    <row r="25" spans="1:14" ht="14.45" customHeight="1" x14ac:dyDescent="0.25">
      <c r="A25" s="2184"/>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87"/>
    </row>
    <row r="26" spans="1:14" ht="31.15" customHeight="1" x14ac:dyDescent="0.25">
      <c r="A26" s="2173" t="s">
        <v>1365</v>
      </c>
      <c r="B26" s="2174"/>
      <c r="C26" s="2174"/>
      <c r="D26" s="2174"/>
      <c r="E26" s="2174"/>
      <c r="F26" s="2174"/>
      <c r="G26" s="2174"/>
      <c r="H26" s="2174"/>
      <c r="I26" s="2174"/>
      <c r="J26" s="2174"/>
      <c r="K26" s="2175"/>
    </row>
    <row r="27" spans="1:14" ht="14.45" customHeight="1" x14ac:dyDescent="0.25">
      <c r="A27" s="2164" t="s">
        <v>1365</v>
      </c>
      <c r="B27" s="129" t="s">
        <v>32</v>
      </c>
      <c r="C27" s="2188" t="s">
        <v>1366</v>
      </c>
      <c r="D27" s="2189"/>
      <c r="E27" s="2189"/>
      <c r="F27" s="2190"/>
      <c r="G27" s="814">
        <f>G11+G23+G17</f>
        <v>44.6</v>
      </c>
      <c r="H27" s="813">
        <f>G27*50%</f>
        <v>22.3</v>
      </c>
      <c r="I27" s="813">
        <f>G27*50%</f>
        <v>22.3</v>
      </c>
      <c r="J27" s="813">
        <v>0</v>
      </c>
      <c r="K27" s="1860" t="s">
        <v>1367</v>
      </c>
    </row>
    <row r="28" spans="1:14" ht="14.45" customHeight="1" x14ac:dyDescent="0.25">
      <c r="A28" s="2165"/>
      <c r="B28" s="129" t="s">
        <v>33</v>
      </c>
      <c r="C28" s="2188"/>
      <c r="D28" s="2189"/>
      <c r="E28" s="2189"/>
      <c r="F28" s="2190"/>
      <c r="G28" s="814">
        <f>G12+G24+G18</f>
        <v>64.300000000000011</v>
      </c>
      <c r="H28" s="813">
        <f>G28*50%</f>
        <v>32.150000000000006</v>
      </c>
      <c r="I28" s="813">
        <f>G28*40%</f>
        <v>25.720000000000006</v>
      </c>
      <c r="J28" s="813">
        <f>G28*10%</f>
        <v>6.4300000000000015</v>
      </c>
      <c r="K28" s="1861"/>
    </row>
    <row r="29" spans="1:14" ht="14.45" customHeight="1" x14ac:dyDescent="0.25">
      <c r="A29" s="2166"/>
      <c r="B29" s="129" t="s">
        <v>34</v>
      </c>
      <c r="C29" s="2188"/>
      <c r="D29" s="2189"/>
      <c r="E29" s="2189"/>
      <c r="F29" s="2190"/>
      <c r="G29" s="814">
        <f>G13+G25+G19</f>
        <v>84</v>
      </c>
      <c r="H29" s="813">
        <f>G29*20%</f>
        <v>16.8</v>
      </c>
      <c r="I29" s="813">
        <f>G29*40%</f>
        <v>33.6</v>
      </c>
      <c r="J29" s="813">
        <f>G29*40%</f>
        <v>33.6</v>
      </c>
      <c r="K29" s="1862"/>
    </row>
    <row r="30" spans="1:14" ht="39.6" customHeight="1" x14ac:dyDescent="0.25">
      <c r="A30" s="2173" t="s">
        <v>1368</v>
      </c>
      <c r="B30" s="2174"/>
      <c r="C30" s="2174"/>
      <c r="D30" s="2174"/>
      <c r="E30" s="2174"/>
      <c r="F30" s="2174"/>
      <c r="G30" s="2174"/>
      <c r="H30" s="2174"/>
      <c r="I30" s="2174"/>
      <c r="J30" s="2174"/>
      <c r="K30" s="2175"/>
      <c r="M30" s="1383" t="s">
        <v>1369</v>
      </c>
      <c r="N30" s="879"/>
    </row>
    <row r="31" spans="1:14" ht="14.45" customHeight="1" x14ac:dyDescent="0.25">
      <c r="A31" s="2176"/>
      <c r="B31" s="2177"/>
      <c r="C31" s="2177"/>
      <c r="D31" s="2177"/>
      <c r="E31" s="2177"/>
      <c r="F31" s="2178"/>
      <c r="G31" s="2163" t="s">
        <v>38</v>
      </c>
      <c r="H31" s="2161" t="s">
        <v>715</v>
      </c>
      <c r="I31" s="2161" t="s">
        <v>714</v>
      </c>
      <c r="J31" s="2161" t="s">
        <v>713</v>
      </c>
      <c r="K31" s="2161" t="s">
        <v>272</v>
      </c>
      <c r="M31" s="129" t="s">
        <v>637</v>
      </c>
      <c r="N31" s="1382">
        <v>1.5</v>
      </c>
    </row>
    <row r="32" spans="1:14" ht="14.45" customHeight="1" x14ac:dyDescent="0.25">
      <c r="A32" s="2179"/>
      <c r="B32" s="2180"/>
      <c r="C32" s="2180"/>
      <c r="D32" s="2180"/>
      <c r="E32" s="2180"/>
      <c r="F32" s="2181"/>
      <c r="G32" s="2163"/>
      <c r="H32" s="2161"/>
      <c r="I32" s="2161"/>
      <c r="J32" s="2161"/>
      <c r="K32" s="2161"/>
    </row>
    <row r="33" spans="1:11" ht="14.45" customHeight="1" x14ac:dyDescent="0.25">
      <c r="A33" s="2164" t="s">
        <v>1368</v>
      </c>
      <c r="B33" s="129" t="s">
        <v>32</v>
      </c>
      <c r="C33" s="2167" t="s">
        <v>1496</v>
      </c>
      <c r="D33" s="2168"/>
      <c r="E33" s="2168"/>
      <c r="F33" s="2169"/>
      <c r="G33" s="814">
        <f>(G11+G17+G23)*$N$31</f>
        <v>66.900000000000006</v>
      </c>
      <c r="H33" s="813">
        <f>G33*50%</f>
        <v>33.450000000000003</v>
      </c>
      <c r="I33" s="813">
        <f>G33*50%</f>
        <v>33.450000000000003</v>
      </c>
      <c r="J33" s="813">
        <v>0</v>
      </c>
      <c r="K33" s="1860" t="s">
        <v>1367</v>
      </c>
    </row>
    <row r="34" spans="1:11" ht="14.45" customHeight="1" x14ac:dyDescent="0.25">
      <c r="A34" s="2165"/>
      <c r="B34" s="129" t="s">
        <v>33</v>
      </c>
      <c r="C34" s="2170"/>
      <c r="D34" s="2171"/>
      <c r="E34" s="2171"/>
      <c r="F34" s="2172"/>
      <c r="G34" s="814">
        <f>(G12+G18+G24)*$N$31</f>
        <v>96.450000000000017</v>
      </c>
      <c r="H34" s="813">
        <f>G34*50%</f>
        <v>48.225000000000009</v>
      </c>
      <c r="I34" s="813">
        <f>G34*40%</f>
        <v>38.580000000000013</v>
      </c>
      <c r="J34" s="813">
        <f>G34*10%</f>
        <v>9.6450000000000031</v>
      </c>
      <c r="K34" s="1861"/>
    </row>
    <row r="35" spans="1:11" x14ac:dyDescent="0.25">
      <c r="A35" s="2166"/>
      <c r="B35" s="129" t="s">
        <v>34</v>
      </c>
      <c r="C35" s="2170"/>
      <c r="D35" s="2171"/>
      <c r="E35" s="2171"/>
      <c r="F35" s="2172"/>
      <c r="G35" s="814">
        <f>(G13+G19+G25)*$N$31</f>
        <v>126</v>
      </c>
      <c r="H35" s="813">
        <f>G35*20%</f>
        <v>25.200000000000003</v>
      </c>
      <c r="I35" s="813">
        <f>G35*40%</f>
        <v>50.400000000000006</v>
      </c>
      <c r="J35" s="813">
        <f>G35*40%</f>
        <v>50.400000000000006</v>
      </c>
      <c r="K35" s="1862"/>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201" t="s">
        <v>1382</v>
      </c>
      <c r="B1" s="2202"/>
      <c r="C1" s="2202"/>
      <c r="D1" s="2202"/>
      <c r="E1" s="2202"/>
      <c r="F1" s="2202"/>
      <c r="G1" s="2202"/>
      <c r="H1" s="2202"/>
      <c r="I1" s="2202"/>
      <c r="J1" s="2202"/>
      <c r="K1" s="2202"/>
      <c r="L1" s="2202"/>
      <c r="M1" s="2202"/>
      <c r="N1" s="2203"/>
    </row>
    <row r="2" spans="1:17" x14ac:dyDescent="0.25">
      <c r="A2" s="2156"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57"/>
    </row>
    <row r="3" spans="1:17" ht="14.45" customHeight="1" x14ac:dyDescent="0.25">
      <c r="A3" s="2156"/>
      <c r="B3" s="129" t="s">
        <v>34</v>
      </c>
      <c r="C3" s="813">
        <v>16</v>
      </c>
      <c r="D3" s="814">
        <v>0</v>
      </c>
      <c r="E3" s="814">
        <v>0</v>
      </c>
      <c r="F3" s="814"/>
      <c r="G3" s="814"/>
      <c r="H3" s="814"/>
      <c r="I3" s="814">
        <v>0</v>
      </c>
      <c r="J3" s="814">
        <f t="shared" si="0"/>
        <v>16</v>
      </c>
      <c r="K3" s="813">
        <f>J3*50%</f>
        <v>8</v>
      </c>
      <c r="L3" s="813">
        <f>J3*30%</f>
        <v>4.8</v>
      </c>
      <c r="M3" s="813">
        <f>J3*20%</f>
        <v>3.2</v>
      </c>
      <c r="N3" s="2157"/>
    </row>
    <row r="4" spans="1:17" ht="14.45" customHeight="1" x14ac:dyDescent="0.25">
      <c r="A4" s="2164" t="s">
        <v>1692</v>
      </c>
      <c r="B4" s="129" t="s">
        <v>33</v>
      </c>
      <c r="C4" s="814">
        <v>8</v>
      </c>
      <c r="D4" s="814">
        <v>0</v>
      </c>
      <c r="E4" s="814">
        <v>0</v>
      </c>
      <c r="F4" s="814"/>
      <c r="G4" s="814"/>
      <c r="H4" s="814"/>
      <c r="I4" s="814">
        <v>0</v>
      </c>
      <c r="J4" s="814">
        <f t="shared" si="0"/>
        <v>8</v>
      </c>
      <c r="K4" s="813">
        <f>J4*80%</f>
        <v>6.4</v>
      </c>
      <c r="L4" s="813">
        <f>J4*20%</f>
        <v>1.6</v>
      </c>
      <c r="M4" s="813">
        <v>0</v>
      </c>
      <c r="N4" s="2157"/>
    </row>
    <row r="5" spans="1:17" ht="14.45" customHeight="1" x14ac:dyDescent="0.25">
      <c r="A5" s="2166"/>
      <c r="B5" s="129" t="s">
        <v>34</v>
      </c>
      <c r="C5" s="813">
        <v>16</v>
      </c>
      <c r="D5" s="814">
        <v>0</v>
      </c>
      <c r="E5" s="814">
        <v>0</v>
      </c>
      <c r="F5" s="814"/>
      <c r="G5" s="814"/>
      <c r="H5" s="814"/>
      <c r="I5" s="814">
        <v>0</v>
      </c>
      <c r="J5" s="814">
        <f t="shared" si="0"/>
        <v>16</v>
      </c>
      <c r="K5" s="813">
        <f>J5*50%</f>
        <v>8</v>
      </c>
      <c r="L5" s="813">
        <f>J5*30%</f>
        <v>4.8</v>
      </c>
      <c r="M5" s="813">
        <f>J5*20%</f>
        <v>3.2</v>
      </c>
      <c r="N5" s="2157"/>
    </row>
    <row r="6" spans="1:17" ht="30.6" customHeight="1" x14ac:dyDescent="0.25">
      <c r="A6" s="2173" t="s">
        <v>55</v>
      </c>
      <c r="B6" s="2174"/>
      <c r="C6" s="2174"/>
      <c r="D6" s="2174"/>
      <c r="E6" s="2174"/>
      <c r="F6" s="2174"/>
      <c r="G6" s="2174"/>
      <c r="H6" s="2174"/>
      <c r="I6" s="2174"/>
      <c r="J6" s="2174"/>
      <c r="K6" s="2174"/>
      <c r="L6" s="2174"/>
      <c r="M6" s="2174"/>
      <c r="N6" s="2175"/>
    </row>
    <row r="7" spans="1:17" ht="118.15" customHeight="1" x14ac:dyDescent="0.25">
      <c r="A7" s="879" t="s">
        <v>1693</v>
      </c>
      <c r="B7" s="1645" t="s">
        <v>1694</v>
      </c>
      <c r="C7" s="2161" t="s">
        <v>1357</v>
      </c>
      <c r="D7" s="1645" t="s">
        <v>876</v>
      </c>
      <c r="E7" s="1645" t="s">
        <v>1421</v>
      </c>
      <c r="F7" s="1645" t="s">
        <v>1684</v>
      </c>
      <c r="G7" s="1645" t="s">
        <v>1685</v>
      </c>
      <c r="H7" s="1645" t="s">
        <v>1686</v>
      </c>
      <c r="I7" s="1378" t="s">
        <v>1359</v>
      </c>
      <c r="J7" s="2163" t="s">
        <v>38</v>
      </c>
      <c r="K7" s="2161" t="s">
        <v>715</v>
      </c>
      <c r="L7" s="2161" t="s">
        <v>714</v>
      </c>
      <c r="M7" s="2161" t="s">
        <v>713</v>
      </c>
      <c r="N7" s="2161" t="s">
        <v>272</v>
      </c>
    </row>
    <row r="8" spans="1:17" ht="14.45" customHeight="1" x14ac:dyDescent="0.25">
      <c r="A8" s="1379" t="s">
        <v>36</v>
      </c>
      <c r="B8" s="206">
        <f>IF(ТрЗ_ОП!$C$6="Обычный", 1, IF(ТрЗ_ОП!$C$6="Сложный",2,3))</f>
        <v>1</v>
      </c>
      <c r="C8" s="2161"/>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63"/>
      <c r="K8" s="2161"/>
      <c r="L8" s="2161"/>
      <c r="M8" s="2161"/>
      <c r="N8" s="2161"/>
      <c r="P8" s="1380" t="s">
        <v>1361</v>
      </c>
      <c r="Q8" s="879"/>
    </row>
    <row r="9" spans="1:17" ht="14.45" customHeight="1" x14ac:dyDescent="0.25">
      <c r="A9" s="2197"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99"/>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73" t="s">
        <v>1362</v>
      </c>
      <c r="B11" s="2174"/>
      <c r="C11" s="2174"/>
      <c r="D11" s="2174"/>
      <c r="E11" s="2174"/>
      <c r="F11" s="2174"/>
      <c r="G11" s="2174"/>
      <c r="H11" s="2174"/>
      <c r="I11" s="2174"/>
      <c r="J11" s="2174"/>
      <c r="K11" s="2174"/>
      <c r="L11" s="2174"/>
      <c r="M11" s="2174"/>
      <c r="N11" s="2175"/>
    </row>
    <row r="12" spans="1:17" ht="31.15" customHeight="1" x14ac:dyDescent="0.25">
      <c r="A12" s="2173" t="s">
        <v>1365</v>
      </c>
      <c r="B12" s="2174"/>
      <c r="C12" s="2174"/>
      <c r="D12" s="2174"/>
      <c r="E12" s="2174"/>
      <c r="F12" s="2174"/>
      <c r="G12" s="2174"/>
      <c r="H12" s="2174"/>
      <c r="I12" s="2174"/>
      <c r="J12" s="2174"/>
      <c r="K12" s="2174"/>
      <c r="L12" s="2174"/>
      <c r="M12" s="2174"/>
      <c r="N12" s="2175"/>
    </row>
    <row r="13" spans="1:17" ht="16.5" customHeight="1" x14ac:dyDescent="0.25">
      <c r="A13" s="2164" t="s">
        <v>1365</v>
      </c>
      <c r="B13" s="129" t="s">
        <v>33</v>
      </c>
      <c r="C13" s="2188" t="s">
        <v>1366</v>
      </c>
      <c r="D13" s="2189"/>
      <c r="E13" s="2189"/>
      <c r="F13" s="2189"/>
      <c r="G13" s="2189"/>
      <c r="H13" s="2189"/>
      <c r="I13" s="2190"/>
      <c r="J13" s="814">
        <f>J9</f>
        <v>1794</v>
      </c>
      <c r="K13" s="813">
        <f>J13*50%</f>
        <v>897</v>
      </c>
      <c r="L13" s="813">
        <f>J13*50%</f>
        <v>897</v>
      </c>
      <c r="M13" s="813">
        <v>0</v>
      </c>
      <c r="N13" s="1860" t="s">
        <v>1367</v>
      </c>
    </row>
    <row r="14" spans="1:17" ht="14.45" customHeight="1" x14ac:dyDescent="0.25">
      <c r="A14" s="2166"/>
      <c r="B14" s="129" t="s">
        <v>34</v>
      </c>
      <c r="C14" s="2188"/>
      <c r="D14" s="2189"/>
      <c r="E14" s="2189"/>
      <c r="F14" s="2189"/>
      <c r="G14" s="2189"/>
      <c r="H14" s="2189"/>
      <c r="I14" s="2190"/>
      <c r="J14" s="814">
        <f>J10</f>
        <v>1856.4</v>
      </c>
      <c r="K14" s="813">
        <f>J14*20%</f>
        <v>371.28000000000003</v>
      </c>
      <c r="L14" s="813">
        <f>J14*40%</f>
        <v>742.56000000000006</v>
      </c>
      <c r="M14" s="813">
        <f>J14*40%</f>
        <v>742.56000000000006</v>
      </c>
      <c r="N14" s="1862"/>
    </row>
    <row r="15" spans="1:17" ht="14.45" customHeight="1" x14ac:dyDescent="0.25">
      <c r="A15" s="2176"/>
      <c r="B15" s="2177"/>
      <c r="C15" s="2177"/>
      <c r="D15" s="2177"/>
      <c r="E15" s="2177"/>
      <c r="F15" s="2177"/>
      <c r="G15" s="2177"/>
      <c r="H15" s="2177"/>
      <c r="I15" s="2178"/>
      <c r="J15" s="2163" t="s">
        <v>38</v>
      </c>
      <c r="K15" s="2161" t="s">
        <v>715</v>
      </c>
      <c r="L15" s="2161" t="s">
        <v>714</v>
      </c>
      <c r="M15" s="2161" t="s">
        <v>713</v>
      </c>
      <c r="N15" s="2161" t="s">
        <v>272</v>
      </c>
      <c r="P15" s="129" t="s">
        <v>637</v>
      </c>
      <c r="Q15" s="1382">
        <v>1.5</v>
      </c>
    </row>
    <row r="16" spans="1:17" ht="17.25" customHeight="1" x14ac:dyDescent="0.25">
      <c r="A16" s="2179"/>
      <c r="B16" s="2180"/>
      <c r="C16" s="2180"/>
      <c r="D16" s="2180"/>
      <c r="E16" s="2180"/>
      <c r="F16" s="2180"/>
      <c r="G16" s="2180"/>
      <c r="H16" s="2180"/>
      <c r="I16" s="2181"/>
      <c r="J16" s="2163"/>
      <c r="K16" s="2161"/>
      <c r="L16" s="2161"/>
      <c r="M16" s="2161"/>
      <c r="N16" s="2161"/>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215" t="s">
        <v>1229</v>
      </c>
      <c r="D1" s="1276" t="s">
        <v>1230</v>
      </c>
      <c r="E1" s="1276" t="s">
        <v>1231</v>
      </c>
      <c r="F1" s="1277" t="s">
        <v>1232</v>
      </c>
      <c r="G1" s="2207" t="s">
        <v>38</v>
      </c>
      <c r="H1" s="2209" t="s">
        <v>715</v>
      </c>
      <c r="I1" s="2209" t="s">
        <v>714</v>
      </c>
      <c r="J1" s="2209" t="s">
        <v>713</v>
      </c>
      <c r="K1" s="2213" t="s">
        <v>272</v>
      </c>
      <c r="N1" s="2211" t="s">
        <v>1233</v>
      </c>
      <c r="O1" s="2212"/>
      <c r="R1" s="1271" t="s">
        <v>1234</v>
      </c>
    </row>
    <row r="2" spans="1:18" ht="16.5" thickBot="1" x14ac:dyDescent="0.3">
      <c r="A2" s="1278" t="s">
        <v>36</v>
      </c>
      <c r="B2" s="206">
        <f>IF(ТрЗ_ОКиА!$M$1="Простой", 1, IF(ТрЗ_ОКиА!$M$1="Обычный",2,3))</f>
        <v>2</v>
      </c>
      <c r="C2" s="2216"/>
      <c r="D2" s="415">
        <f>ТрЗ_ОКиА!E42</f>
        <v>1</v>
      </c>
      <c r="E2" s="415">
        <f>IF(ТрЗ_ОКиА!E43="Да",1,0)</f>
        <v>1</v>
      </c>
      <c r="F2" s="415">
        <f>IF(ТрЗ_ОКиА!E44="Да",1,0)</f>
        <v>1</v>
      </c>
      <c r="G2" s="2208"/>
      <c r="H2" s="2210"/>
      <c r="I2" s="2210"/>
      <c r="J2" s="2210"/>
      <c r="K2" s="2214"/>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920"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922"/>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904"/>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905" t="s">
        <v>1239</v>
      </c>
      <c r="B7" s="324" t="s">
        <v>32</v>
      </c>
      <c r="C7" s="821">
        <f>ROUND(30/60,2)</f>
        <v>0.5</v>
      </c>
      <c r="D7" s="658">
        <v>0</v>
      </c>
      <c r="E7" s="629">
        <f>IF($E$2=1, 1, 0)</f>
        <v>1</v>
      </c>
      <c r="F7" s="1289">
        <v>0</v>
      </c>
      <c r="G7" s="815">
        <f t="shared" si="0"/>
        <v>1.5</v>
      </c>
      <c r="H7" s="647">
        <f>G7*1</f>
        <v>1.5</v>
      </c>
      <c r="I7" s="813">
        <v>0</v>
      </c>
      <c r="J7" s="655">
        <v>0</v>
      </c>
      <c r="K7" s="103"/>
    </row>
    <row r="8" spans="1:18" x14ac:dyDescent="0.25">
      <c r="A8" s="1905"/>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905"/>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922"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922"/>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74"/>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17"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204"/>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204"/>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204"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204"/>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204"/>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204"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204"/>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204"/>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204"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204"/>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204"/>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204"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204"/>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204"/>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204"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204"/>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205"/>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204"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204"/>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205"/>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204"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204"/>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205"/>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204"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204"/>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205"/>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204"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204"/>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205"/>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204"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204"/>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205"/>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204"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204"/>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205"/>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204"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204"/>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205"/>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204"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204"/>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205"/>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204"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204"/>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205"/>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204"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204"/>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205"/>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204"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204"/>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205"/>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204"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204"/>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205"/>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204"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204"/>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205"/>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204"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204"/>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205"/>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204"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204"/>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205"/>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204"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204"/>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205"/>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204"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204"/>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205"/>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204"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204"/>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205"/>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204"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204"/>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205"/>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204"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204"/>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205"/>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204"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204"/>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205"/>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204"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204"/>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205"/>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204"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204"/>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205"/>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204"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204"/>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205"/>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204"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204"/>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205"/>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204"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204"/>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205"/>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204"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204"/>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205"/>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204"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204"/>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205"/>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204"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204"/>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206"/>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56"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56"/>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56"/>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56"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56"/>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56"/>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215" t="s">
        <v>1229</v>
      </c>
      <c r="D1" s="1276" t="s">
        <v>1282</v>
      </c>
      <c r="E1" s="1276" t="s">
        <v>1231</v>
      </c>
      <c r="F1" s="1578" t="s">
        <v>1232</v>
      </c>
      <c r="G1" s="2207" t="s">
        <v>38</v>
      </c>
      <c r="H1" s="2209" t="s">
        <v>715</v>
      </c>
      <c r="I1" s="2209" t="s">
        <v>714</v>
      </c>
      <c r="J1" s="2209" t="s">
        <v>713</v>
      </c>
      <c r="K1" s="2213" t="s">
        <v>272</v>
      </c>
      <c r="L1" s="1577"/>
      <c r="M1" s="1577"/>
      <c r="N1" s="2211" t="s">
        <v>1233</v>
      </c>
      <c r="O1" s="2212"/>
      <c r="P1" s="1577"/>
    </row>
    <row r="2" spans="1:16" ht="16.5" thickBot="1" x14ac:dyDescent="0.3">
      <c r="A2" s="1278" t="s">
        <v>36</v>
      </c>
      <c r="B2" s="1300">
        <f>IF(ТрЗ_ОКиА!$M$1="Простой", 1, IF(ТрЗ_ОКиА!$M$1="Обычный",2,3))</f>
        <v>2</v>
      </c>
      <c r="C2" s="2216"/>
      <c r="D2" s="415">
        <f>ТрЗ_ОКиА!E110</f>
        <v>2</v>
      </c>
      <c r="E2" s="415">
        <f>IF(ТрЗ_ОКиА!E111="Да",1,0)</f>
        <v>0</v>
      </c>
      <c r="F2" s="415">
        <f>IF(ТрЗ_ОКиА!E112="Да",1,0)</f>
        <v>0</v>
      </c>
      <c r="G2" s="2208"/>
      <c r="H2" s="2210"/>
      <c r="I2" s="2210"/>
      <c r="J2" s="2210"/>
      <c r="K2" s="2214"/>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920"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922"/>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904"/>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905"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905"/>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905"/>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922"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922"/>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74"/>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29"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30"/>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31"/>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29"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30"/>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31"/>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35"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36"/>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36"/>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204"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204"/>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204"/>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204"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204"/>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204"/>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204"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204"/>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204"/>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204"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204"/>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204"/>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37"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37"/>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38"/>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204"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204"/>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205"/>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204"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204"/>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205"/>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37"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37"/>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38"/>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204"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204"/>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205"/>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204"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204"/>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205"/>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29"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30"/>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31"/>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26"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26"/>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26"/>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204"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204"/>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205"/>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29"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30"/>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31"/>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29"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30"/>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31"/>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204"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204"/>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205"/>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29"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30"/>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31"/>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204"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204"/>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205"/>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204"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204"/>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205"/>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204"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204"/>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205"/>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204"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204"/>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205"/>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204"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204"/>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205"/>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27"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27"/>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27"/>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27"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27"/>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28"/>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20" t="s">
        <v>1300</v>
      </c>
      <c r="B95" s="2220"/>
      <c r="C95" s="2220"/>
      <c r="D95" s="2220"/>
      <c r="E95" s="2220"/>
      <c r="F95" s="2220"/>
      <c r="G95" s="2220"/>
      <c r="H95" s="2220"/>
      <c r="I95" s="2220"/>
      <c r="J95" s="2220"/>
      <c r="K95" s="2220"/>
      <c r="L95" s="1577"/>
      <c r="M95" s="1577"/>
      <c r="N95" s="1577"/>
      <c r="O95" s="1577"/>
      <c r="P95" s="1577"/>
    </row>
    <row r="96" spans="1:16" ht="15" customHeight="1" x14ac:dyDescent="0.25">
      <c r="A96" s="2229"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30"/>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31"/>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20" t="s">
        <v>1302</v>
      </c>
      <c r="B99" s="2220"/>
      <c r="C99" s="2220"/>
      <c r="D99" s="2220"/>
      <c r="E99" s="2220"/>
      <c r="F99" s="2220"/>
      <c r="G99" s="2220"/>
      <c r="H99" s="2220"/>
      <c r="I99" s="2220"/>
      <c r="J99" s="2220"/>
      <c r="K99" s="2220"/>
      <c r="L99" s="1577"/>
      <c r="M99" s="1577"/>
      <c r="N99" s="1577"/>
      <c r="O99" s="1577"/>
      <c r="P99" s="1577"/>
    </row>
    <row r="100" spans="1:16" ht="15" customHeight="1" x14ac:dyDescent="0.25">
      <c r="A100" s="2204"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204"/>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205"/>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20" t="s">
        <v>1304</v>
      </c>
      <c r="B103" s="2220"/>
      <c r="C103" s="2220"/>
      <c r="D103" s="2220"/>
      <c r="E103" s="2220"/>
      <c r="F103" s="2220"/>
      <c r="G103" s="2220"/>
      <c r="H103" s="2220"/>
      <c r="I103" s="2220"/>
      <c r="J103" s="2220"/>
      <c r="K103" s="2220"/>
      <c r="L103" s="1577"/>
      <c r="M103" s="1577"/>
      <c r="N103" s="1577"/>
      <c r="O103" s="1577"/>
      <c r="P103" s="1577"/>
    </row>
    <row r="104" spans="1:16" ht="15" customHeight="1" x14ac:dyDescent="0.25">
      <c r="A104" s="2204"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204"/>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205"/>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23" t="s">
        <v>1306</v>
      </c>
      <c r="B107" s="2220"/>
      <c r="C107" s="2220"/>
      <c r="D107" s="2220"/>
      <c r="E107" s="2220"/>
      <c r="F107" s="2220"/>
      <c r="G107" s="2220"/>
      <c r="H107" s="2220"/>
      <c r="I107" s="2220"/>
      <c r="J107" s="2220"/>
      <c r="K107" s="2224"/>
      <c r="L107" s="1577"/>
      <c r="M107" s="1577"/>
      <c r="N107" s="1577"/>
      <c r="O107" s="1577"/>
      <c r="P107" s="1577"/>
    </row>
    <row r="108" spans="1:16" ht="15" customHeight="1" x14ac:dyDescent="0.25">
      <c r="A108" s="2204"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204"/>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205"/>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18" t="s">
        <v>1308</v>
      </c>
      <c r="B111" s="2220"/>
      <c r="C111" s="2220"/>
      <c r="D111" s="2220"/>
      <c r="E111" s="2220"/>
      <c r="F111" s="2220"/>
      <c r="G111" s="2220"/>
      <c r="H111" s="2220"/>
      <c r="I111" s="2220"/>
      <c r="J111" s="2220"/>
      <c r="K111" s="2225"/>
      <c r="L111" s="1577"/>
      <c r="M111" s="1577"/>
      <c r="N111" s="1577"/>
      <c r="O111" s="1577"/>
      <c r="P111" s="1577"/>
    </row>
    <row r="112" spans="1:16" ht="15" customHeight="1" x14ac:dyDescent="0.25">
      <c r="A112" s="2204"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204"/>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205"/>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18" t="s">
        <v>1309</v>
      </c>
      <c r="B115" s="2219"/>
      <c r="C115" s="2220"/>
      <c r="D115" s="2220"/>
      <c r="E115" s="2220"/>
      <c r="F115" s="2220"/>
      <c r="G115" s="2221"/>
      <c r="H115" s="2220"/>
      <c r="I115" s="2220"/>
      <c r="J115" s="2220"/>
      <c r="K115" s="2222"/>
      <c r="L115" s="1577"/>
      <c r="M115" s="1577"/>
      <c r="N115" s="1577"/>
      <c r="O115" s="1577"/>
      <c r="P115" s="1577"/>
    </row>
    <row r="116" spans="1:16" ht="15" customHeight="1" x14ac:dyDescent="0.25">
      <c r="A116" s="2204"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204"/>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205"/>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204"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204"/>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205"/>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18" t="s">
        <v>1312</v>
      </c>
      <c r="B122" s="2220"/>
      <c r="C122" s="2220"/>
      <c r="D122" s="2220"/>
      <c r="E122" s="2220"/>
      <c r="F122" s="2220"/>
      <c r="G122" s="2220"/>
      <c r="H122" s="2220"/>
      <c r="I122" s="2220"/>
      <c r="J122" s="2220"/>
      <c r="K122" s="2225"/>
      <c r="L122" s="1577"/>
      <c r="M122" s="1577"/>
      <c r="N122" s="1577"/>
      <c r="O122" s="1577"/>
      <c r="P122" s="1577"/>
    </row>
    <row r="123" spans="1:16" ht="15" customHeight="1" x14ac:dyDescent="0.25">
      <c r="A123" s="2204"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204"/>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205"/>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20" t="s">
        <v>1313</v>
      </c>
      <c r="B126" s="2220"/>
      <c r="C126" s="2220"/>
      <c r="D126" s="2220"/>
      <c r="E126" s="2220"/>
      <c r="F126" s="2220"/>
      <c r="G126" s="2220"/>
      <c r="H126" s="2220"/>
      <c r="I126" s="2220"/>
      <c r="J126" s="2220"/>
      <c r="K126" s="2225"/>
      <c r="L126" s="1577"/>
      <c r="M126" s="1577"/>
      <c r="N126" s="1577"/>
      <c r="O126" s="1577"/>
      <c r="P126" s="1577"/>
    </row>
    <row r="127" spans="1:16" ht="15" customHeight="1" x14ac:dyDescent="0.25">
      <c r="A127" s="2232"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33"/>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34"/>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26"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26"/>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26"/>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26"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26"/>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26"/>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26"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26"/>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26"/>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26"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26"/>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26"/>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67" t="s">
        <v>1229</v>
      </c>
      <c r="D1" s="1305" t="s">
        <v>1320</v>
      </c>
      <c r="E1" s="1305" t="s">
        <v>1231</v>
      </c>
      <c r="F1" s="1305" t="s">
        <v>1232</v>
      </c>
      <c r="G1" s="2253" t="s">
        <v>38</v>
      </c>
      <c r="H1" s="2255" t="s">
        <v>715</v>
      </c>
      <c r="I1" s="2255" t="s">
        <v>714</v>
      </c>
      <c r="J1" s="2255" t="s">
        <v>713</v>
      </c>
      <c r="K1" s="2262" t="s">
        <v>272</v>
      </c>
      <c r="L1" s="1306"/>
      <c r="M1" s="1306"/>
      <c r="N1" s="2257" t="s">
        <v>1233</v>
      </c>
      <c r="O1" s="2258"/>
      <c r="P1" s="1306"/>
    </row>
    <row r="2" spans="1:16" ht="15.75" thickBot="1" x14ac:dyDescent="0.3">
      <c r="A2" s="1307" t="s">
        <v>36</v>
      </c>
      <c r="B2" s="1308">
        <f>IF(ТрЗ_ОКиА!$M$1="Простой", 1, IF(ТрЗ_ОКиА!$M$1="Обычный",2,3))</f>
        <v>2</v>
      </c>
      <c r="C2" s="2268"/>
      <c r="D2" s="1309">
        <f>ТрЗ_ОКиА!E188</f>
        <v>1</v>
      </c>
      <c r="E2" s="1309">
        <f>IF(ТрЗ_ОКиА!E189="Да",1,0)</f>
        <v>1</v>
      </c>
      <c r="F2" s="1309">
        <f>IF(ТрЗ_ОКиА!E190="Да",1,0)</f>
        <v>1</v>
      </c>
      <c r="G2" s="2254"/>
      <c r="H2" s="2256"/>
      <c r="I2" s="2256"/>
      <c r="J2" s="2256"/>
      <c r="K2" s="2263"/>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59"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60"/>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61"/>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69"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69"/>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69"/>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60"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60"/>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70"/>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47"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48"/>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48"/>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64"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65"/>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66"/>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48"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48"/>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48"/>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48"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48"/>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48"/>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48"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48"/>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48"/>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48"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48"/>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48"/>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48"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48"/>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49"/>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48"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48"/>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49"/>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48"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48"/>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49"/>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48"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48"/>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49"/>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48"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48"/>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49"/>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48"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48"/>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49"/>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48"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48"/>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49"/>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50"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51"/>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52"/>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41"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42"/>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43"/>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41"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42"/>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43"/>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41"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42"/>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43"/>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41"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42"/>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43"/>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41"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42"/>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43"/>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41"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42"/>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42"/>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41"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42"/>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43"/>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41"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42"/>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43"/>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41"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42"/>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43"/>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41"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42"/>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42"/>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44" t="s">
        <v>1338</v>
      </c>
      <c r="B86" s="2245"/>
      <c r="C86" s="2245"/>
      <c r="D86" s="2245"/>
      <c r="E86" s="2245"/>
      <c r="F86" s="2245"/>
      <c r="G86" s="2245"/>
      <c r="H86" s="2245"/>
      <c r="I86" s="2245"/>
      <c r="J86" s="2245"/>
      <c r="K86" s="2246"/>
      <c r="L86" s="1306"/>
      <c r="M86" s="1306"/>
      <c r="N86" s="1306"/>
      <c r="O86" s="1306"/>
      <c r="P86" s="1306"/>
    </row>
    <row r="87" spans="1:16" x14ac:dyDescent="0.25">
      <c r="A87" s="2247"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48"/>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49"/>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39"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39"/>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40"/>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67" t="s">
        <v>1229</v>
      </c>
      <c r="D1" s="1305" t="s">
        <v>1340</v>
      </c>
      <c r="E1" s="1305" t="s">
        <v>1231</v>
      </c>
      <c r="F1" s="1305" t="s">
        <v>1232</v>
      </c>
      <c r="G1" s="2253" t="s">
        <v>38</v>
      </c>
      <c r="H1" s="2255" t="s">
        <v>715</v>
      </c>
      <c r="I1" s="2255" t="s">
        <v>714</v>
      </c>
      <c r="J1" s="2255" t="s">
        <v>713</v>
      </c>
      <c r="K1" s="2262" t="s">
        <v>272</v>
      </c>
      <c r="L1" s="1306"/>
      <c r="M1" s="1306"/>
      <c r="N1" s="2257" t="s">
        <v>1233</v>
      </c>
      <c r="O1" s="2258"/>
      <c r="P1" s="1306"/>
    </row>
    <row r="2" spans="1:16" ht="15.75" thickBot="1" x14ac:dyDescent="0.3">
      <c r="A2" s="1307" t="s">
        <v>36</v>
      </c>
      <c r="B2" s="1308">
        <f>IF(ТрЗ_ОКиА!$M$1="Простой", 1, IF(ТрЗ_ОКиА!$M$1="Обычный",2,3))</f>
        <v>2</v>
      </c>
      <c r="C2" s="2268"/>
      <c r="D2" s="1309">
        <f>ТрЗ_ОКиА!E256</f>
        <v>1</v>
      </c>
      <c r="E2" s="1309">
        <f>IF(ТрЗ_ОКиА!E257="Да",1,0)</f>
        <v>1</v>
      </c>
      <c r="F2" s="1309">
        <f>IF(ТрЗ_ОКиА!E258="Да",1,0)</f>
        <v>1</v>
      </c>
      <c r="G2" s="2254"/>
      <c r="H2" s="2256"/>
      <c r="I2" s="2256"/>
      <c r="J2" s="2256"/>
      <c r="K2" s="2263"/>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59"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60"/>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61"/>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69"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69"/>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69"/>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60"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60"/>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70"/>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71"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72"/>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73"/>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71"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72"/>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73"/>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48"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48"/>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48"/>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71"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72"/>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73"/>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71"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72"/>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73"/>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71"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72"/>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73"/>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48"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48"/>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48"/>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48"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48"/>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48"/>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48"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48"/>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48"/>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48"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48"/>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49"/>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39"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39"/>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40"/>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201" t="s">
        <v>1352</v>
      </c>
      <c r="B1" s="2202"/>
      <c r="C1" s="2202"/>
      <c r="D1" s="2202"/>
      <c r="E1" s="2202"/>
      <c r="F1" s="2202"/>
      <c r="G1" s="2202"/>
      <c r="H1" s="2202"/>
      <c r="I1" s="2202"/>
      <c r="J1" s="2202"/>
      <c r="K1" s="2203"/>
      <c r="L1" s="323"/>
      <c r="M1" s="323"/>
      <c r="N1" s="323"/>
      <c r="O1" s="323"/>
      <c r="P1" s="323"/>
      <c r="Q1" s="323"/>
      <c r="R1" s="323"/>
      <c r="S1" s="323"/>
      <c r="T1" s="323"/>
    </row>
    <row r="2" spans="1:20" x14ac:dyDescent="0.25">
      <c r="A2" s="2156" t="s">
        <v>1353</v>
      </c>
      <c r="B2" s="129" t="s">
        <v>32</v>
      </c>
      <c r="C2" s="658">
        <v>4</v>
      </c>
      <c r="D2" s="658">
        <v>0</v>
      </c>
      <c r="E2" s="658">
        <v>0</v>
      </c>
      <c r="F2" s="658">
        <v>0</v>
      </c>
      <c r="G2" s="814">
        <f t="shared" ref="G2:G7" si="0" xml:space="preserve"> SUM(C2:F2)</f>
        <v>4</v>
      </c>
      <c r="H2" s="813">
        <f>G2*80%</f>
        <v>3.2</v>
      </c>
      <c r="I2" s="813">
        <f>G2*20%</f>
        <v>0.8</v>
      </c>
      <c r="J2" s="813">
        <f>G2*0</f>
        <v>0</v>
      </c>
      <c r="K2" s="2157"/>
      <c r="L2" s="323"/>
      <c r="M2" s="323"/>
      <c r="N2" s="323"/>
      <c r="O2" s="323"/>
      <c r="P2" s="323"/>
      <c r="Q2" s="323"/>
      <c r="R2" s="323"/>
      <c r="S2" s="323"/>
      <c r="T2" s="323"/>
    </row>
    <row r="3" spans="1:20" x14ac:dyDescent="0.25">
      <c r="A3" s="2156"/>
      <c r="B3" s="129" t="s">
        <v>33</v>
      </c>
      <c r="C3" s="813">
        <v>8</v>
      </c>
      <c r="D3" s="658">
        <v>0</v>
      </c>
      <c r="E3" s="658">
        <v>0</v>
      </c>
      <c r="F3" s="658">
        <v>0</v>
      </c>
      <c r="G3" s="814">
        <f t="shared" si="0"/>
        <v>8</v>
      </c>
      <c r="H3" s="813">
        <f>G3*60%</f>
        <v>4.8</v>
      </c>
      <c r="I3" s="813">
        <f>G3*30%</f>
        <v>2.4</v>
      </c>
      <c r="J3" s="813">
        <f>G3*10%</f>
        <v>0.8</v>
      </c>
      <c r="K3" s="2157"/>
      <c r="L3" s="323"/>
      <c r="M3" s="323"/>
      <c r="N3" s="323"/>
      <c r="O3" s="323"/>
      <c r="P3" s="323"/>
      <c r="Q3" s="323"/>
      <c r="R3" s="323"/>
      <c r="S3" s="323"/>
      <c r="T3" s="323"/>
    </row>
    <row r="4" spans="1:20" ht="15" customHeight="1" x14ac:dyDescent="0.25">
      <c r="A4" s="2156"/>
      <c r="B4" s="129" t="s">
        <v>34</v>
      </c>
      <c r="C4" s="813">
        <v>12</v>
      </c>
      <c r="D4" s="658">
        <v>0</v>
      </c>
      <c r="E4" s="658">
        <v>0</v>
      </c>
      <c r="F4" s="658">
        <v>0</v>
      </c>
      <c r="G4" s="814">
        <f t="shared" si="0"/>
        <v>12</v>
      </c>
      <c r="H4" s="813">
        <f>G4*50%</f>
        <v>6</v>
      </c>
      <c r="I4" s="813">
        <f>G4*30%</f>
        <v>3.5999999999999996</v>
      </c>
      <c r="J4" s="813">
        <f>G4*20%</f>
        <v>2.4000000000000004</v>
      </c>
      <c r="K4" s="2157"/>
      <c r="L4" s="323"/>
      <c r="M4" s="323"/>
      <c r="N4" s="323"/>
      <c r="O4" s="323"/>
      <c r="P4" s="323"/>
      <c r="Q4" s="323"/>
      <c r="R4" s="323"/>
      <c r="S4" s="323"/>
      <c r="T4" s="323"/>
    </row>
    <row r="5" spans="1:20" ht="15" customHeight="1" x14ac:dyDescent="0.25">
      <c r="A5" s="2164" t="s">
        <v>1354</v>
      </c>
      <c r="B5" s="129" t="s">
        <v>32</v>
      </c>
      <c r="C5" s="658">
        <v>4</v>
      </c>
      <c r="D5" s="658">
        <v>0</v>
      </c>
      <c r="E5" s="658">
        <v>0</v>
      </c>
      <c r="F5" s="658">
        <v>0</v>
      </c>
      <c r="G5" s="814">
        <f t="shared" si="0"/>
        <v>4</v>
      </c>
      <c r="H5" s="813">
        <f>G5*80%</f>
        <v>3.2</v>
      </c>
      <c r="I5" s="813">
        <f>G5*20%</f>
        <v>0.8</v>
      </c>
      <c r="J5" s="813">
        <v>0</v>
      </c>
      <c r="K5" s="2157"/>
      <c r="L5" s="323"/>
      <c r="M5" s="323"/>
      <c r="N5" s="323"/>
      <c r="O5" s="323"/>
      <c r="P5" s="323"/>
      <c r="Q5" s="323"/>
      <c r="R5" s="323"/>
      <c r="S5" s="323"/>
      <c r="T5" s="323"/>
    </row>
    <row r="6" spans="1:20" ht="15" customHeight="1" x14ac:dyDescent="0.25">
      <c r="A6" s="2165"/>
      <c r="B6" s="129" t="s">
        <v>33</v>
      </c>
      <c r="C6" s="813">
        <v>8</v>
      </c>
      <c r="D6" s="658">
        <v>0</v>
      </c>
      <c r="E6" s="658">
        <v>0</v>
      </c>
      <c r="F6" s="658">
        <v>0</v>
      </c>
      <c r="G6" s="814">
        <f t="shared" si="0"/>
        <v>8</v>
      </c>
      <c r="H6" s="813">
        <f>G6*60%</f>
        <v>4.8</v>
      </c>
      <c r="I6" s="813">
        <f>G6*30%</f>
        <v>2.4</v>
      </c>
      <c r="J6" s="813">
        <f>G6*10%</f>
        <v>0.8</v>
      </c>
      <c r="K6" s="2157"/>
      <c r="L6" s="323"/>
      <c r="M6" s="323"/>
      <c r="N6" s="323"/>
      <c r="O6" s="323"/>
      <c r="P6" s="323"/>
      <c r="R6" s="323"/>
      <c r="S6" s="323"/>
      <c r="T6" s="323"/>
    </row>
    <row r="7" spans="1:20" ht="15" customHeight="1" x14ac:dyDescent="0.25">
      <c r="A7" s="2166"/>
      <c r="B7" s="129" t="s">
        <v>34</v>
      </c>
      <c r="C7" s="813">
        <v>12</v>
      </c>
      <c r="D7" s="658">
        <v>0</v>
      </c>
      <c r="E7" s="658">
        <v>0</v>
      </c>
      <c r="F7" s="658">
        <v>0</v>
      </c>
      <c r="G7" s="814">
        <f t="shared" si="0"/>
        <v>12</v>
      </c>
      <c r="H7" s="813">
        <f>G7*50%</f>
        <v>6</v>
      </c>
      <c r="I7" s="813">
        <f>G7*30%</f>
        <v>3.5999999999999996</v>
      </c>
      <c r="J7" s="813">
        <f>G7*20%</f>
        <v>2.4000000000000004</v>
      </c>
      <c r="K7" s="2157"/>
      <c r="L7" s="323"/>
      <c r="M7" s="323"/>
      <c r="N7" s="323"/>
      <c r="O7" s="323"/>
      <c r="P7" s="323"/>
      <c r="Q7" s="323"/>
      <c r="R7" s="323"/>
      <c r="S7" s="323"/>
      <c r="T7" s="323"/>
    </row>
    <row r="8" spans="1:20" ht="15" customHeight="1" x14ac:dyDescent="0.25">
      <c r="A8" s="2173" t="s">
        <v>1355</v>
      </c>
      <c r="B8" s="2174"/>
      <c r="C8" s="2174"/>
      <c r="D8" s="2174"/>
      <c r="E8" s="2174"/>
      <c r="F8" s="2174"/>
      <c r="G8" s="2174"/>
      <c r="H8" s="2174"/>
      <c r="I8" s="2174"/>
      <c r="J8" s="2174"/>
      <c r="K8" s="2175"/>
      <c r="L8" s="323"/>
      <c r="M8" s="323"/>
      <c r="N8" s="323"/>
      <c r="O8" s="323"/>
      <c r="P8" s="323"/>
      <c r="Q8" s="323"/>
      <c r="R8" s="323"/>
      <c r="S8" s="323"/>
      <c r="T8" s="323"/>
    </row>
    <row r="9" spans="1:20" ht="97.15" customHeight="1" x14ac:dyDescent="0.25">
      <c r="A9" s="879" t="s">
        <v>1356</v>
      </c>
      <c r="B9" s="1376" t="s">
        <v>1228</v>
      </c>
      <c r="C9" s="2200" t="s">
        <v>1357</v>
      </c>
      <c r="D9" s="1377" t="s">
        <v>876</v>
      </c>
      <c r="E9" s="1377" t="s">
        <v>1358</v>
      </c>
      <c r="F9" s="1378" t="s">
        <v>1359</v>
      </c>
      <c r="G9" s="2163" t="s">
        <v>38</v>
      </c>
      <c r="H9" s="2161" t="s">
        <v>715</v>
      </c>
      <c r="I9" s="2161" t="s">
        <v>714</v>
      </c>
      <c r="J9" s="2161" t="s">
        <v>713</v>
      </c>
      <c r="K9" s="2161"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200"/>
      <c r="D10" s="184">
        <f>ТрЗ_ОКиА!E25</f>
        <v>1</v>
      </c>
      <c r="E10" s="184">
        <f>ТрЗ_ОКиА!E26</f>
        <v>20</v>
      </c>
      <c r="F10" s="184">
        <f>IF(ТрЗ_ОКиА!E27="Да",1,0)</f>
        <v>1</v>
      </c>
      <c r="G10" s="2163"/>
      <c r="H10" s="2161"/>
      <c r="I10" s="2161"/>
      <c r="J10" s="2161"/>
      <c r="K10" s="2161"/>
      <c r="L10" s="323"/>
      <c r="M10" s="323"/>
      <c r="N10" s="323"/>
      <c r="O10" s="323"/>
      <c r="P10" s="323"/>
      <c r="Q10" s="323"/>
      <c r="R10" s="323"/>
      <c r="S10" s="323"/>
      <c r="T10" s="323"/>
    </row>
    <row r="11" spans="1:20" ht="15" customHeight="1" x14ac:dyDescent="0.25">
      <c r="A11" s="2197"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98"/>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99"/>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73" t="s">
        <v>1362</v>
      </c>
      <c r="B14" s="2174"/>
      <c r="C14" s="2174"/>
      <c r="D14" s="2174"/>
      <c r="E14" s="2174"/>
      <c r="F14" s="2174"/>
      <c r="G14" s="2174"/>
      <c r="H14" s="2174"/>
      <c r="I14" s="2174"/>
      <c r="J14" s="2174"/>
      <c r="K14" s="2175"/>
      <c r="L14" s="323"/>
      <c r="M14" s="323"/>
      <c r="N14" s="323"/>
      <c r="O14" s="323"/>
      <c r="P14" s="323"/>
      <c r="Q14" s="323"/>
      <c r="R14" s="323"/>
      <c r="S14" s="323"/>
      <c r="T14" s="323"/>
    </row>
    <row r="15" spans="1:20" ht="15" customHeight="1" x14ac:dyDescent="0.25">
      <c r="A15" s="879"/>
      <c r="B15" s="1376" t="s">
        <v>1228</v>
      </c>
      <c r="C15" s="2200" t="s">
        <v>1363</v>
      </c>
      <c r="D15" s="1377" t="s">
        <v>876</v>
      </c>
      <c r="E15" s="1377"/>
      <c r="F15" s="1377"/>
      <c r="G15" s="2163" t="s">
        <v>38</v>
      </c>
      <c r="H15" s="2161" t="s">
        <v>715</v>
      </c>
      <c r="I15" s="2161" t="s">
        <v>714</v>
      </c>
      <c r="J15" s="2161" t="s">
        <v>713</v>
      </c>
      <c r="K15" s="2161"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200"/>
      <c r="D16" s="184">
        <f>ТрЗ_ОКиА!E25</f>
        <v>1</v>
      </c>
      <c r="E16" s="184">
        <v>0</v>
      </c>
      <c r="F16" s="184">
        <v>0</v>
      </c>
      <c r="G16" s="2163"/>
      <c r="H16" s="2161"/>
      <c r="I16" s="2161"/>
      <c r="J16" s="2161"/>
      <c r="K16" s="2161"/>
      <c r="L16" s="323"/>
      <c r="M16" s="323"/>
      <c r="N16" s="323"/>
      <c r="O16" s="323"/>
      <c r="P16" s="323"/>
      <c r="Q16" s="323"/>
      <c r="R16" s="323"/>
      <c r="S16" s="323"/>
      <c r="T16" s="323"/>
    </row>
    <row r="17" spans="1:20" ht="32.25" customHeight="1" x14ac:dyDescent="0.25">
      <c r="A17" s="2164"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65"/>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66"/>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73" t="s">
        <v>1365</v>
      </c>
      <c r="B20" s="2174"/>
      <c r="C20" s="2174"/>
      <c r="D20" s="2174"/>
      <c r="E20" s="2174"/>
      <c r="F20" s="2174"/>
      <c r="G20" s="2174"/>
      <c r="H20" s="2174"/>
      <c r="I20" s="2174"/>
      <c r="J20" s="2174"/>
      <c r="K20" s="2175"/>
      <c r="L20" s="323"/>
      <c r="M20" s="323"/>
      <c r="N20" s="323"/>
      <c r="O20" s="323"/>
      <c r="P20" s="323"/>
      <c r="Q20" s="323"/>
      <c r="R20" s="323"/>
      <c r="S20" s="323"/>
      <c r="T20" s="323"/>
    </row>
    <row r="21" spans="1:20" x14ac:dyDescent="0.25">
      <c r="A21" s="2164" t="s">
        <v>1365</v>
      </c>
      <c r="B21" s="129" t="s">
        <v>32</v>
      </c>
      <c r="C21" s="2188" t="s">
        <v>1366</v>
      </c>
      <c r="D21" s="2275"/>
      <c r="E21" s="2275"/>
      <c r="F21" s="2190"/>
      <c r="G21" s="814">
        <f>G11+G17</f>
        <v>50</v>
      </c>
      <c r="H21" s="813">
        <f>G21*50%</f>
        <v>25</v>
      </c>
      <c r="I21" s="813">
        <f>G21*50%</f>
        <v>25</v>
      </c>
      <c r="J21" s="813">
        <v>0</v>
      </c>
      <c r="K21" s="1860" t="s">
        <v>1367</v>
      </c>
      <c r="L21" s="323"/>
      <c r="M21" s="323"/>
      <c r="N21" s="323"/>
      <c r="O21" s="323"/>
      <c r="P21" s="323"/>
      <c r="Q21" s="323"/>
      <c r="R21" s="323"/>
      <c r="S21" s="323"/>
      <c r="T21" s="323"/>
    </row>
    <row r="22" spans="1:20" x14ac:dyDescent="0.25">
      <c r="A22" s="2165"/>
      <c r="B22" s="129" t="s">
        <v>33</v>
      </c>
      <c r="C22" s="2188"/>
      <c r="D22" s="2275"/>
      <c r="E22" s="2275"/>
      <c r="F22" s="2190"/>
      <c r="G22" s="814">
        <f>G12+G18</f>
        <v>64</v>
      </c>
      <c r="H22" s="813">
        <f>G22*50%</f>
        <v>32</v>
      </c>
      <c r="I22" s="813">
        <f>G22*40%</f>
        <v>25.6</v>
      </c>
      <c r="J22" s="813">
        <f>G22*10%</f>
        <v>6.4</v>
      </c>
      <c r="K22" s="1861"/>
      <c r="L22" s="323"/>
      <c r="M22" s="323"/>
      <c r="N22" s="323"/>
      <c r="O22" s="323"/>
      <c r="P22" s="323"/>
      <c r="Q22" s="323"/>
      <c r="R22" s="323"/>
      <c r="S22" s="323"/>
      <c r="T22" s="323"/>
    </row>
    <row r="23" spans="1:20" x14ac:dyDescent="0.25">
      <c r="A23" s="2166"/>
      <c r="B23" s="129" t="s">
        <v>34</v>
      </c>
      <c r="C23" s="2188"/>
      <c r="D23" s="2275"/>
      <c r="E23" s="2275"/>
      <c r="F23" s="2190"/>
      <c r="G23" s="814">
        <f>G13+G19</f>
        <v>78</v>
      </c>
      <c r="H23" s="813">
        <f>G23*20%</f>
        <v>15.600000000000001</v>
      </c>
      <c r="I23" s="813">
        <f>G23*40%</f>
        <v>31.200000000000003</v>
      </c>
      <c r="J23" s="813">
        <f>G23*40%</f>
        <v>31.200000000000003</v>
      </c>
      <c r="K23" s="1862"/>
      <c r="L23" s="323"/>
      <c r="M23" s="323"/>
      <c r="N23" s="323"/>
      <c r="O23" s="323"/>
      <c r="P23" s="323"/>
      <c r="Q23" s="323"/>
      <c r="R23" s="323"/>
      <c r="S23" s="323"/>
      <c r="T23" s="323"/>
    </row>
    <row r="24" spans="1:20" ht="15.75" x14ac:dyDescent="0.25">
      <c r="A24" s="2173" t="s">
        <v>1368</v>
      </c>
      <c r="B24" s="2174"/>
      <c r="C24" s="2174"/>
      <c r="D24" s="2174"/>
      <c r="E24" s="2174"/>
      <c r="F24" s="2174"/>
      <c r="G24" s="2174"/>
      <c r="H24" s="2174"/>
      <c r="I24" s="2174"/>
      <c r="J24" s="2174"/>
      <c r="K24" s="2175"/>
      <c r="M24" s="323"/>
      <c r="N24" s="323"/>
      <c r="O24" s="323"/>
      <c r="P24" s="323"/>
      <c r="Q24" s="323"/>
    </row>
    <row r="25" spans="1:20" ht="30" x14ac:dyDescent="0.25">
      <c r="A25" s="2176"/>
      <c r="B25" s="2177"/>
      <c r="C25" s="2177"/>
      <c r="D25" s="2177"/>
      <c r="E25" s="2177"/>
      <c r="F25" s="2178"/>
      <c r="G25" s="2163" t="s">
        <v>38</v>
      </c>
      <c r="H25" s="2161" t="s">
        <v>715</v>
      </c>
      <c r="I25" s="2161" t="s">
        <v>714</v>
      </c>
      <c r="J25" s="2161" t="s">
        <v>713</v>
      </c>
      <c r="K25" s="2161" t="s">
        <v>272</v>
      </c>
      <c r="M25" s="1383" t="s">
        <v>1369</v>
      </c>
      <c r="N25" s="1196"/>
      <c r="Q25" s="323"/>
    </row>
    <row r="26" spans="1:20" x14ac:dyDescent="0.25">
      <c r="A26" s="2179"/>
      <c r="B26" s="2180"/>
      <c r="C26" s="2180"/>
      <c r="D26" s="2180"/>
      <c r="E26" s="2180"/>
      <c r="F26" s="2181"/>
      <c r="G26" s="2163"/>
      <c r="H26" s="2161"/>
      <c r="I26" s="2161"/>
      <c r="J26" s="2161"/>
      <c r="K26" s="2161"/>
      <c r="M26" s="1381" t="s">
        <v>1370</v>
      </c>
      <c r="N26" s="1382">
        <v>1.4</v>
      </c>
    </row>
    <row r="27" spans="1:20" x14ac:dyDescent="0.25">
      <c r="A27" s="2164" t="s">
        <v>1368</v>
      </c>
      <c r="B27" s="129" t="s">
        <v>32</v>
      </c>
      <c r="C27" s="2167" t="s">
        <v>1371</v>
      </c>
      <c r="D27" s="2168"/>
      <c r="E27" s="2168"/>
      <c r="F27" s="2169"/>
      <c r="G27" s="814">
        <f>(G11+G17)*$N$26</f>
        <v>70</v>
      </c>
      <c r="H27" s="813">
        <f>G27*50%</f>
        <v>35</v>
      </c>
      <c r="I27" s="813">
        <f>G27*50%</f>
        <v>35</v>
      </c>
      <c r="J27" s="813">
        <v>0</v>
      </c>
      <c r="K27" s="1860" t="s">
        <v>1367</v>
      </c>
      <c r="M27" s="323"/>
      <c r="N27" s="323"/>
    </row>
    <row r="28" spans="1:20" x14ac:dyDescent="0.25">
      <c r="A28" s="2165"/>
      <c r="B28" s="129" t="s">
        <v>33</v>
      </c>
      <c r="C28" s="2170"/>
      <c r="D28" s="2274"/>
      <c r="E28" s="2274"/>
      <c r="F28" s="2172"/>
      <c r="G28" s="814">
        <f>(G12+G18)*$N$26</f>
        <v>89.6</v>
      </c>
      <c r="H28" s="813">
        <f>G28*50%</f>
        <v>44.8</v>
      </c>
      <c r="I28" s="813">
        <f>G28*40%</f>
        <v>35.839999999999996</v>
      </c>
      <c r="J28" s="813">
        <f>G28*10%</f>
        <v>8.9599999999999991</v>
      </c>
      <c r="K28" s="1861"/>
    </row>
    <row r="29" spans="1:20" x14ac:dyDescent="0.25">
      <c r="A29" s="2166"/>
      <c r="B29" s="129" t="s">
        <v>34</v>
      </c>
      <c r="C29" s="2170"/>
      <c r="D29" s="2274"/>
      <c r="E29" s="2274"/>
      <c r="F29" s="2172"/>
      <c r="G29" s="814">
        <f>(G13+G19)*$N$26</f>
        <v>109.19999999999999</v>
      </c>
      <c r="H29" s="813">
        <f>G29*20%</f>
        <v>21.84</v>
      </c>
      <c r="I29" s="813">
        <f>G29*40%</f>
        <v>43.68</v>
      </c>
      <c r="J29" s="813">
        <f>G29*40%</f>
        <v>43.68</v>
      </c>
      <c r="K29" s="1862"/>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201" t="s">
        <v>1382</v>
      </c>
      <c r="B1" s="2202"/>
      <c r="C1" s="2202"/>
      <c r="D1" s="2202"/>
      <c r="E1" s="2202"/>
      <c r="F1" s="2202"/>
      <c r="G1" s="2202"/>
      <c r="H1" s="2202"/>
      <c r="I1" s="2202"/>
      <c r="J1" s="2202"/>
      <c r="K1" s="2203"/>
    </row>
    <row r="2" spans="1:19" x14ac:dyDescent="0.25">
      <c r="A2" s="2156" t="s">
        <v>1353</v>
      </c>
      <c r="B2" s="129" t="s">
        <v>32</v>
      </c>
      <c r="C2" s="658">
        <v>4</v>
      </c>
      <c r="D2" s="658">
        <v>0</v>
      </c>
      <c r="E2" s="658">
        <v>0</v>
      </c>
      <c r="F2" s="658">
        <v>0</v>
      </c>
      <c r="G2" s="814">
        <f t="shared" ref="G2:G7" si="0" xml:space="preserve"> SUM(C2:F2)</f>
        <v>4</v>
      </c>
      <c r="H2" s="813">
        <f>G2*80%</f>
        <v>3.2</v>
      </c>
      <c r="I2" s="813">
        <f>G2*20%</f>
        <v>0.8</v>
      </c>
      <c r="J2" s="813">
        <f>G2*0</f>
        <v>0</v>
      </c>
      <c r="K2" s="2157"/>
      <c r="M2" s="323"/>
      <c r="N2" s="323"/>
      <c r="O2" s="323"/>
      <c r="P2" s="323"/>
    </row>
    <row r="3" spans="1:19" x14ac:dyDescent="0.25">
      <c r="A3" s="2156"/>
      <c r="B3" s="129" t="s">
        <v>33</v>
      </c>
      <c r="C3" s="813">
        <v>8</v>
      </c>
      <c r="D3" s="658">
        <v>0</v>
      </c>
      <c r="E3" s="658">
        <v>0</v>
      </c>
      <c r="F3" s="658">
        <v>0</v>
      </c>
      <c r="G3" s="814">
        <f t="shared" si="0"/>
        <v>8</v>
      </c>
      <c r="H3" s="813">
        <f>G3*60%</f>
        <v>4.8</v>
      </c>
      <c r="I3" s="813">
        <f>G3*30%</f>
        <v>2.4</v>
      </c>
      <c r="J3" s="813">
        <f>G3*10%</f>
        <v>0.8</v>
      </c>
      <c r="K3" s="2157"/>
      <c r="M3" s="323"/>
      <c r="N3" s="323"/>
      <c r="O3" s="323"/>
      <c r="P3" s="323"/>
    </row>
    <row r="4" spans="1:19" x14ac:dyDescent="0.25">
      <c r="A4" s="2156"/>
      <c r="B4" s="129" t="s">
        <v>34</v>
      </c>
      <c r="C4" s="813">
        <v>12</v>
      </c>
      <c r="D4" s="658">
        <v>0</v>
      </c>
      <c r="E4" s="658">
        <v>0</v>
      </c>
      <c r="F4" s="658">
        <v>0</v>
      </c>
      <c r="G4" s="814">
        <f t="shared" si="0"/>
        <v>12</v>
      </c>
      <c r="H4" s="813">
        <f>G4*50%</f>
        <v>6</v>
      </c>
      <c r="I4" s="813">
        <f>G4*30%</f>
        <v>3.5999999999999996</v>
      </c>
      <c r="J4" s="813">
        <f>G4*20%</f>
        <v>2.4000000000000004</v>
      </c>
      <c r="K4" s="2157"/>
      <c r="M4" s="323"/>
      <c r="N4" s="323"/>
      <c r="O4" s="323"/>
      <c r="P4" s="323"/>
    </row>
    <row r="5" spans="1:19" x14ac:dyDescent="0.25">
      <c r="A5" s="2164" t="s">
        <v>1354</v>
      </c>
      <c r="B5" s="129" t="s">
        <v>32</v>
      </c>
      <c r="C5" s="658">
        <v>4</v>
      </c>
      <c r="D5" s="658">
        <v>0</v>
      </c>
      <c r="E5" s="658">
        <v>0</v>
      </c>
      <c r="F5" s="658">
        <v>0</v>
      </c>
      <c r="G5" s="814">
        <f t="shared" si="0"/>
        <v>4</v>
      </c>
      <c r="H5" s="813">
        <f>G5*80%</f>
        <v>3.2</v>
      </c>
      <c r="I5" s="813">
        <f>G5*20%</f>
        <v>0.8</v>
      </c>
      <c r="J5" s="813">
        <v>0</v>
      </c>
      <c r="K5" s="2157"/>
      <c r="M5" s="323"/>
      <c r="N5" s="323"/>
      <c r="O5" s="323"/>
      <c r="P5" s="323"/>
    </row>
    <row r="6" spans="1:19" x14ac:dyDescent="0.25">
      <c r="A6" s="2165"/>
      <c r="B6" s="129" t="s">
        <v>33</v>
      </c>
      <c r="C6" s="813">
        <v>8</v>
      </c>
      <c r="D6" s="658">
        <v>0</v>
      </c>
      <c r="E6" s="658">
        <v>0</v>
      </c>
      <c r="F6" s="658">
        <v>0</v>
      </c>
      <c r="G6" s="814">
        <f t="shared" si="0"/>
        <v>8</v>
      </c>
      <c r="H6" s="813">
        <f>G6*60%</f>
        <v>4.8</v>
      </c>
      <c r="I6" s="813">
        <f>G6*30%</f>
        <v>2.4</v>
      </c>
      <c r="J6" s="813">
        <f>G6*10%</f>
        <v>0.8</v>
      </c>
      <c r="K6" s="2157"/>
      <c r="L6" s="323"/>
      <c r="M6" s="323"/>
      <c r="N6" s="323"/>
      <c r="O6" s="323"/>
      <c r="P6" s="323"/>
      <c r="Q6" s="323"/>
      <c r="R6" s="323"/>
      <c r="S6" s="323"/>
    </row>
    <row r="7" spans="1:19" x14ac:dyDescent="0.25">
      <c r="A7" s="2166"/>
      <c r="B7" s="129" t="s">
        <v>34</v>
      </c>
      <c r="C7" s="813">
        <v>12</v>
      </c>
      <c r="D7" s="658">
        <v>0</v>
      </c>
      <c r="E7" s="658">
        <v>0</v>
      </c>
      <c r="F7" s="658">
        <v>0</v>
      </c>
      <c r="G7" s="814">
        <f t="shared" si="0"/>
        <v>12</v>
      </c>
      <c r="H7" s="813">
        <f>G7*50%</f>
        <v>6</v>
      </c>
      <c r="I7" s="813">
        <f>G7*30%</f>
        <v>3.5999999999999996</v>
      </c>
      <c r="J7" s="813">
        <f>G7*20%</f>
        <v>2.4000000000000004</v>
      </c>
      <c r="K7" s="2157"/>
      <c r="L7" s="323"/>
      <c r="M7" s="323"/>
      <c r="N7" s="323"/>
      <c r="O7" s="323"/>
      <c r="P7" s="323"/>
      <c r="Q7" s="323"/>
      <c r="R7" s="323"/>
      <c r="S7" s="323"/>
    </row>
    <row r="8" spans="1:19" ht="26.45" customHeight="1" x14ac:dyDescent="0.25">
      <c r="A8" s="2173" t="s">
        <v>1381</v>
      </c>
      <c r="B8" s="2174"/>
      <c r="C8" s="2174"/>
      <c r="D8" s="2174"/>
      <c r="E8" s="2174"/>
      <c r="F8" s="2174"/>
      <c r="G8" s="2174"/>
      <c r="H8" s="2174"/>
      <c r="I8" s="2174"/>
      <c r="J8" s="2174"/>
      <c r="K8" s="2175"/>
      <c r="L8" s="323"/>
      <c r="M8" s="323"/>
      <c r="N8" s="323"/>
      <c r="O8" s="323"/>
      <c r="P8" s="323"/>
      <c r="Q8" s="323"/>
      <c r="R8" s="323"/>
      <c r="S8" s="323"/>
    </row>
    <row r="9" spans="1:19" ht="96" customHeight="1" x14ac:dyDescent="0.25">
      <c r="A9" s="879" t="s">
        <v>1356</v>
      </c>
      <c r="B9" s="1376" t="s">
        <v>1228</v>
      </c>
      <c r="C9" s="2200" t="s">
        <v>1357</v>
      </c>
      <c r="D9" s="1377" t="s">
        <v>876</v>
      </c>
      <c r="E9" s="1377" t="s">
        <v>1282</v>
      </c>
      <c r="F9" s="1378" t="s">
        <v>1359</v>
      </c>
      <c r="G9" s="2163" t="s">
        <v>38</v>
      </c>
      <c r="H9" s="2161" t="s">
        <v>715</v>
      </c>
      <c r="I9" s="2161" t="s">
        <v>714</v>
      </c>
      <c r="J9" s="2161" t="s">
        <v>713</v>
      </c>
      <c r="K9" s="2161" t="s">
        <v>272</v>
      </c>
      <c r="L9" s="323"/>
      <c r="M9" s="323"/>
      <c r="N9" s="323"/>
      <c r="O9" s="323"/>
      <c r="P9" s="323"/>
      <c r="Q9" s="323"/>
      <c r="R9" s="323"/>
      <c r="S9" s="323"/>
    </row>
    <row r="10" spans="1:19" ht="26.45" customHeight="1" x14ac:dyDescent="0.25">
      <c r="A10" s="1379" t="s">
        <v>36</v>
      </c>
      <c r="B10" s="206">
        <v>1</v>
      </c>
      <c r="C10" s="2200"/>
      <c r="D10" s="184">
        <f>ТрЗ_ОКиА!E89</f>
        <v>1</v>
      </c>
      <c r="E10" s="184">
        <f>ТрЗ_ОКиА!E90</f>
        <v>10</v>
      </c>
      <c r="F10" s="184">
        <f>IF(ТрЗ_ОКиА!E91="Да",1,0)</f>
        <v>1</v>
      </c>
      <c r="G10" s="2163"/>
      <c r="H10" s="2161"/>
      <c r="I10" s="2161"/>
      <c r="J10" s="2161"/>
      <c r="K10" s="2161"/>
      <c r="L10" s="323"/>
      <c r="M10" s="323"/>
      <c r="N10" s="323"/>
      <c r="O10" s="323"/>
      <c r="P10" s="323"/>
      <c r="Q10" s="323"/>
      <c r="R10" s="323"/>
      <c r="S10" s="323"/>
    </row>
    <row r="11" spans="1:19" x14ac:dyDescent="0.25">
      <c r="A11" s="2197"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98"/>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99"/>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73" t="s">
        <v>1362</v>
      </c>
      <c r="B14" s="2174"/>
      <c r="C14" s="2174"/>
      <c r="D14" s="2174"/>
      <c r="E14" s="2174"/>
      <c r="F14" s="2174"/>
      <c r="G14" s="2174"/>
      <c r="H14" s="2174"/>
      <c r="I14" s="2174"/>
      <c r="J14" s="2174"/>
      <c r="K14" s="2175"/>
      <c r="L14" s="323"/>
      <c r="M14" s="323"/>
      <c r="N14" s="323"/>
      <c r="O14" s="323"/>
      <c r="P14" s="323"/>
      <c r="Q14" s="323"/>
      <c r="R14" s="323"/>
      <c r="S14" s="323"/>
    </row>
    <row r="15" spans="1:19" ht="15.75" x14ac:dyDescent="0.25">
      <c r="A15" s="879"/>
      <c r="B15" s="1376" t="s">
        <v>1228</v>
      </c>
      <c r="C15" s="2200" t="s">
        <v>1363</v>
      </c>
      <c r="D15" s="1377" t="s">
        <v>876</v>
      </c>
      <c r="E15" s="1377"/>
      <c r="F15" s="1377"/>
      <c r="G15" s="2163" t="s">
        <v>38</v>
      </c>
      <c r="H15" s="2161" t="s">
        <v>715</v>
      </c>
      <c r="I15" s="2161" t="s">
        <v>714</v>
      </c>
      <c r="J15" s="2161" t="s">
        <v>713</v>
      </c>
      <c r="K15" s="2161" t="s">
        <v>272</v>
      </c>
      <c r="L15" s="323"/>
      <c r="M15" s="323"/>
      <c r="N15" s="323"/>
      <c r="O15" s="323"/>
      <c r="P15" s="323"/>
      <c r="Q15" s="323"/>
      <c r="R15" s="323"/>
      <c r="S15" s="323"/>
    </row>
    <row r="16" spans="1:19" ht="15.75" x14ac:dyDescent="0.25">
      <c r="A16" s="1379" t="s">
        <v>36</v>
      </c>
      <c r="B16" s="206">
        <v>1</v>
      </c>
      <c r="C16" s="2200"/>
      <c r="D16" s="184">
        <f>ТрЗ_ОКиА!E89</f>
        <v>1</v>
      </c>
      <c r="E16" s="184">
        <v>0</v>
      </c>
      <c r="F16" s="184">
        <v>0</v>
      </c>
      <c r="G16" s="2163"/>
      <c r="H16" s="2161"/>
      <c r="I16" s="2161"/>
      <c r="J16" s="2161"/>
      <c r="K16" s="2161"/>
      <c r="L16" s="323"/>
      <c r="M16" s="323"/>
      <c r="N16" s="323"/>
      <c r="O16" s="323"/>
      <c r="P16" s="323"/>
      <c r="Q16" s="323"/>
      <c r="R16" s="323"/>
      <c r="S16" s="323"/>
    </row>
    <row r="17" spans="1:21" ht="14.45" customHeight="1" x14ac:dyDescent="0.25">
      <c r="A17" s="2164"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65"/>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66"/>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73" t="s">
        <v>1379</v>
      </c>
      <c r="B20" s="2174"/>
      <c r="C20" s="2174"/>
      <c r="D20" s="2174"/>
      <c r="E20" s="2174"/>
      <c r="F20" s="2174"/>
      <c r="G20" s="2174"/>
      <c r="H20" s="2174"/>
      <c r="I20" s="2174"/>
      <c r="J20" s="2174"/>
      <c r="K20" s="2175"/>
      <c r="L20" s="323"/>
      <c r="M20" s="323"/>
      <c r="N20" s="323"/>
      <c r="O20" s="323"/>
      <c r="P20" s="323"/>
      <c r="Q20" s="323"/>
      <c r="R20" s="323"/>
      <c r="S20" s="323"/>
    </row>
    <row r="21" spans="1:21" ht="33" customHeight="1" x14ac:dyDescent="0.25">
      <c r="A21" s="879"/>
      <c r="B21" s="1376" t="s">
        <v>1228</v>
      </c>
      <c r="C21" s="2200" t="s">
        <v>1378</v>
      </c>
      <c r="D21" s="1377" t="s">
        <v>876</v>
      </c>
      <c r="E21" s="1377" t="s">
        <v>1377</v>
      </c>
      <c r="F21" s="1377"/>
      <c r="G21" s="2163" t="s">
        <v>38</v>
      </c>
      <c r="H21" s="2161" t="s">
        <v>715</v>
      </c>
      <c r="I21" s="2161" t="s">
        <v>714</v>
      </c>
      <c r="J21" s="2161" t="s">
        <v>713</v>
      </c>
      <c r="K21" s="2161" t="s">
        <v>272</v>
      </c>
      <c r="L21" s="323"/>
      <c r="M21" s="323"/>
      <c r="N21" s="323"/>
      <c r="O21" s="323"/>
      <c r="P21" s="323"/>
      <c r="Q21" s="323"/>
      <c r="R21" s="323"/>
      <c r="S21" s="323"/>
    </row>
    <row r="22" spans="1:21" ht="19.899999999999999" customHeight="1" x14ac:dyDescent="0.25">
      <c r="A22" s="1379" t="s">
        <v>36</v>
      </c>
      <c r="B22" s="206">
        <v>1</v>
      </c>
      <c r="C22" s="2200"/>
      <c r="D22" s="184">
        <f>ТрЗ_ОКиА!E89</f>
        <v>1</v>
      </c>
      <c r="E22" s="184">
        <f>ТрЗ_ОКиА!E99</f>
        <v>1</v>
      </c>
      <c r="F22" s="184">
        <v>0</v>
      </c>
      <c r="G22" s="2163"/>
      <c r="H22" s="2161"/>
      <c r="I22" s="2161"/>
      <c r="J22" s="2161"/>
      <c r="K22" s="2161"/>
      <c r="L22" s="323"/>
      <c r="M22" s="323"/>
      <c r="N22" s="323"/>
      <c r="O22" s="323"/>
      <c r="P22" s="323"/>
      <c r="Q22" s="323"/>
      <c r="R22" s="323"/>
      <c r="S22" s="323"/>
    </row>
    <row r="23" spans="1:21" ht="26.45" customHeight="1" x14ac:dyDescent="0.25">
      <c r="A23" s="2182" t="s">
        <v>1376</v>
      </c>
      <c r="B23" s="129" t="s">
        <v>32</v>
      </c>
      <c r="C23" s="814">
        <v>2</v>
      </c>
      <c r="D23" s="629">
        <f>$D$22*2</f>
        <v>2</v>
      </c>
      <c r="E23" s="629">
        <f>C23*$E$22</f>
        <v>2</v>
      </c>
      <c r="F23" s="658">
        <v>0</v>
      </c>
      <c r="G23" s="814">
        <f xml:space="preserve"> SUM(D23:F23)*$N$12</f>
        <v>4.8</v>
      </c>
      <c r="H23" s="813">
        <f>G23*20%</f>
        <v>0.96</v>
      </c>
      <c r="I23" s="813">
        <f>G23*40%</f>
        <v>1.92</v>
      </c>
      <c r="J23" s="813">
        <f>G23*40%</f>
        <v>1.92</v>
      </c>
      <c r="K23" s="2185" t="s">
        <v>1375</v>
      </c>
      <c r="L23" s="323"/>
      <c r="M23" s="323"/>
      <c r="N23" s="323"/>
      <c r="O23" s="323"/>
      <c r="P23" s="323"/>
      <c r="Q23" s="323"/>
      <c r="R23" s="323"/>
      <c r="S23" s="323"/>
    </row>
    <row r="24" spans="1:21" ht="21.6" customHeight="1" x14ac:dyDescent="0.25">
      <c r="A24" s="2183"/>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86"/>
      <c r="L24" s="323"/>
      <c r="M24" s="323"/>
      <c r="N24" s="323"/>
      <c r="O24" s="323"/>
      <c r="P24" s="323"/>
      <c r="Q24" s="323"/>
      <c r="R24" s="323"/>
      <c r="S24" s="323"/>
    </row>
    <row r="25" spans="1:21" ht="26.45" customHeight="1" x14ac:dyDescent="0.25">
      <c r="A25" s="2184"/>
      <c r="B25" s="129" t="s">
        <v>34</v>
      </c>
      <c r="C25" s="814">
        <v>4</v>
      </c>
      <c r="D25" s="629">
        <f>$D$22*2</f>
        <v>2</v>
      </c>
      <c r="E25" s="629">
        <f>C25*$E$22</f>
        <v>4</v>
      </c>
      <c r="F25" s="658">
        <v>0</v>
      </c>
      <c r="G25" s="814">
        <f xml:space="preserve"> SUM(D25:F25)*$N$12</f>
        <v>7.1999999999999993</v>
      </c>
      <c r="H25" s="813">
        <f>G25*20%</f>
        <v>1.44</v>
      </c>
      <c r="I25" s="813">
        <f>G25*40%</f>
        <v>2.88</v>
      </c>
      <c r="J25" s="813">
        <f>G25*40%</f>
        <v>2.88</v>
      </c>
      <c r="K25" s="2187"/>
      <c r="L25" s="323"/>
      <c r="M25" s="323"/>
      <c r="N25" s="323"/>
      <c r="O25" s="323"/>
      <c r="P25" s="323"/>
      <c r="Q25" s="323"/>
      <c r="R25" s="323"/>
      <c r="S25" s="323"/>
      <c r="T25" s="323"/>
    </row>
    <row r="26" spans="1:21" ht="26.45" customHeight="1" x14ac:dyDescent="0.25">
      <c r="A26" s="2173" t="s">
        <v>1365</v>
      </c>
      <c r="B26" s="2174"/>
      <c r="C26" s="2174"/>
      <c r="D26" s="2174"/>
      <c r="E26" s="2174"/>
      <c r="F26" s="2174"/>
      <c r="G26" s="2174"/>
      <c r="H26" s="2174"/>
      <c r="I26" s="2174"/>
      <c r="J26" s="2174"/>
      <c r="K26" s="2175"/>
      <c r="L26" s="323"/>
      <c r="M26" s="323"/>
      <c r="N26" s="323"/>
      <c r="O26" s="323"/>
      <c r="P26" s="323"/>
      <c r="Q26" s="323"/>
      <c r="R26" s="323"/>
      <c r="S26" s="323"/>
      <c r="T26" s="323"/>
    </row>
    <row r="27" spans="1:21" x14ac:dyDescent="0.25">
      <c r="A27" s="2164" t="s">
        <v>1374</v>
      </c>
      <c r="B27" s="129" t="s">
        <v>32</v>
      </c>
      <c r="C27" s="2188" t="s">
        <v>1366</v>
      </c>
      <c r="D27" s="2275"/>
      <c r="E27" s="2275"/>
      <c r="F27" s="2190"/>
      <c r="G27" s="814">
        <f>G11+G23+G17</f>
        <v>39.200000000000003</v>
      </c>
      <c r="H27" s="813">
        <f>G27*50%</f>
        <v>19.600000000000001</v>
      </c>
      <c r="I27" s="813">
        <f>G27*50%</f>
        <v>19.600000000000001</v>
      </c>
      <c r="J27" s="813">
        <v>0</v>
      </c>
      <c r="K27" s="1860" t="s">
        <v>1367</v>
      </c>
      <c r="L27" s="323"/>
      <c r="M27" s="323"/>
      <c r="N27" s="323"/>
      <c r="O27" s="323"/>
      <c r="P27" s="323"/>
      <c r="Q27" s="323"/>
      <c r="R27" s="323"/>
      <c r="S27" s="323"/>
      <c r="T27" s="323"/>
    </row>
    <row r="28" spans="1:21" x14ac:dyDescent="0.25">
      <c r="A28" s="2165"/>
      <c r="B28" s="129" t="s">
        <v>33</v>
      </c>
      <c r="C28" s="2188"/>
      <c r="D28" s="2275"/>
      <c r="E28" s="2275"/>
      <c r="F28" s="2190"/>
      <c r="G28" s="814">
        <f>G12+G24+G18</f>
        <v>50.4</v>
      </c>
      <c r="H28" s="813">
        <f>G28*50%</f>
        <v>25.2</v>
      </c>
      <c r="I28" s="813">
        <f>G28*40%</f>
        <v>20.16</v>
      </c>
      <c r="J28" s="813">
        <f>G28*10%</f>
        <v>5.04</v>
      </c>
      <c r="K28" s="1861"/>
      <c r="L28" s="323"/>
      <c r="M28" s="323"/>
      <c r="N28" s="323"/>
      <c r="O28" s="323"/>
      <c r="P28" s="323"/>
      <c r="Q28" s="323"/>
      <c r="R28" s="323"/>
      <c r="S28" s="323"/>
      <c r="T28" s="323"/>
      <c r="U28" s="323"/>
    </row>
    <row r="29" spans="1:21" x14ac:dyDescent="0.25">
      <c r="A29" s="2166"/>
      <c r="B29" s="129" t="s">
        <v>34</v>
      </c>
      <c r="C29" s="2188"/>
      <c r="D29" s="2275"/>
      <c r="E29" s="2275"/>
      <c r="F29" s="2190"/>
      <c r="G29" s="814">
        <f>G13+G25+G19</f>
        <v>61.599999999999994</v>
      </c>
      <c r="H29" s="813">
        <f>G29*20%</f>
        <v>12.32</v>
      </c>
      <c r="I29" s="813">
        <f>G29*40%</f>
        <v>24.64</v>
      </c>
      <c r="J29" s="813">
        <f>G29*40%</f>
        <v>24.64</v>
      </c>
      <c r="K29" s="1862"/>
      <c r="L29" s="323"/>
      <c r="M29" s="323"/>
      <c r="N29" s="323"/>
      <c r="O29" s="323"/>
      <c r="P29" s="323"/>
      <c r="Q29" s="323"/>
      <c r="R29" s="323"/>
      <c r="S29" s="323"/>
      <c r="T29" s="323"/>
      <c r="U29" s="323"/>
    </row>
    <row r="30" spans="1:21" ht="36.6" customHeight="1" x14ac:dyDescent="0.25">
      <c r="A30" s="2173" t="s">
        <v>1368</v>
      </c>
      <c r="B30" s="2174"/>
      <c r="C30" s="2174"/>
      <c r="D30" s="2174"/>
      <c r="E30" s="2174"/>
      <c r="F30" s="2174"/>
      <c r="G30" s="2174"/>
      <c r="H30" s="2174"/>
      <c r="I30" s="2174"/>
      <c r="J30" s="2174"/>
      <c r="K30" s="2175"/>
      <c r="M30" s="1383" t="s">
        <v>1369</v>
      </c>
      <c r="N30" s="1196"/>
      <c r="Q30" s="323"/>
      <c r="R30" s="323"/>
      <c r="S30" s="323"/>
      <c r="T30" s="323"/>
      <c r="U30" s="323"/>
    </row>
    <row r="31" spans="1:21" x14ac:dyDescent="0.25">
      <c r="A31" s="2176"/>
      <c r="B31" s="2177"/>
      <c r="C31" s="2177"/>
      <c r="D31" s="2177"/>
      <c r="E31" s="2177"/>
      <c r="F31" s="2178"/>
      <c r="G31" s="2163" t="s">
        <v>38</v>
      </c>
      <c r="H31" s="2161" t="s">
        <v>715</v>
      </c>
      <c r="I31" s="2161" t="s">
        <v>714</v>
      </c>
      <c r="J31" s="2161" t="s">
        <v>713</v>
      </c>
      <c r="K31" s="2161" t="s">
        <v>272</v>
      </c>
      <c r="M31" s="1381" t="s">
        <v>1373</v>
      </c>
      <c r="N31" s="1382">
        <v>1.5</v>
      </c>
    </row>
    <row r="32" spans="1:21" x14ac:dyDescent="0.25">
      <c r="A32" s="2179"/>
      <c r="B32" s="2180"/>
      <c r="C32" s="2180"/>
      <c r="D32" s="2180"/>
      <c r="E32" s="2180"/>
      <c r="F32" s="2181"/>
      <c r="G32" s="2163"/>
      <c r="H32" s="2161"/>
      <c r="I32" s="2161"/>
      <c r="J32" s="2161"/>
      <c r="K32" s="2161"/>
      <c r="M32" s="323"/>
      <c r="N32" s="323"/>
    </row>
    <row r="33" spans="1:14" ht="14.45" customHeight="1" x14ac:dyDescent="0.25">
      <c r="A33" s="2164" t="s">
        <v>1368</v>
      </c>
      <c r="B33" s="129" t="s">
        <v>32</v>
      </c>
      <c r="C33" s="2167" t="s">
        <v>1372</v>
      </c>
      <c r="D33" s="2168"/>
      <c r="E33" s="2168"/>
      <c r="F33" s="2169"/>
      <c r="G33" s="814">
        <f>(G11+G17+G23)*$N$31</f>
        <v>58.8</v>
      </c>
      <c r="H33" s="813">
        <f>G33*50%</f>
        <v>29.4</v>
      </c>
      <c r="I33" s="813">
        <f>G33*50%</f>
        <v>29.4</v>
      </c>
      <c r="J33" s="813">
        <v>0</v>
      </c>
      <c r="K33" s="1860" t="s">
        <v>1367</v>
      </c>
      <c r="M33" s="323"/>
      <c r="N33" s="323"/>
    </row>
    <row r="34" spans="1:14" ht="14.45" customHeight="1" x14ac:dyDescent="0.25">
      <c r="A34" s="2165"/>
      <c r="B34" s="129" t="s">
        <v>33</v>
      </c>
      <c r="C34" s="2170"/>
      <c r="D34" s="2274"/>
      <c r="E34" s="2274"/>
      <c r="F34" s="2172"/>
      <c r="G34" s="814">
        <f>(G12+G18+G24)*$N$31</f>
        <v>75.599999999999994</v>
      </c>
      <c r="H34" s="813">
        <f>G34*50%</f>
        <v>37.799999999999997</v>
      </c>
      <c r="I34" s="813">
        <f>G34*40%</f>
        <v>30.24</v>
      </c>
      <c r="J34" s="813">
        <f>G34*10%</f>
        <v>7.56</v>
      </c>
      <c r="K34" s="1861"/>
      <c r="M34" s="323"/>
      <c r="N34" s="323"/>
    </row>
    <row r="35" spans="1:14" ht="14.45" customHeight="1" x14ac:dyDescent="0.25">
      <c r="A35" s="2166"/>
      <c r="B35" s="129" t="s">
        <v>34</v>
      </c>
      <c r="C35" s="2170"/>
      <c r="D35" s="2274"/>
      <c r="E35" s="2274"/>
      <c r="F35" s="2172"/>
      <c r="G35" s="814">
        <f>(G13+G19+G25)*$N$31</f>
        <v>92.399999999999991</v>
      </c>
      <c r="H35" s="813">
        <f>G35*20%</f>
        <v>18.48</v>
      </c>
      <c r="I35" s="813">
        <f>G35*40%</f>
        <v>36.96</v>
      </c>
      <c r="J35" s="813">
        <f>G35*40%</f>
        <v>36.96</v>
      </c>
      <c r="K35" s="1862"/>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201" t="s">
        <v>1382</v>
      </c>
      <c r="B1" s="2202"/>
      <c r="C1" s="2202"/>
      <c r="D1" s="2202"/>
      <c r="E1" s="2202"/>
      <c r="F1" s="2202"/>
      <c r="G1" s="2202"/>
      <c r="H1" s="2202"/>
      <c r="I1" s="2202"/>
      <c r="J1" s="2202"/>
      <c r="K1" s="2203"/>
    </row>
    <row r="2" spans="1:19" x14ac:dyDescent="0.25">
      <c r="A2" s="2156" t="s">
        <v>1353</v>
      </c>
      <c r="B2" s="129" t="s">
        <v>32</v>
      </c>
      <c r="C2" s="658">
        <v>4</v>
      </c>
      <c r="D2" s="658">
        <v>0</v>
      </c>
      <c r="E2" s="658">
        <v>0</v>
      </c>
      <c r="F2" s="658">
        <v>0</v>
      </c>
      <c r="G2" s="814">
        <f t="shared" ref="G2:G7" si="0" xml:space="preserve"> SUM(C2:F2)</f>
        <v>4</v>
      </c>
      <c r="H2" s="813">
        <f>G2*80%</f>
        <v>3.2</v>
      </c>
      <c r="I2" s="813">
        <f>G2*20%</f>
        <v>0.8</v>
      </c>
      <c r="J2" s="813">
        <f>G2*0</f>
        <v>0</v>
      </c>
      <c r="K2" s="2157"/>
      <c r="M2" s="323"/>
      <c r="N2" s="323"/>
    </row>
    <row r="3" spans="1:19" x14ac:dyDescent="0.25">
      <c r="A3" s="2156"/>
      <c r="B3" s="129" t="s">
        <v>33</v>
      </c>
      <c r="C3" s="813">
        <v>8</v>
      </c>
      <c r="D3" s="658">
        <v>0</v>
      </c>
      <c r="E3" s="658">
        <v>0</v>
      </c>
      <c r="F3" s="658">
        <v>0</v>
      </c>
      <c r="G3" s="814">
        <f t="shared" si="0"/>
        <v>8</v>
      </c>
      <c r="H3" s="813">
        <f>G3*60%</f>
        <v>4.8</v>
      </c>
      <c r="I3" s="813">
        <f>G3*30%</f>
        <v>2.4</v>
      </c>
      <c r="J3" s="813">
        <f>G3*10%</f>
        <v>0.8</v>
      </c>
      <c r="K3" s="2157"/>
      <c r="M3" s="323"/>
      <c r="N3" s="323"/>
    </row>
    <row r="4" spans="1:19" ht="14.45" customHeight="1" x14ac:dyDescent="0.25">
      <c r="A4" s="2156"/>
      <c r="B4" s="129" t="s">
        <v>34</v>
      </c>
      <c r="C4" s="813">
        <v>12</v>
      </c>
      <c r="D4" s="658">
        <v>0</v>
      </c>
      <c r="E4" s="658">
        <v>0</v>
      </c>
      <c r="F4" s="658">
        <v>0</v>
      </c>
      <c r="G4" s="814">
        <f t="shared" si="0"/>
        <v>12</v>
      </c>
      <c r="H4" s="813">
        <f>G4*50%</f>
        <v>6</v>
      </c>
      <c r="I4" s="813">
        <f>G4*30%</f>
        <v>3.5999999999999996</v>
      </c>
      <c r="J4" s="813">
        <f>G4*20%</f>
        <v>2.4000000000000004</v>
      </c>
      <c r="K4" s="2157"/>
      <c r="M4" s="323"/>
      <c r="N4" s="323"/>
    </row>
    <row r="5" spans="1:19" ht="14.45" customHeight="1" x14ac:dyDescent="0.25">
      <c r="A5" s="2164" t="s">
        <v>1354</v>
      </c>
      <c r="B5" s="129" t="s">
        <v>32</v>
      </c>
      <c r="C5" s="658">
        <v>4</v>
      </c>
      <c r="D5" s="658">
        <v>0</v>
      </c>
      <c r="E5" s="658">
        <v>0</v>
      </c>
      <c r="F5" s="658">
        <v>0</v>
      </c>
      <c r="G5" s="814">
        <f t="shared" si="0"/>
        <v>4</v>
      </c>
      <c r="H5" s="813">
        <f>G5*80%</f>
        <v>3.2</v>
      </c>
      <c r="I5" s="813">
        <f>G5*20%</f>
        <v>0.8</v>
      </c>
      <c r="J5" s="813">
        <v>0</v>
      </c>
      <c r="K5" s="2157"/>
      <c r="M5" s="323"/>
      <c r="N5" s="323"/>
    </row>
    <row r="6" spans="1:19" ht="14.45" customHeight="1" x14ac:dyDescent="0.25">
      <c r="A6" s="2165"/>
      <c r="B6" s="129" t="s">
        <v>33</v>
      </c>
      <c r="C6" s="813">
        <v>8</v>
      </c>
      <c r="D6" s="658">
        <v>0</v>
      </c>
      <c r="E6" s="658">
        <v>0</v>
      </c>
      <c r="F6" s="658">
        <v>0</v>
      </c>
      <c r="G6" s="814">
        <f t="shared" si="0"/>
        <v>8</v>
      </c>
      <c r="H6" s="813">
        <f>G6*60%</f>
        <v>4.8</v>
      </c>
      <c r="I6" s="813">
        <f>G6*30%</f>
        <v>2.4</v>
      </c>
      <c r="J6" s="813">
        <f>G6*10%</f>
        <v>0.8</v>
      </c>
      <c r="K6" s="2157"/>
      <c r="L6" s="323"/>
      <c r="M6" s="323"/>
      <c r="N6" s="323"/>
    </row>
    <row r="7" spans="1:19" ht="37.9" customHeight="1" x14ac:dyDescent="0.25">
      <c r="A7" s="2166"/>
      <c r="B7" s="129" t="s">
        <v>34</v>
      </c>
      <c r="C7" s="813">
        <v>12</v>
      </c>
      <c r="D7" s="658">
        <v>0</v>
      </c>
      <c r="E7" s="658">
        <v>0</v>
      </c>
      <c r="F7" s="658">
        <v>0</v>
      </c>
      <c r="G7" s="814">
        <f t="shared" si="0"/>
        <v>12</v>
      </c>
      <c r="H7" s="813">
        <f>G7*50%</f>
        <v>6</v>
      </c>
      <c r="I7" s="813">
        <f>G7*30%</f>
        <v>3.5999999999999996</v>
      </c>
      <c r="J7" s="813">
        <f>G7*20%</f>
        <v>2.4000000000000004</v>
      </c>
      <c r="K7" s="2157"/>
      <c r="L7" s="323"/>
      <c r="M7" s="323"/>
      <c r="N7" s="323"/>
    </row>
    <row r="8" spans="1:19" ht="34.15" customHeight="1" x14ac:dyDescent="0.25">
      <c r="A8" s="2173" t="s">
        <v>1383</v>
      </c>
      <c r="B8" s="2174"/>
      <c r="C8" s="2174"/>
      <c r="D8" s="2174"/>
      <c r="E8" s="2174"/>
      <c r="F8" s="2174"/>
      <c r="G8" s="2174"/>
      <c r="H8" s="2174"/>
      <c r="I8" s="2174"/>
      <c r="J8" s="2174"/>
      <c r="K8" s="2175"/>
      <c r="L8" s="323"/>
      <c r="M8" s="323"/>
      <c r="N8" s="323"/>
      <c r="R8" s="323"/>
      <c r="S8" s="323"/>
    </row>
    <row r="9" spans="1:19" ht="83.45" customHeight="1" x14ac:dyDescent="0.25">
      <c r="A9" s="879" t="s">
        <v>1356</v>
      </c>
      <c r="B9" s="1376" t="s">
        <v>1228</v>
      </c>
      <c r="C9" s="2200" t="s">
        <v>1357</v>
      </c>
      <c r="D9" s="1377" t="s">
        <v>876</v>
      </c>
      <c r="E9" s="1377" t="s">
        <v>1384</v>
      </c>
      <c r="F9" s="1378" t="s">
        <v>1359</v>
      </c>
      <c r="G9" s="2163" t="s">
        <v>38</v>
      </c>
      <c r="H9" s="2161" t="s">
        <v>715</v>
      </c>
      <c r="I9" s="2161" t="s">
        <v>714</v>
      </c>
      <c r="J9" s="2161" t="s">
        <v>713</v>
      </c>
      <c r="K9" s="2161" t="s">
        <v>272</v>
      </c>
      <c r="L9" s="323"/>
      <c r="M9" s="323"/>
      <c r="N9" s="323"/>
      <c r="R9" s="323"/>
      <c r="S9" s="323"/>
    </row>
    <row r="10" spans="1:19" ht="14.45" customHeight="1" x14ac:dyDescent="0.25">
      <c r="A10" s="1379" t="s">
        <v>36</v>
      </c>
      <c r="B10" s="206">
        <v>1</v>
      </c>
      <c r="C10" s="2200"/>
      <c r="D10" s="184">
        <f>ТрЗ_ОКиА!E238</f>
        <v>1</v>
      </c>
      <c r="E10" s="184">
        <f>ТрЗ_ОКиА!E239</f>
        <v>1</v>
      </c>
      <c r="F10" s="184">
        <f>IF(ТрЗ_ОКиА!E240="Да",1,0)</f>
        <v>1</v>
      </c>
      <c r="G10" s="2163"/>
      <c r="H10" s="2161"/>
      <c r="I10" s="2161"/>
      <c r="J10" s="2161"/>
      <c r="K10" s="2161"/>
      <c r="L10" s="323"/>
      <c r="M10" s="323"/>
      <c r="N10" s="323"/>
      <c r="R10" s="323"/>
      <c r="S10" s="323"/>
    </row>
    <row r="11" spans="1:19" ht="14.45" customHeight="1" x14ac:dyDescent="0.25">
      <c r="A11" s="2164"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65"/>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66"/>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73" t="s">
        <v>1362</v>
      </c>
      <c r="B14" s="2174"/>
      <c r="C14" s="2174"/>
      <c r="D14" s="2174"/>
      <c r="E14" s="2174"/>
      <c r="F14" s="2174"/>
      <c r="G14" s="2174"/>
      <c r="H14" s="2174"/>
      <c r="I14" s="2174"/>
      <c r="J14" s="2174"/>
      <c r="K14" s="2175"/>
      <c r="L14" s="323"/>
      <c r="M14" s="323"/>
      <c r="N14" s="323"/>
      <c r="R14" s="323"/>
      <c r="S14" s="323"/>
    </row>
    <row r="15" spans="1:19" ht="31.5" x14ac:dyDescent="0.25">
      <c r="A15" s="879"/>
      <c r="B15" s="1376" t="s">
        <v>1228</v>
      </c>
      <c r="C15" s="2200" t="s">
        <v>1363</v>
      </c>
      <c r="D15" s="1377" t="s">
        <v>876</v>
      </c>
      <c r="E15" s="1377"/>
      <c r="F15" s="1377"/>
      <c r="G15" s="2163" t="s">
        <v>38</v>
      </c>
      <c r="H15" s="2161" t="s">
        <v>715</v>
      </c>
      <c r="I15" s="2161" t="s">
        <v>714</v>
      </c>
      <c r="J15" s="2161" t="s">
        <v>713</v>
      </c>
      <c r="K15" s="2161" t="s">
        <v>272</v>
      </c>
      <c r="L15" s="323"/>
      <c r="M15" s="323"/>
      <c r="N15" s="323"/>
      <c r="R15" s="323"/>
      <c r="S15" s="323"/>
    </row>
    <row r="16" spans="1:19" ht="14.45" customHeight="1" x14ac:dyDescent="0.25">
      <c r="A16" s="1379" t="s">
        <v>36</v>
      </c>
      <c r="B16" s="206">
        <v>1</v>
      </c>
      <c r="C16" s="2200"/>
      <c r="D16" s="184">
        <f>ТрЗ_ОКиА!E238</f>
        <v>1</v>
      </c>
      <c r="E16" s="184">
        <v>0</v>
      </c>
      <c r="F16" s="184">
        <v>0</v>
      </c>
      <c r="G16" s="2163"/>
      <c r="H16" s="2161"/>
      <c r="I16" s="2161"/>
      <c r="J16" s="2161"/>
      <c r="K16" s="2161"/>
      <c r="L16" s="323"/>
      <c r="M16" s="323"/>
      <c r="N16" s="323"/>
      <c r="R16" s="323"/>
      <c r="S16" s="323"/>
    </row>
    <row r="17" spans="1:19" ht="14.45" customHeight="1" x14ac:dyDescent="0.25">
      <c r="A17" s="2164"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65"/>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66"/>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73" t="s">
        <v>1387</v>
      </c>
      <c r="B20" s="2174"/>
      <c r="C20" s="2174"/>
      <c r="D20" s="2174"/>
      <c r="E20" s="2174"/>
      <c r="F20" s="2174"/>
      <c r="G20" s="2174"/>
      <c r="H20" s="2174"/>
      <c r="I20" s="2174"/>
      <c r="J20" s="2174"/>
      <c r="K20" s="2175"/>
      <c r="L20" s="323"/>
      <c r="M20" s="323"/>
      <c r="N20" s="323"/>
      <c r="R20" s="323"/>
      <c r="S20" s="323"/>
    </row>
    <row r="21" spans="1:19" ht="47.25" x14ac:dyDescent="0.25">
      <c r="A21" s="879"/>
      <c r="B21" s="1376" t="s">
        <v>1228</v>
      </c>
      <c r="C21" s="2200" t="s">
        <v>1378</v>
      </c>
      <c r="D21" s="1377" t="s">
        <v>876</v>
      </c>
      <c r="E21" s="1377" t="s">
        <v>1377</v>
      </c>
      <c r="F21" s="1377"/>
      <c r="G21" s="2163" t="s">
        <v>38</v>
      </c>
      <c r="H21" s="2161" t="s">
        <v>715</v>
      </c>
      <c r="I21" s="2161" t="s">
        <v>714</v>
      </c>
      <c r="J21" s="2161" t="s">
        <v>713</v>
      </c>
      <c r="K21" s="2161" t="s">
        <v>272</v>
      </c>
      <c r="L21" s="323"/>
      <c r="M21" s="323"/>
      <c r="N21" s="323"/>
      <c r="R21" s="323"/>
      <c r="S21" s="323"/>
    </row>
    <row r="22" spans="1:19" ht="15.75" x14ac:dyDescent="0.25">
      <c r="A22" s="1379" t="s">
        <v>36</v>
      </c>
      <c r="B22" s="206">
        <v>1</v>
      </c>
      <c r="C22" s="2200"/>
      <c r="D22" s="184">
        <f>ТрЗ_ОКиА!E238</f>
        <v>1</v>
      </c>
      <c r="E22" s="184">
        <f>ТрЗ_ОКиА!E248</f>
        <v>1</v>
      </c>
      <c r="F22" s="184">
        <v>0</v>
      </c>
      <c r="G22" s="2163"/>
      <c r="H22" s="2161"/>
      <c r="I22" s="2161"/>
      <c r="J22" s="2161"/>
      <c r="K22" s="2161"/>
      <c r="L22" s="323"/>
      <c r="M22" s="323"/>
      <c r="N22" s="323"/>
      <c r="R22" s="323"/>
      <c r="S22" s="323"/>
    </row>
    <row r="23" spans="1:19" ht="14.45" customHeight="1" x14ac:dyDescent="0.25">
      <c r="A23" s="2276"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79" t="s">
        <v>1375</v>
      </c>
      <c r="L23" s="323"/>
      <c r="M23" s="323"/>
      <c r="N23" s="323"/>
      <c r="R23" s="323"/>
      <c r="S23" s="323"/>
    </row>
    <row r="24" spans="1:19" ht="14.45" customHeight="1" x14ac:dyDescent="0.25">
      <c r="A24" s="2277"/>
      <c r="B24" s="129" t="s">
        <v>33</v>
      </c>
      <c r="C24" s="814">
        <v>1</v>
      </c>
      <c r="D24" s="629">
        <f>$D$22*2</f>
        <v>2</v>
      </c>
      <c r="E24" s="629">
        <f>C24*$E$22</f>
        <v>1</v>
      </c>
      <c r="F24" s="658">
        <v>0</v>
      </c>
      <c r="G24" s="814">
        <f xml:space="preserve"> SUM(D24:F24)*$N$12</f>
        <v>3.5999999999999996</v>
      </c>
      <c r="H24" s="813">
        <f>G24*20%</f>
        <v>0.72</v>
      </c>
      <c r="I24" s="813">
        <f>G24*40%</f>
        <v>1.44</v>
      </c>
      <c r="J24" s="813">
        <f>G24*40%</f>
        <v>1.44</v>
      </c>
      <c r="K24" s="2280"/>
      <c r="L24" s="323"/>
      <c r="M24" s="323"/>
      <c r="N24" s="323"/>
      <c r="R24" s="323"/>
      <c r="S24" s="323"/>
    </row>
    <row r="25" spans="1:19" ht="14.45" customHeight="1" x14ac:dyDescent="0.25">
      <c r="A25" s="2278"/>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81"/>
      <c r="L25" s="323"/>
      <c r="M25" s="323"/>
      <c r="N25" s="323"/>
      <c r="R25" s="323"/>
      <c r="S25" s="323"/>
    </row>
    <row r="26" spans="1:19" ht="14.45" customHeight="1" x14ac:dyDescent="0.25">
      <c r="A26" s="2173" t="s">
        <v>1365</v>
      </c>
      <c r="B26" s="2174"/>
      <c r="C26" s="2174"/>
      <c r="D26" s="2174"/>
      <c r="E26" s="2174"/>
      <c r="F26" s="2174"/>
      <c r="G26" s="2174"/>
      <c r="H26" s="2174"/>
      <c r="I26" s="2174"/>
      <c r="J26" s="2174"/>
      <c r="K26" s="2175"/>
      <c r="L26" s="323"/>
      <c r="M26" s="323"/>
      <c r="N26" s="323"/>
      <c r="R26" s="323"/>
      <c r="S26" s="323"/>
    </row>
    <row r="27" spans="1:19" ht="14.45" customHeight="1" x14ac:dyDescent="0.25">
      <c r="A27" s="2164" t="s">
        <v>1365</v>
      </c>
      <c r="B27" s="129" t="s">
        <v>32</v>
      </c>
      <c r="C27" s="2188" t="s">
        <v>1366</v>
      </c>
      <c r="D27" s="2275"/>
      <c r="E27" s="2275"/>
      <c r="F27" s="2190"/>
      <c r="G27" s="814">
        <f>G11+G23+G17</f>
        <v>15.8</v>
      </c>
      <c r="H27" s="813">
        <f>G27*50%</f>
        <v>7.9</v>
      </c>
      <c r="I27" s="813">
        <f>G27*50%</f>
        <v>7.9</v>
      </c>
      <c r="J27" s="813">
        <v>0</v>
      </c>
      <c r="K27" s="1860" t="s">
        <v>1367</v>
      </c>
      <c r="L27" s="323"/>
      <c r="M27" s="323"/>
      <c r="N27" s="323"/>
      <c r="R27" s="323"/>
      <c r="S27" s="323"/>
    </row>
    <row r="28" spans="1:19" ht="14.45" customHeight="1" x14ac:dyDescent="0.25">
      <c r="A28" s="2165"/>
      <c r="B28" s="129" t="s">
        <v>33</v>
      </c>
      <c r="C28" s="2188"/>
      <c r="D28" s="2275"/>
      <c r="E28" s="2275"/>
      <c r="F28" s="2190"/>
      <c r="G28" s="814">
        <f>G12+G24+G18</f>
        <v>21</v>
      </c>
      <c r="H28" s="813">
        <f>G28*50%</f>
        <v>10.5</v>
      </c>
      <c r="I28" s="813">
        <f>G28*40%</f>
        <v>8.4</v>
      </c>
      <c r="J28" s="813">
        <f>G28*10%</f>
        <v>2.1</v>
      </c>
      <c r="K28" s="1861"/>
      <c r="L28" s="323"/>
      <c r="M28" s="323"/>
      <c r="N28" s="323"/>
      <c r="R28" s="323"/>
      <c r="S28" s="323"/>
    </row>
    <row r="29" spans="1:19" ht="46.15" customHeight="1" x14ac:dyDescent="0.25">
      <c r="A29" s="2166"/>
      <c r="B29" s="129" t="s">
        <v>34</v>
      </c>
      <c r="C29" s="2188"/>
      <c r="D29" s="2275"/>
      <c r="E29" s="2275"/>
      <c r="F29" s="2190"/>
      <c r="G29" s="814">
        <f>G13+G25+G19</f>
        <v>26.2</v>
      </c>
      <c r="H29" s="813">
        <f>G29*20%</f>
        <v>5.24</v>
      </c>
      <c r="I29" s="813">
        <f>G29*40%</f>
        <v>10.48</v>
      </c>
      <c r="J29" s="813">
        <f>G29*40%</f>
        <v>10.48</v>
      </c>
      <c r="K29" s="1862"/>
      <c r="L29" s="323"/>
      <c r="M29" s="323"/>
      <c r="N29" s="323"/>
      <c r="R29" s="323"/>
      <c r="S29" s="323"/>
    </row>
    <row r="30" spans="1:19" ht="14.45" customHeight="1" x14ac:dyDescent="0.25">
      <c r="A30" s="2173" t="s">
        <v>1368</v>
      </c>
      <c r="B30" s="2174"/>
      <c r="C30" s="2174"/>
      <c r="D30" s="2174"/>
      <c r="E30" s="2174"/>
      <c r="F30" s="2174"/>
      <c r="G30" s="2174"/>
      <c r="H30" s="2174"/>
      <c r="I30" s="2174"/>
      <c r="J30" s="2174"/>
      <c r="K30" s="2175"/>
      <c r="M30" s="1383" t="s">
        <v>1369</v>
      </c>
      <c r="N30" s="1196"/>
      <c r="R30" s="323"/>
      <c r="S30" s="323"/>
    </row>
    <row r="31" spans="1:19" ht="14.45" customHeight="1" x14ac:dyDescent="0.25">
      <c r="A31" s="2176"/>
      <c r="B31" s="2177"/>
      <c r="C31" s="2177"/>
      <c r="D31" s="2177"/>
      <c r="E31" s="2177"/>
      <c r="F31" s="2178"/>
      <c r="G31" s="2163" t="s">
        <v>38</v>
      </c>
      <c r="H31" s="2161" t="s">
        <v>715</v>
      </c>
      <c r="I31" s="2161" t="s">
        <v>714</v>
      </c>
      <c r="J31" s="2161" t="s">
        <v>713</v>
      </c>
      <c r="K31" s="2161" t="s">
        <v>272</v>
      </c>
      <c r="M31" s="1381" t="s">
        <v>1389</v>
      </c>
      <c r="N31" s="1382">
        <v>1.5</v>
      </c>
    </row>
    <row r="32" spans="1:19" ht="14.45" customHeight="1" x14ac:dyDescent="0.25">
      <c r="A32" s="2179"/>
      <c r="B32" s="2180"/>
      <c r="C32" s="2180"/>
      <c r="D32" s="2180"/>
      <c r="E32" s="2180"/>
      <c r="F32" s="2181"/>
      <c r="G32" s="2163"/>
      <c r="H32" s="2161"/>
      <c r="I32" s="2161"/>
      <c r="J32" s="2161"/>
      <c r="K32" s="2161"/>
      <c r="M32" s="323"/>
      <c r="N32" s="323"/>
    </row>
    <row r="33" spans="1:14" ht="14.45" customHeight="1" x14ac:dyDescent="0.25">
      <c r="A33" s="2164" t="s">
        <v>1368</v>
      </c>
      <c r="B33" s="129" t="s">
        <v>32</v>
      </c>
      <c r="C33" s="2167" t="s">
        <v>1390</v>
      </c>
      <c r="D33" s="2168"/>
      <c r="E33" s="2168"/>
      <c r="F33" s="2169"/>
      <c r="G33" s="814">
        <f>(G11+G17+G23)*$N$31</f>
        <v>23.700000000000003</v>
      </c>
      <c r="H33" s="813">
        <f>G33*50%</f>
        <v>11.850000000000001</v>
      </c>
      <c r="I33" s="813">
        <f>G33*50%</f>
        <v>11.850000000000001</v>
      </c>
      <c r="J33" s="813">
        <v>0</v>
      </c>
      <c r="K33" s="1860" t="s">
        <v>1367</v>
      </c>
      <c r="M33" s="323"/>
      <c r="N33" s="323"/>
    </row>
    <row r="34" spans="1:14" ht="14.45" customHeight="1" x14ac:dyDescent="0.25">
      <c r="A34" s="2165"/>
      <c r="B34" s="129" t="s">
        <v>33</v>
      </c>
      <c r="C34" s="2170"/>
      <c r="D34" s="2274"/>
      <c r="E34" s="2274"/>
      <c r="F34" s="2172"/>
      <c r="G34" s="814">
        <f>(G12+G18+G24)*$N$31</f>
        <v>31.5</v>
      </c>
      <c r="H34" s="813">
        <f>G34*50%</f>
        <v>15.75</v>
      </c>
      <c r="I34" s="813">
        <f>G34*40%</f>
        <v>12.600000000000001</v>
      </c>
      <c r="J34" s="813">
        <f>G34*10%</f>
        <v>3.1500000000000004</v>
      </c>
      <c r="K34" s="1861"/>
      <c r="M34" s="323"/>
      <c r="N34" s="323"/>
    </row>
    <row r="35" spans="1:14" ht="47.45" customHeight="1" x14ac:dyDescent="0.25">
      <c r="A35" s="2166"/>
      <c r="B35" s="129" t="s">
        <v>34</v>
      </c>
      <c r="C35" s="2170"/>
      <c r="D35" s="2274"/>
      <c r="E35" s="2274"/>
      <c r="F35" s="2172"/>
      <c r="G35" s="814">
        <f>(G13+G19+G25)*$N$31</f>
        <v>39.299999999999997</v>
      </c>
      <c r="H35" s="813">
        <f>G35*20%</f>
        <v>7.8599999999999994</v>
      </c>
      <c r="I35" s="813">
        <f>G35*40%</f>
        <v>15.719999999999999</v>
      </c>
      <c r="J35" s="813">
        <f>G35*40%</f>
        <v>15.719999999999999</v>
      </c>
      <c r="K35" s="1862"/>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62" t="s">
        <v>1229</v>
      </c>
      <c r="D1" s="1377" t="s">
        <v>1282</v>
      </c>
      <c r="E1" s="1377" t="s">
        <v>1320</v>
      </c>
      <c r="F1" s="1377" t="s">
        <v>1410</v>
      </c>
      <c r="G1" s="2163" t="s">
        <v>38</v>
      </c>
      <c r="H1" s="2161" t="s">
        <v>715</v>
      </c>
      <c r="I1" s="2161" t="s">
        <v>714</v>
      </c>
      <c r="J1" s="2161" t="s">
        <v>713</v>
      </c>
      <c r="K1" s="2161" t="s">
        <v>272</v>
      </c>
    </row>
    <row r="2" spans="1:11" ht="15.75" x14ac:dyDescent="0.25">
      <c r="A2" s="1379" t="s">
        <v>36</v>
      </c>
      <c r="B2" s="206">
        <v>2</v>
      </c>
      <c r="C2" s="2162"/>
      <c r="D2" s="184">
        <f>ТрЗ_ОКиА!E107</f>
        <v>10</v>
      </c>
      <c r="E2" s="184">
        <f>ТрЗ_ОКиА!E185</f>
        <v>1</v>
      </c>
      <c r="F2" s="184">
        <f>ТрЗ_ОКиА!E276</f>
        <v>1</v>
      </c>
      <c r="G2" s="2163"/>
      <c r="H2" s="2161"/>
      <c r="I2" s="2161"/>
      <c r="J2" s="2161"/>
      <c r="K2" s="2161"/>
    </row>
    <row r="3" spans="1:11" ht="15.75" x14ac:dyDescent="0.25">
      <c r="A3" s="1384" t="s">
        <v>1411</v>
      </c>
      <c r="B3" s="1384"/>
      <c r="C3" s="1384"/>
      <c r="D3" s="1384"/>
      <c r="E3" s="1384"/>
      <c r="F3" s="1384"/>
      <c r="G3" s="1384"/>
      <c r="H3" s="1385"/>
      <c r="I3" s="1385"/>
      <c r="J3" s="1385"/>
      <c r="K3" s="1385"/>
    </row>
    <row r="4" spans="1:11" x14ac:dyDescent="0.25">
      <c r="A4" s="2156"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60" t="s">
        <v>1413</v>
      </c>
    </row>
    <row r="5" spans="1:11" x14ac:dyDescent="0.25">
      <c r="A5" s="2156"/>
      <c r="B5" s="129" t="s">
        <v>33</v>
      </c>
      <c r="C5" s="813">
        <v>1.5</v>
      </c>
      <c r="D5" s="629">
        <f>ROUND(30/60*$D$2,2)</f>
        <v>5</v>
      </c>
      <c r="E5" s="764">
        <v>0</v>
      </c>
      <c r="F5" s="764">
        <v>0</v>
      </c>
      <c r="G5" s="814">
        <f t="shared" si="0"/>
        <v>6.5</v>
      </c>
      <c r="H5" s="813">
        <f>G5*30%</f>
        <v>1.95</v>
      </c>
      <c r="I5" s="813">
        <f>G5*40%</f>
        <v>2.6</v>
      </c>
      <c r="J5" s="813">
        <f>G5*30%</f>
        <v>1.95</v>
      </c>
      <c r="K5" s="1861"/>
    </row>
    <row r="6" spans="1:11" x14ac:dyDescent="0.25">
      <c r="A6" s="2156"/>
      <c r="B6" s="129" t="s">
        <v>34</v>
      </c>
      <c r="C6" s="813">
        <v>2</v>
      </c>
      <c r="D6" s="629">
        <f>ROUND(40/60*$D$2,2)</f>
        <v>6.67</v>
      </c>
      <c r="E6" s="764">
        <v>0</v>
      </c>
      <c r="F6" s="764">
        <v>0</v>
      </c>
      <c r="G6" s="814">
        <f t="shared" si="0"/>
        <v>8.67</v>
      </c>
      <c r="H6" s="813">
        <f>G6*10%</f>
        <v>0.86699999999999999</v>
      </c>
      <c r="I6" s="813">
        <f>G6*40%</f>
        <v>3.468</v>
      </c>
      <c r="J6" s="813">
        <f>G6*50%</f>
        <v>4.335</v>
      </c>
      <c r="K6" s="1862"/>
    </row>
    <row r="7" spans="1:11" x14ac:dyDescent="0.25">
      <c r="A7" s="1973"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73"/>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73"/>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56"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56"/>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56"/>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73"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73"/>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73"/>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56"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56"/>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56"/>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73"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73"/>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73"/>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2" t="s">
        <v>1229</v>
      </c>
      <c r="D1" s="1377" t="s">
        <v>1421</v>
      </c>
      <c r="E1" s="1377" t="s">
        <v>1422</v>
      </c>
      <c r="F1" s="1386" t="s">
        <v>1423</v>
      </c>
      <c r="G1" s="2163" t="s">
        <v>38</v>
      </c>
      <c r="H1" s="2161" t="s">
        <v>715</v>
      </c>
      <c r="I1" s="2161" t="s">
        <v>714</v>
      </c>
      <c r="J1" s="2161" t="s">
        <v>713</v>
      </c>
      <c r="K1" s="2161" t="s">
        <v>272</v>
      </c>
    </row>
    <row r="2" spans="1:11" ht="15.75" x14ac:dyDescent="0.25">
      <c r="A2" s="1379" t="s">
        <v>36</v>
      </c>
      <c r="B2" s="206">
        <v>2</v>
      </c>
      <c r="C2" s="2162"/>
      <c r="D2" s="184">
        <f>ТрЗ_ОКиА!E38</f>
        <v>1</v>
      </c>
      <c r="E2" s="184">
        <f>ТрЗ_ОКиА!E39</f>
        <v>1</v>
      </c>
      <c r="F2" s="184">
        <f>IF(ТрЗ_ОКиА!E40="Да",1,0)</f>
        <v>1</v>
      </c>
      <c r="G2" s="2163"/>
      <c r="H2" s="2161"/>
      <c r="I2" s="2161"/>
      <c r="J2" s="2161"/>
      <c r="K2" s="2161"/>
    </row>
    <row r="3" spans="1:11" ht="15.75" x14ac:dyDescent="0.25">
      <c r="A3" s="1387" t="s">
        <v>1424</v>
      </c>
      <c r="B3" s="1387"/>
      <c r="C3" s="1387"/>
      <c r="D3" s="1387"/>
      <c r="E3" s="1387"/>
      <c r="F3" s="1387"/>
      <c r="G3" s="1387"/>
      <c r="H3" s="1385"/>
      <c r="I3" s="1385"/>
      <c r="J3" s="1385"/>
      <c r="K3" s="1385"/>
    </row>
    <row r="4" spans="1:11" x14ac:dyDescent="0.25">
      <c r="A4" s="1973" t="s">
        <v>1425</v>
      </c>
      <c r="B4" s="129" t="s">
        <v>32</v>
      </c>
      <c r="C4" s="658">
        <v>0</v>
      </c>
      <c r="D4" s="629">
        <f>6*($D$2-$E$2)</f>
        <v>0</v>
      </c>
      <c r="E4" s="630">
        <f>32*$E$2</f>
        <v>32</v>
      </c>
      <c r="F4" s="629">
        <f>IF($F$2=1,-4,0)</f>
        <v>-4</v>
      </c>
      <c r="G4" s="814">
        <f xml:space="preserve"> SUM(C4:F4)</f>
        <v>28</v>
      </c>
      <c r="H4" s="813">
        <f>G4*50%</f>
        <v>14</v>
      </c>
      <c r="I4" s="813">
        <f>G4*30%</f>
        <v>8.4</v>
      </c>
      <c r="J4" s="813">
        <f>G4*20%</f>
        <v>5.6000000000000005</v>
      </c>
      <c r="K4" s="2282" t="s">
        <v>1426</v>
      </c>
    </row>
    <row r="5" spans="1:11" x14ac:dyDescent="0.25">
      <c r="A5" s="1973"/>
      <c r="B5" s="129" t="s">
        <v>33</v>
      </c>
      <c r="C5" s="813">
        <v>0</v>
      </c>
      <c r="D5" s="629">
        <f>8*($D$2-$E$2)</f>
        <v>0</v>
      </c>
      <c r="E5" s="630">
        <f>40*$E$2</f>
        <v>40</v>
      </c>
      <c r="F5" s="629">
        <f>IF($F$2=1,-4,0)</f>
        <v>-4</v>
      </c>
      <c r="G5" s="814">
        <f xml:space="preserve"> SUM(C5:F5)</f>
        <v>36</v>
      </c>
      <c r="H5" s="813">
        <f>G5*30%</f>
        <v>10.799999999999999</v>
      </c>
      <c r="I5" s="813">
        <f>G5*40%</f>
        <v>14.4</v>
      </c>
      <c r="J5" s="813">
        <f>G5*30%</f>
        <v>10.799999999999999</v>
      </c>
      <c r="K5" s="2283"/>
    </row>
    <row r="6" spans="1:11" x14ac:dyDescent="0.25">
      <c r="A6" s="1973"/>
      <c r="B6" s="129" t="s">
        <v>34</v>
      </c>
      <c r="C6" s="813">
        <v>0</v>
      </c>
      <c r="D6" s="629">
        <f>12*($D$2-$E$2)</f>
        <v>0</v>
      </c>
      <c r="E6" s="630">
        <f>48*$E$2</f>
        <v>48</v>
      </c>
      <c r="F6" s="629">
        <f>IF($F$2=1,-6,0)</f>
        <v>-6</v>
      </c>
      <c r="G6" s="814">
        <f xml:space="preserve"> SUM(C6:F6)</f>
        <v>42</v>
      </c>
      <c r="H6" s="813">
        <f>G6*20%</f>
        <v>8.4</v>
      </c>
      <c r="I6" s="813">
        <f>G6*20%</f>
        <v>8.4</v>
      </c>
      <c r="J6" s="813">
        <f>G6*60%</f>
        <v>25.2</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62" t="s">
        <v>1229</v>
      </c>
      <c r="D1" s="1377" t="s">
        <v>1421</v>
      </c>
      <c r="E1" s="1377" t="s">
        <v>1422</v>
      </c>
      <c r="F1" s="1386" t="s">
        <v>1427</v>
      </c>
      <c r="G1" s="2163" t="s">
        <v>38</v>
      </c>
      <c r="H1" s="2161" t="s">
        <v>715</v>
      </c>
      <c r="I1" s="2161" t="s">
        <v>714</v>
      </c>
      <c r="J1" s="2161" t="s">
        <v>713</v>
      </c>
      <c r="K1" s="2161" t="s">
        <v>272</v>
      </c>
    </row>
    <row r="2" spans="1:11" ht="15.75" x14ac:dyDescent="0.25">
      <c r="A2" s="1379" t="s">
        <v>36</v>
      </c>
      <c r="B2" s="206">
        <v>2</v>
      </c>
      <c r="C2" s="2162"/>
      <c r="D2" s="184">
        <f>ТрЗ_ОКиА!E104</f>
        <v>1</v>
      </c>
      <c r="E2" s="184">
        <f>ТрЗ_ОКиА!E105</f>
        <v>1</v>
      </c>
      <c r="F2" s="184"/>
      <c r="G2" s="2163"/>
      <c r="H2" s="2161"/>
      <c r="I2" s="2161"/>
      <c r="J2" s="2161"/>
      <c r="K2" s="2161"/>
    </row>
    <row r="3" spans="1:11" ht="15.75" x14ac:dyDescent="0.25">
      <c r="A3" s="1387" t="s">
        <v>1424</v>
      </c>
      <c r="B3" s="1387"/>
      <c r="C3" s="1387"/>
      <c r="D3" s="1387"/>
      <c r="E3" s="1387"/>
      <c r="F3" s="1387"/>
      <c r="G3" s="1387"/>
      <c r="H3" s="1385"/>
      <c r="I3" s="1385"/>
      <c r="J3" s="1385"/>
      <c r="K3" s="1385"/>
    </row>
    <row r="4" spans="1:11" x14ac:dyDescent="0.25">
      <c r="A4" s="1973" t="s">
        <v>1428</v>
      </c>
      <c r="B4" s="129" t="s">
        <v>32</v>
      </c>
      <c r="C4" s="658">
        <v>0</v>
      </c>
      <c r="D4" s="629">
        <f>6*($D$2-$E$2)</f>
        <v>0</v>
      </c>
      <c r="E4" s="630">
        <f>40*$E$2</f>
        <v>40</v>
      </c>
      <c r="F4" s="658">
        <v>0</v>
      </c>
      <c r="G4" s="814">
        <f xml:space="preserve"> SUM(C4:F4)</f>
        <v>40</v>
      </c>
      <c r="H4" s="813">
        <f>G4*50%</f>
        <v>20</v>
      </c>
      <c r="I4" s="813">
        <f>G4*30%</f>
        <v>12</v>
      </c>
      <c r="J4" s="813">
        <f>G4*20%</f>
        <v>8</v>
      </c>
      <c r="K4" s="2282" t="s">
        <v>1429</v>
      </c>
    </row>
    <row r="5" spans="1:11" x14ac:dyDescent="0.25">
      <c r="A5" s="1973"/>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83"/>
    </row>
    <row r="6" spans="1:11" x14ac:dyDescent="0.25">
      <c r="A6" s="1973"/>
      <c r="B6" s="129" t="s">
        <v>34</v>
      </c>
      <c r="C6" s="658">
        <v>0</v>
      </c>
      <c r="D6" s="629">
        <f>12*($D$2-$E$2)</f>
        <v>0</v>
      </c>
      <c r="E6" s="630">
        <f>56*$E$2</f>
        <v>56</v>
      </c>
      <c r="F6" s="658">
        <v>0</v>
      </c>
      <c r="G6" s="814">
        <f xml:space="preserve"> SUM(C6:F6)</f>
        <v>56</v>
      </c>
      <c r="H6" s="813">
        <f>G6*20%</f>
        <v>11.200000000000001</v>
      </c>
      <c r="I6" s="813">
        <f>G6*20%</f>
        <v>11.200000000000001</v>
      </c>
      <c r="J6" s="813">
        <f>G6*60%</f>
        <v>33.6</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62" t="s">
        <v>1229</v>
      </c>
      <c r="D1" s="1377" t="s">
        <v>1421</v>
      </c>
      <c r="E1" s="1377" t="s">
        <v>1422</v>
      </c>
      <c r="F1" s="1386" t="s">
        <v>1427</v>
      </c>
      <c r="G1" s="2163" t="s">
        <v>38</v>
      </c>
      <c r="H1" s="2161" t="s">
        <v>715</v>
      </c>
      <c r="I1" s="2161" t="s">
        <v>714</v>
      </c>
      <c r="J1" s="2161" t="s">
        <v>713</v>
      </c>
      <c r="K1" s="2161" t="s">
        <v>272</v>
      </c>
    </row>
    <row r="2" spans="1:11" ht="15.75" x14ac:dyDescent="0.25">
      <c r="A2" s="1379" t="s">
        <v>36</v>
      </c>
      <c r="B2" s="206">
        <v>2</v>
      </c>
      <c r="C2" s="2162"/>
      <c r="D2" s="184">
        <f>ТрЗ_ОКиА!E182</f>
        <v>1</v>
      </c>
      <c r="E2" s="184">
        <f>ТрЗ_ОКиА!E183</f>
        <v>1</v>
      </c>
      <c r="F2" s="184"/>
      <c r="G2" s="2163"/>
      <c r="H2" s="2161"/>
      <c r="I2" s="2161"/>
      <c r="J2" s="2161"/>
      <c r="K2" s="2161"/>
    </row>
    <row r="3" spans="1:11" ht="15.75" x14ac:dyDescent="0.25">
      <c r="A3" s="1387" t="s">
        <v>1424</v>
      </c>
      <c r="B3" s="1387"/>
      <c r="C3" s="1387"/>
      <c r="D3" s="1387"/>
      <c r="E3" s="1387"/>
      <c r="F3" s="1387"/>
      <c r="G3" s="1387"/>
      <c r="H3" s="1385"/>
      <c r="I3" s="1385"/>
      <c r="J3" s="1385"/>
      <c r="K3" s="1385"/>
    </row>
    <row r="4" spans="1:11" x14ac:dyDescent="0.25">
      <c r="A4" s="2156" t="s">
        <v>1430</v>
      </c>
      <c r="B4" s="129" t="s">
        <v>32</v>
      </c>
      <c r="C4" s="658">
        <v>0</v>
      </c>
      <c r="D4" s="629">
        <f>6*($D$2-$E$2)</f>
        <v>0</v>
      </c>
      <c r="E4" s="630">
        <f>56*$E$2</f>
        <v>56</v>
      </c>
      <c r="F4" s="658">
        <v>0</v>
      </c>
      <c r="G4" s="814">
        <f xml:space="preserve"> SUM(C4:F4)</f>
        <v>56</v>
      </c>
      <c r="H4" s="813">
        <f>G4*50%</f>
        <v>28</v>
      </c>
      <c r="I4" s="813">
        <f>G4*30%</f>
        <v>16.8</v>
      </c>
      <c r="J4" s="813">
        <f>G4*20%</f>
        <v>11.200000000000001</v>
      </c>
      <c r="K4" s="2282" t="s">
        <v>1429</v>
      </c>
    </row>
    <row r="5" spans="1:11" x14ac:dyDescent="0.25">
      <c r="A5" s="2156"/>
      <c r="B5" s="129" t="s">
        <v>33</v>
      </c>
      <c r="C5" s="658">
        <v>0</v>
      </c>
      <c r="D5" s="629">
        <f>8*($D$2-$E$2)</f>
        <v>0</v>
      </c>
      <c r="E5" s="630">
        <f>64*$E$2</f>
        <v>64</v>
      </c>
      <c r="F5" s="658">
        <v>0</v>
      </c>
      <c r="G5" s="814">
        <f xml:space="preserve"> SUM(C5:F5)</f>
        <v>64</v>
      </c>
      <c r="H5" s="813">
        <f>G5*30%</f>
        <v>19.2</v>
      </c>
      <c r="I5" s="813">
        <f>G5*40%</f>
        <v>25.6</v>
      </c>
      <c r="J5" s="813">
        <f>G5*30%</f>
        <v>19.2</v>
      </c>
      <c r="K5" s="2283"/>
    </row>
    <row r="6" spans="1:11" x14ac:dyDescent="0.25">
      <c r="A6" s="2156"/>
      <c r="B6" s="129" t="s">
        <v>34</v>
      </c>
      <c r="C6" s="658">
        <v>0</v>
      </c>
      <c r="D6" s="629">
        <f>12*($D$2-$E$2)</f>
        <v>0</v>
      </c>
      <c r="E6" s="630">
        <f>72*$E$2</f>
        <v>72</v>
      </c>
      <c r="F6" s="658">
        <v>0</v>
      </c>
      <c r="G6" s="814">
        <f xml:space="preserve"> SUM(C6:F6)</f>
        <v>72</v>
      </c>
      <c r="H6" s="813">
        <f>G6*20%</f>
        <v>14.4</v>
      </c>
      <c r="I6" s="813">
        <f>G6*20%</f>
        <v>14.4</v>
      </c>
      <c r="J6" s="813">
        <f>G6*60%</f>
        <v>43.199999999999996</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62" t="s">
        <v>1229</v>
      </c>
      <c r="D1" s="1377" t="s">
        <v>1421</v>
      </c>
      <c r="E1" s="1377" t="s">
        <v>1422</v>
      </c>
      <c r="F1" s="1386" t="s">
        <v>1427</v>
      </c>
      <c r="G1" s="2163" t="s">
        <v>38</v>
      </c>
      <c r="H1" s="2161" t="s">
        <v>715</v>
      </c>
      <c r="I1" s="2161" t="s">
        <v>714</v>
      </c>
      <c r="J1" s="2161" t="s">
        <v>713</v>
      </c>
      <c r="K1" s="2161" t="s">
        <v>272</v>
      </c>
    </row>
    <row r="2" spans="1:11" ht="15.75" x14ac:dyDescent="0.25">
      <c r="A2" s="1379" t="s">
        <v>36</v>
      </c>
      <c r="B2" s="206">
        <v>2</v>
      </c>
      <c r="C2" s="2162"/>
      <c r="D2" s="184">
        <f>ТрЗ_ОКиА!E288</f>
        <v>1</v>
      </c>
      <c r="E2" s="184">
        <f>ТрЗ_ОКиА!E289</f>
        <v>1</v>
      </c>
      <c r="F2" s="184"/>
      <c r="G2" s="2163"/>
      <c r="H2" s="2161"/>
      <c r="I2" s="2161"/>
      <c r="J2" s="2161"/>
      <c r="K2" s="2161"/>
    </row>
    <row r="3" spans="1:11" ht="15.75" x14ac:dyDescent="0.25">
      <c r="A3" s="1387" t="s">
        <v>1424</v>
      </c>
      <c r="B3" s="1387"/>
      <c r="C3" s="1387"/>
      <c r="D3" s="1387"/>
      <c r="E3" s="1387"/>
      <c r="F3" s="1387"/>
      <c r="G3" s="1387"/>
      <c r="H3" s="1385"/>
      <c r="I3" s="1385"/>
      <c r="J3" s="1385"/>
      <c r="K3" s="1385"/>
    </row>
    <row r="4" spans="1:11" x14ac:dyDescent="0.25">
      <c r="A4" s="1973" t="s">
        <v>1431</v>
      </c>
      <c r="B4" s="129" t="s">
        <v>32</v>
      </c>
      <c r="C4" s="658">
        <v>0</v>
      </c>
      <c r="D4" s="629">
        <f>8*($D$2-$E$2)</f>
        <v>0</v>
      </c>
      <c r="E4" s="630">
        <f>64*$E$2</f>
        <v>64</v>
      </c>
      <c r="F4" s="658">
        <v>0</v>
      </c>
      <c r="G4" s="814">
        <f xml:space="preserve"> SUM(C4:F4)</f>
        <v>64</v>
      </c>
      <c r="H4" s="813">
        <f>G4*50%</f>
        <v>32</v>
      </c>
      <c r="I4" s="813">
        <f>G4*30%</f>
        <v>19.2</v>
      </c>
      <c r="J4" s="813">
        <f>G4*20%</f>
        <v>12.8</v>
      </c>
      <c r="K4" s="2282" t="s">
        <v>1432</v>
      </c>
    </row>
    <row r="5" spans="1:11" x14ac:dyDescent="0.25">
      <c r="A5" s="1973"/>
      <c r="B5" s="129" t="s">
        <v>33</v>
      </c>
      <c r="C5" s="658">
        <v>0</v>
      </c>
      <c r="D5" s="629">
        <f>10*($D$2-$E$2)</f>
        <v>0</v>
      </c>
      <c r="E5" s="630">
        <f>72*$E$2</f>
        <v>72</v>
      </c>
      <c r="F5" s="658">
        <v>0</v>
      </c>
      <c r="G5" s="814">
        <f xml:space="preserve"> SUM(C5:F5)</f>
        <v>72</v>
      </c>
      <c r="H5" s="813">
        <f>G5*30%</f>
        <v>21.599999999999998</v>
      </c>
      <c r="I5" s="813">
        <f>G5*40%</f>
        <v>28.8</v>
      </c>
      <c r="J5" s="813">
        <f>G5*30%</f>
        <v>21.599999999999998</v>
      </c>
      <c r="K5" s="2283"/>
    </row>
    <row r="6" spans="1:11" x14ac:dyDescent="0.25">
      <c r="A6" s="1973"/>
      <c r="B6" s="129" t="s">
        <v>34</v>
      </c>
      <c r="C6" s="658">
        <v>0</v>
      </c>
      <c r="D6" s="629">
        <f>15*($D$2-$E$2)</f>
        <v>0</v>
      </c>
      <c r="E6" s="630">
        <f>80*$E$2</f>
        <v>80</v>
      </c>
      <c r="F6" s="658">
        <v>0</v>
      </c>
      <c r="G6" s="814">
        <f xml:space="preserve"> SUM(C6:F6)</f>
        <v>80</v>
      </c>
      <c r="H6" s="813">
        <f>G6*20%</f>
        <v>16</v>
      </c>
      <c r="I6" s="813">
        <f>G6*20%</f>
        <v>16</v>
      </c>
      <c r="J6" s="813">
        <f>G6*60%</f>
        <v>48</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200" t="s">
        <v>1229</v>
      </c>
      <c r="D1" s="1377" t="s">
        <v>1421</v>
      </c>
      <c r="E1" s="1377" t="s">
        <v>1422</v>
      </c>
      <c r="F1" s="1386" t="s">
        <v>1427</v>
      </c>
      <c r="G1" s="2163" t="s">
        <v>38</v>
      </c>
      <c r="H1" s="2161" t="s">
        <v>715</v>
      </c>
      <c r="I1" s="2161" t="s">
        <v>714</v>
      </c>
      <c r="J1" s="2161" t="s">
        <v>713</v>
      </c>
      <c r="K1" s="2161" t="s">
        <v>272</v>
      </c>
    </row>
    <row r="2" spans="1:11" ht="15.75" x14ac:dyDescent="0.25">
      <c r="A2" s="1379" t="s">
        <v>36</v>
      </c>
      <c r="B2" s="1388">
        <v>2</v>
      </c>
      <c r="C2" s="2200"/>
      <c r="D2" s="184">
        <f>ТрЗ_ОКиА!E253</f>
        <v>2</v>
      </c>
      <c r="E2" s="184">
        <f>ТрЗ_ОКиА!E254</f>
        <v>2</v>
      </c>
      <c r="F2" s="184">
        <f>ТрЗ_ОКиА!E254</f>
        <v>2</v>
      </c>
      <c r="G2" s="2163"/>
      <c r="H2" s="2161"/>
      <c r="I2" s="2161"/>
      <c r="J2" s="2161"/>
      <c r="K2" s="2161"/>
    </row>
    <row r="3" spans="1:11" ht="15.75" x14ac:dyDescent="0.25">
      <c r="A3" s="1387" t="s">
        <v>1424</v>
      </c>
      <c r="B3" s="1387"/>
      <c r="C3" s="1387"/>
      <c r="D3" s="1387"/>
      <c r="E3" s="1387"/>
      <c r="F3" s="1387"/>
      <c r="G3" s="1387"/>
      <c r="H3" s="1385"/>
      <c r="I3" s="1385"/>
      <c r="J3" s="1385"/>
      <c r="K3" s="1385"/>
    </row>
    <row r="4" spans="1:11" x14ac:dyDescent="0.25">
      <c r="A4" s="1973" t="s">
        <v>1433</v>
      </c>
      <c r="B4" s="129" t="s">
        <v>32</v>
      </c>
      <c r="C4" s="658">
        <v>0</v>
      </c>
      <c r="D4" s="629">
        <f>6*($D$2-$E$2)</f>
        <v>0</v>
      </c>
      <c r="E4" s="630">
        <f>48*$E$2</f>
        <v>96</v>
      </c>
      <c r="F4" s="658">
        <v>0</v>
      </c>
      <c r="G4" s="814">
        <f xml:space="preserve"> SUM(C4:F4)</f>
        <v>96</v>
      </c>
      <c r="H4" s="813">
        <f>G4*50%</f>
        <v>48</v>
      </c>
      <c r="I4" s="813">
        <f>G4*30%</f>
        <v>28.799999999999997</v>
      </c>
      <c r="J4" s="813">
        <f>G4*20%</f>
        <v>19.200000000000003</v>
      </c>
      <c r="K4" s="2282" t="s">
        <v>1429</v>
      </c>
    </row>
    <row r="5" spans="1:11" x14ac:dyDescent="0.25">
      <c r="A5" s="1973"/>
      <c r="B5" s="129" t="s">
        <v>33</v>
      </c>
      <c r="C5" s="658">
        <v>0</v>
      </c>
      <c r="D5" s="629">
        <f>8*($D$2-$E$2)</f>
        <v>0</v>
      </c>
      <c r="E5" s="630">
        <f>56*$E$2</f>
        <v>112</v>
      </c>
      <c r="F5" s="658">
        <v>0</v>
      </c>
      <c r="G5" s="814">
        <f xml:space="preserve"> SUM(C5:F5)</f>
        <v>112</v>
      </c>
      <c r="H5" s="813">
        <f>G5*30%</f>
        <v>33.6</v>
      </c>
      <c r="I5" s="813">
        <f>G5*40%</f>
        <v>44.800000000000004</v>
      </c>
      <c r="J5" s="813">
        <f>G5*30%</f>
        <v>33.6</v>
      </c>
      <c r="K5" s="2283"/>
    </row>
    <row r="6" spans="1:11" x14ac:dyDescent="0.25">
      <c r="A6" s="1973"/>
      <c r="B6" s="129" t="s">
        <v>34</v>
      </c>
      <c r="C6" s="658">
        <v>0</v>
      </c>
      <c r="D6" s="629">
        <f>12*($D$2-$E$2)</f>
        <v>0</v>
      </c>
      <c r="E6" s="630">
        <f>64*$E$2</f>
        <v>128</v>
      </c>
      <c r="F6" s="658">
        <v>0</v>
      </c>
      <c r="G6" s="814">
        <f xml:space="preserve"> SUM(C6:F6)</f>
        <v>128</v>
      </c>
      <c r="H6" s="813">
        <f>G6*20%</f>
        <v>25.6</v>
      </c>
      <c r="I6" s="813">
        <f>G6*20%</f>
        <v>25.6</v>
      </c>
      <c r="J6" s="813">
        <f>G6*60%</f>
        <v>76.8</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62" t="s">
        <v>1229</v>
      </c>
      <c r="D1" s="1377" t="s">
        <v>1434</v>
      </c>
      <c r="E1" s="1377" t="s">
        <v>1427</v>
      </c>
      <c r="F1" s="1377" t="s">
        <v>1427</v>
      </c>
      <c r="G1" s="2163" t="s">
        <v>38</v>
      </c>
      <c r="H1" s="2161" t="s">
        <v>715</v>
      </c>
      <c r="I1" s="2161" t="s">
        <v>714</v>
      </c>
      <c r="J1" s="2161" t="s">
        <v>713</v>
      </c>
      <c r="K1" s="2161" t="s">
        <v>272</v>
      </c>
    </row>
    <row r="2" spans="1:11" ht="15.75" x14ac:dyDescent="0.25">
      <c r="A2" s="1379" t="s">
        <v>36</v>
      </c>
      <c r="B2" s="206">
        <v>2</v>
      </c>
      <c r="C2" s="2162"/>
      <c r="D2" s="184">
        <f>ТрЗ_ОКиА!E280</f>
        <v>3</v>
      </c>
      <c r="E2" s="184">
        <v>0</v>
      </c>
      <c r="F2" s="184">
        <v>0</v>
      </c>
      <c r="G2" s="2163"/>
      <c r="H2" s="2161"/>
      <c r="I2" s="2161"/>
      <c r="J2" s="2161"/>
      <c r="K2" s="2161"/>
    </row>
    <row r="3" spans="1:11" ht="15.75" x14ac:dyDescent="0.25">
      <c r="A3" s="1387" t="s">
        <v>1435</v>
      </c>
      <c r="B3" s="1387"/>
      <c r="C3" s="1387"/>
      <c r="D3" s="1387"/>
      <c r="E3" s="1387"/>
      <c r="F3" s="1387"/>
      <c r="G3" s="1387"/>
      <c r="H3" s="1385"/>
      <c r="I3" s="1385"/>
      <c r="J3" s="1385"/>
      <c r="K3" s="1385"/>
    </row>
    <row r="4" spans="1:11" ht="15" customHeight="1" x14ac:dyDescent="0.25">
      <c r="A4" s="1973" t="s">
        <v>1435</v>
      </c>
      <c r="B4" s="129" t="s">
        <v>32</v>
      </c>
      <c r="C4" s="814">
        <v>0.5</v>
      </c>
      <c r="D4" s="629">
        <f>C4*$D$2</f>
        <v>1.5</v>
      </c>
      <c r="E4" s="813">
        <v>0</v>
      </c>
      <c r="F4" s="813">
        <v>0</v>
      </c>
      <c r="G4" s="814">
        <f xml:space="preserve"> SUM(D4:F4)</f>
        <v>1.5</v>
      </c>
      <c r="H4" s="813">
        <f>G4*50%</f>
        <v>0.75</v>
      </c>
      <c r="I4" s="813">
        <f>G4*50%</f>
        <v>0.75</v>
      </c>
      <c r="J4" s="813">
        <v>0</v>
      </c>
      <c r="K4" s="1860"/>
    </row>
    <row r="5" spans="1:11" ht="15" customHeight="1" x14ac:dyDescent="0.25">
      <c r="A5" s="1973"/>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61"/>
    </row>
    <row r="6" spans="1:11" ht="15" customHeight="1" x14ac:dyDescent="0.25">
      <c r="A6" s="1973"/>
      <c r="B6" s="129" t="s">
        <v>34</v>
      </c>
      <c r="C6" s="814">
        <v>0.5</v>
      </c>
      <c r="D6" s="629">
        <f t="shared" si="0"/>
        <v>1.5</v>
      </c>
      <c r="E6" s="813">
        <v>0</v>
      </c>
      <c r="F6" s="813">
        <v>0</v>
      </c>
      <c r="G6" s="814">
        <f t="shared" si="1"/>
        <v>1.5</v>
      </c>
      <c r="H6" s="813">
        <f>G6*20%</f>
        <v>0.30000000000000004</v>
      </c>
      <c r="I6" s="813">
        <f>G6*40%</f>
        <v>0.60000000000000009</v>
      </c>
      <c r="J6" s="813">
        <f>G6*40%</f>
        <v>0.60000000000000009</v>
      </c>
      <c r="K6" s="1862"/>
    </row>
    <row r="7" spans="1:11" ht="15" customHeight="1" x14ac:dyDescent="0.25">
      <c r="A7" s="2156"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60"/>
    </row>
    <row r="8" spans="1:11" ht="15" customHeight="1" x14ac:dyDescent="0.25">
      <c r="A8" s="2156"/>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61"/>
    </row>
    <row r="9" spans="1:11" ht="15" customHeight="1" x14ac:dyDescent="0.25">
      <c r="A9" s="2156"/>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62"/>
    </row>
    <row r="10" spans="1:11" ht="15.75" x14ac:dyDescent="0.25">
      <c r="A10" s="1387" t="s">
        <v>1437</v>
      </c>
      <c r="B10" s="1387"/>
      <c r="C10" s="1387"/>
      <c r="D10" s="1387"/>
      <c r="E10" s="1387"/>
      <c r="F10" s="1387"/>
      <c r="G10" s="1387"/>
      <c r="H10" s="1385"/>
      <c r="I10" s="1385"/>
      <c r="J10" s="1385"/>
      <c r="K10" s="1385"/>
    </row>
    <row r="11" spans="1:11" x14ac:dyDescent="0.25">
      <c r="A11" s="2286"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60" t="s">
        <v>1438</v>
      </c>
    </row>
    <row r="12" spans="1:11" x14ac:dyDescent="0.25">
      <c r="A12" s="2287"/>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61"/>
    </row>
    <row r="13" spans="1:11" x14ac:dyDescent="0.25">
      <c r="A13" s="1987"/>
      <c r="B13" s="129" t="s">
        <v>34</v>
      </c>
      <c r="C13" s="814">
        <v>1.5</v>
      </c>
      <c r="D13" s="629">
        <f t="shared" si="0"/>
        <v>4.5</v>
      </c>
      <c r="E13" s="813">
        <v>0</v>
      </c>
      <c r="F13" s="813">
        <v>0</v>
      </c>
      <c r="G13" s="814">
        <f xml:space="preserve"> SUM(D13:F13)</f>
        <v>4.5</v>
      </c>
      <c r="H13" s="813">
        <f>G13*20%</f>
        <v>0.9</v>
      </c>
      <c r="I13" s="813">
        <f>G13*40%</f>
        <v>1.8</v>
      </c>
      <c r="J13" s="813">
        <f>G13*40%</f>
        <v>1.8</v>
      </c>
      <c r="K13" s="1862"/>
    </row>
    <row r="14" spans="1:11" x14ac:dyDescent="0.25">
      <c r="A14" s="2285" t="s">
        <v>1439</v>
      </c>
      <c r="B14" s="129" t="s">
        <v>32</v>
      </c>
      <c r="C14" s="814">
        <v>0.5</v>
      </c>
      <c r="D14" s="629">
        <f t="shared" si="0"/>
        <v>1.5</v>
      </c>
      <c r="E14" s="813">
        <v>0</v>
      </c>
      <c r="F14" s="813">
        <v>0</v>
      </c>
      <c r="G14" s="814">
        <f xml:space="preserve"> SUM(C14:F14)</f>
        <v>2</v>
      </c>
      <c r="H14" s="813">
        <f>G14*50%</f>
        <v>1</v>
      </c>
      <c r="I14" s="813">
        <f>G14*50%</f>
        <v>1</v>
      </c>
      <c r="J14" s="813">
        <v>0</v>
      </c>
      <c r="K14" s="1860" t="s">
        <v>1440</v>
      </c>
    </row>
    <row r="15" spans="1:11" x14ac:dyDescent="0.25">
      <c r="A15" s="2285"/>
      <c r="B15" s="129" t="s">
        <v>33</v>
      </c>
      <c r="C15" s="814">
        <v>1</v>
      </c>
      <c r="D15" s="629">
        <f t="shared" si="0"/>
        <v>3</v>
      </c>
      <c r="E15" s="813">
        <v>0</v>
      </c>
      <c r="F15" s="813">
        <v>0</v>
      </c>
      <c r="G15" s="814">
        <f xml:space="preserve"> SUM(C15:F15)</f>
        <v>4</v>
      </c>
      <c r="H15" s="813">
        <f>G15*50%</f>
        <v>2</v>
      </c>
      <c r="I15" s="813">
        <f>G15*40%</f>
        <v>1.6</v>
      </c>
      <c r="J15" s="813">
        <f>G15*10%</f>
        <v>0.4</v>
      </c>
      <c r="K15" s="1861"/>
    </row>
    <row r="16" spans="1:11" x14ac:dyDescent="0.25">
      <c r="A16" s="2285"/>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62"/>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62" t="s">
        <v>1229</v>
      </c>
      <c r="D1" s="1377" t="s">
        <v>1421</v>
      </c>
      <c r="E1" s="1377" t="s">
        <v>1441</v>
      </c>
      <c r="F1" s="1386" t="s">
        <v>1427</v>
      </c>
      <c r="G1" s="2163" t="s">
        <v>38</v>
      </c>
      <c r="H1" s="2161" t="s">
        <v>715</v>
      </c>
      <c r="I1" s="2161" t="s">
        <v>714</v>
      </c>
      <c r="J1" s="2161" t="s">
        <v>713</v>
      </c>
      <c r="K1" s="2161" t="s">
        <v>272</v>
      </c>
      <c r="M1" s="2176" t="s">
        <v>1233</v>
      </c>
      <c r="N1" s="2178"/>
    </row>
    <row r="2" spans="1:16" ht="15.75" customHeight="1" x14ac:dyDescent="0.25">
      <c r="A2" s="1379" t="s">
        <v>36</v>
      </c>
      <c r="B2" s="206">
        <v>2</v>
      </c>
      <c r="C2" s="2162"/>
      <c r="D2" s="184">
        <f>ТрЗ_ОКиА!E223</f>
        <v>1</v>
      </c>
      <c r="E2" s="184">
        <f>IF(ТрЗ_ОКиА!E224="Да",1,0)</f>
        <v>1</v>
      </c>
      <c r="F2" s="184" t="e">
        <f>ТрЗ_ОКиА!#REF!</f>
        <v>#REF!</v>
      </c>
      <c r="G2" s="2163"/>
      <c r="H2" s="2161"/>
      <c r="I2" s="2161"/>
      <c r="J2" s="2161"/>
      <c r="K2" s="2161"/>
      <c r="M2" s="2289"/>
      <c r="N2" s="2290"/>
    </row>
    <row r="3" spans="1:16" ht="15.75" customHeight="1" x14ac:dyDescent="0.25">
      <c r="A3" s="1387" t="s">
        <v>1442</v>
      </c>
      <c r="B3" s="1387"/>
      <c r="C3" s="1387"/>
      <c r="D3" s="1387"/>
      <c r="E3" s="1387"/>
      <c r="F3" s="1387"/>
      <c r="G3" s="1387"/>
      <c r="H3" s="1385"/>
      <c r="I3" s="1385"/>
      <c r="J3" s="1385"/>
      <c r="K3" s="1385"/>
      <c r="M3" s="2179"/>
      <c r="N3" s="2181"/>
    </row>
    <row r="4" spans="1:16" x14ac:dyDescent="0.25">
      <c r="A4" s="2288"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57"/>
      <c r="M4" s="879">
        <v>20</v>
      </c>
      <c r="N4" s="879">
        <f>1+M4/100</f>
        <v>1.2</v>
      </c>
    </row>
    <row r="5" spans="1:16" x14ac:dyDescent="0.25">
      <c r="A5" s="2288"/>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57"/>
      <c r="M5" s="879">
        <v>50</v>
      </c>
      <c r="N5" s="879">
        <f>1+M5/100</f>
        <v>1.5</v>
      </c>
    </row>
    <row r="6" spans="1:16" x14ac:dyDescent="0.25">
      <c r="A6" s="2288"/>
      <c r="B6" s="129" t="s">
        <v>34</v>
      </c>
      <c r="C6" s="813">
        <f>ROUND(90/60,2)</f>
        <v>1.5</v>
      </c>
      <c r="D6" s="629">
        <f>ROUND($D$2*90/60,2)</f>
        <v>1.5</v>
      </c>
      <c r="E6" s="630">
        <f>IF($E$2=1, 2, 0)</f>
        <v>2</v>
      </c>
      <c r="F6" s="658"/>
      <c r="G6" s="814">
        <f t="shared" si="0"/>
        <v>5</v>
      </c>
      <c r="H6" s="813">
        <f>G6*10%</f>
        <v>0.5</v>
      </c>
      <c r="I6" s="813">
        <f>G6*40%</f>
        <v>2</v>
      </c>
      <c r="J6" s="813">
        <f>G6*50%</f>
        <v>2.5</v>
      </c>
      <c r="K6" s="2157"/>
      <c r="M6" s="879">
        <v>70</v>
      </c>
      <c r="N6" s="879">
        <f>1+M6/100</f>
        <v>1.7</v>
      </c>
    </row>
    <row r="7" spans="1:16" x14ac:dyDescent="0.25">
      <c r="A7" s="2288" t="s">
        <v>1444</v>
      </c>
      <c r="B7" s="129" t="s">
        <v>32</v>
      </c>
      <c r="C7" s="814">
        <f>ROUND((1.5+4+1+40)*N4,2)</f>
        <v>55.8</v>
      </c>
      <c r="D7" s="629">
        <f>ROUND(($D$2-1)*(4+1+10)*N4,2)</f>
        <v>0</v>
      </c>
      <c r="E7" s="658">
        <v>0</v>
      </c>
      <c r="F7" s="658"/>
      <c r="G7" s="814">
        <f t="shared" si="0"/>
        <v>55.8</v>
      </c>
      <c r="H7" s="813">
        <f>G7*70%</f>
        <v>39.059999999999995</v>
      </c>
      <c r="I7" s="813">
        <f>G7*20%</f>
        <v>11.16</v>
      </c>
      <c r="J7" s="813">
        <f>G7*10%</f>
        <v>5.58</v>
      </c>
      <c r="K7" s="2282" t="s">
        <v>1445</v>
      </c>
    </row>
    <row r="8" spans="1:16" x14ac:dyDescent="0.25">
      <c r="A8" s="2288"/>
      <c r="B8" s="129" t="s">
        <v>33</v>
      </c>
      <c r="C8" s="814">
        <f>ROUND((2+4+1+40)*N5,2)</f>
        <v>70.5</v>
      </c>
      <c r="D8" s="629">
        <f>ROUND(($D$2-1)*(4+1+16)*N5,2)</f>
        <v>0</v>
      </c>
      <c r="E8" s="658">
        <v>0</v>
      </c>
      <c r="F8" s="658"/>
      <c r="G8" s="814">
        <f t="shared" si="0"/>
        <v>70.5</v>
      </c>
      <c r="H8" s="813">
        <f>G8*50%</f>
        <v>35.25</v>
      </c>
      <c r="I8" s="813">
        <f>G8*25%</f>
        <v>17.625</v>
      </c>
      <c r="J8" s="813">
        <f>G8*25%</f>
        <v>17.625</v>
      </c>
      <c r="K8" s="2283"/>
    </row>
    <row r="9" spans="1:16" x14ac:dyDescent="0.25">
      <c r="A9" s="2288"/>
      <c r="B9" s="129" t="s">
        <v>34</v>
      </c>
      <c r="C9" s="814">
        <f>ROUND((5+4+1+40)*N6,2)</f>
        <v>85</v>
      </c>
      <c r="D9" s="629">
        <f>ROUND(($D$2-1)*(4+1+20)*N6,2)</f>
        <v>0</v>
      </c>
      <c r="E9" s="658">
        <v>0</v>
      </c>
      <c r="F9" s="658"/>
      <c r="G9" s="814">
        <f t="shared" si="0"/>
        <v>85</v>
      </c>
      <c r="H9" s="813">
        <f>G9*40%</f>
        <v>34</v>
      </c>
      <c r="I9" s="813">
        <f>G9*30%</f>
        <v>25.5</v>
      </c>
      <c r="J9" s="813">
        <f>G9*30%</f>
        <v>25.5</v>
      </c>
      <c r="K9" s="2284"/>
    </row>
    <row r="10" spans="1:16" x14ac:dyDescent="0.25">
      <c r="A10" s="2288"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88"/>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88"/>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88"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88"/>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88"/>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88"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88"/>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88"/>
      <c r="B18" s="129" t="s">
        <v>34</v>
      </c>
      <c r="C18" s="658">
        <v>0</v>
      </c>
      <c r="D18" s="629">
        <f>ROUND($D$2*2,2)</f>
        <v>2</v>
      </c>
      <c r="E18" s="658">
        <v>0</v>
      </c>
      <c r="F18" s="658"/>
      <c r="G18" s="814">
        <f t="shared" si="1"/>
        <v>2</v>
      </c>
      <c r="H18" s="813">
        <f>G18*40%</f>
        <v>0.8</v>
      </c>
      <c r="I18" s="813">
        <f>G18*30%</f>
        <v>0.6</v>
      </c>
      <c r="J18" s="813">
        <f>G18*30%</f>
        <v>0.6</v>
      </c>
      <c r="K18" s="129"/>
    </row>
    <row r="19" spans="1:11" x14ac:dyDescent="0.25">
      <c r="A19" s="2288"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88"/>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88"/>
      <c r="B21" s="129" t="s">
        <v>34</v>
      </c>
      <c r="C21" s="814">
        <v>2</v>
      </c>
      <c r="D21" s="658">
        <v>0</v>
      </c>
      <c r="E21" s="658">
        <v>0</v>
      </c>
      <c r="F21" s="658"/>
      <c r="G21" s="814">
        <f t="shared" si="1"/>
        <v>2</v>
      </c>
      <c r="H21" s="813">
        <f>G21*30%</f>
        <v>0.6</v>
      </c>
      <c r="I21" s="813">
        <f>G21*40%</f>
        <v>0.8</v>
      </c>
      <c r="J21" s="813">
        <f>G21*30%</f>
        <v>0.6</v>
      </c>
      <c r="K21" s="129"/>
    </row>
    <row r="22" spans="1:11" x14ac:dyDescent="0.25">
      <c r="A22" s="2288"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88"/>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88"/>
      <c r="B24" s="129" t="s">
        <v>34</v>
      </c>
      <c r="C24" s="814">
        <f>1</f>
        <v>1</v>
      </c>
      <c r="D24" s="629">
        <f>ROUND($D$2*1,2)</f>
        <v>1</v>
      </c>
      <c r="E24" s="658">
        <v>0</v>
      </c>
      <c r="F24" s="658"/>
      <c r="G24" s="814">
        <f t="shared" si="1"/>
        <v>2</v>
      </c>
      <c r="H24" s="813">
        <f>G24*30%</f>
        <v>0.6</v>
      </c>
      <c r="I24" s="813">
        <f>G24*30%</f>
        <v>0.6</v>
      </c>
      <c r="J24" s="813">
        <f>G24*40%</f>
        <v>0.8</v>
      </c>
      <c r="K24" s="129"/>
    </row>
    <row r="25" spans="1:11" x14ac:dyDescent="0.25">
      <c r="A25" s="2288" t="s">
        <v>1451</v>
      </c>
      <c r="B25" s="129" t="s">
        <v>32</v>
      </c>
      <c r="C25" s="814">
        <v>1</v>
      </c>
      <c r="D25" s="629">
        <f>ROUND($D$2*6,2)</f>
        <v>6</v>
      </c>
      <c r="E25" s="630">
        <f>IF($E$2=1, 3, 0)</f>
        <v>3</v>
      </c>
      <c r="F25" s="658"/>
      <c r="G25" s="814">
        <f t="shared" si="1"/>
        <v>10</v>
      </c>
      <c r="H25" s="813">
        <f>G25*60%</f>
        <v>6</v>
      </c>
      <c r="I25" s="813">
        <f>G25*30%</f>
        <v>3</v>
      </c>
      <c r="J25" s="813">
        <f>G25*10%</f>
        <v>1</v>
      </c>
      <c r="K25" s="2282" t="s">
        <v>1452</v>
      </c>
    </row>
    <row r="26" spans="1:11" x14ac:dyDescent="0.25">
      <c r="A26" s="2288"/>
      <c r="B26" s="129" t="s">
        <v>33</v>
      </c>
      <c r="C26" s="814">
        <v>2</v>
      </c>
      <c r="D26" s="629">
        <f>ROUND($D$2*8,2)</f>
        <v>8</v>
      </c>
      <c r="E26" s="630">
        <f>IF($E$2=1, 4, 0)</f>
        <v>4</v>
      </c>
      <c r="F26" s="658"/>
      <c r="G26" s="814">
        <f t="shared" si="1"/>
        <v>14</v>
      </c>
      <c r="H26" s="813">
        <f>G26*50%</f>
        <v>7</v>
      </c>
      <c r="I26" s="813">
        <f>G26*25%</f>
        <v>3.5</v>
      </c>
      <c r="J26" s="813">
        <f>G26*25%</f>
        <v>3.5</v>
      </c>
      <c r="K26" s="2283"/>
    </row>
    <row r="27" spans="1:11" ht="30" customHeight="1" x14ac:dyDescent="0.25">
      <c r="A27" s="2288"/>
      <c r="B27" s="129" t="s">
        <v>34</v>
      </c>
      <c r="C27" s="814">
        <v>4</v>
      </c>
      <c r="D27" s="629">
        <f>ROUND($D$2*16,2)</f>
        <v>16</v>
      </c>
      <c r="E27" s="630">
        <f>IF($E$2=1, 5, 0)</f>
        <v>5</v>
      </c>
      <c r="F27" s="658"/>
      <c r="G27" s="814">
        <f t="shared" si="1"/>
        <v>25</v>
      </c>
      <c r="H27" s="813">
        <f>G27*30%</f>
        <v>7.5</v>
      </c>
      <c r="I27" s="813">
        <f>G27*35%</f>
        <v>8.75</v>
      </c>
      <c r="J27" s="813">
        <f>G27*35%</f>
        <v>8.75</v>
      </c>
      <c r="K27" s="2284"/>
    </row>
    <row r="28" spans="1:11" x14ac:dyDescent="0.25">
      <c r="A28" s="2288"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82" t="s">
        <v>1454</v>
      </c>
    </row>
    <row r="29" spans="1:11" x14ac:dyDescent="0.25">
      <c r="A29" s="2288"/>
      <c r="B29" s="129" t="s">
        <v>33</v>
      </c>
      <c r="C29" s="814">
        <f>ROUND(4*N5,2)</f>
        <v>6</v>
      </c>
      <c r="D29" s="629">
        <f>ROUND(($D$2-1)*1*N5,2)</f>
        <v>0</v>
      </c>
      <c r="E29" s="658">
        <v>0</v>
      </c>
      <c r="F29" s="658"/>
      <c r="G29" s="814">
        <f t="shared" si="1"/>
        <v>6</v>
      </c>
      <c r="H29" s="813">
        <f>G29*60%</f>
        <v>3.5999999999999996</v>
      </c>
      <c r="I29" s="813">
        <f>G29*25%</f>
        <v>1.5</v>
      </c>
      <c r="J29" s="813">
        <f>G29*15%</f>
        <v>0.89999999999999991</v>
      </c>
      <c r="K29" s="2283"/>
    </row>
    <row r="30" spans="1:11" x14ac:dyDescent="0.25">
      <c r="A30" s="2288"/>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84"/>
    </row>
    <row r="31" spans="1:11" x14ac:dyDescent="0.25">
      <c r="A31" s="2288" t="s">
        <v>1455</v>
      </c>
      <c r="B31" s="129" t="s">
        <v>32</v>
      </c>
      <c r="C31" s="814">
        <f>ROUND(4*N4,2)</f>
        <v>4.8</v>
      </c>
      <c r="D31" s="629">
        <f>ROUND(($D$2-1)*3*N4,2)</f>
        <v>0</v>
      </c>
      <c r="E31" s="658">
        <v>0</v>
      </c>
      <c r="F31" s="658"/>
      <c r="G31" s="814">
        <f t="shared" si="1"/>
        <v>4.8</v>
      </c>
      <c r="H31" s="813">
        <f>G31*70%</f>
        <v>3.36</v>
      </c>
      <c r="I31" s="813">
        <f>G31*20%</f>
        <v>0.96</v>
      </c>
      <c r="J31" s="813">
        <f>G31*10%</f>
        <v>0.48</v>
      </c>
      <c r="K31" s="2282" t="s">
        <v>1456</v>
      </c>
    </row>
    <row r="32" spans="1:11" x14ac:dyDescent="0.25">
      <c r="A32" s="2288"/>
      <c r="B32" s="129" t="s">
        <v>33</v>
      </c>
      <c r="C32" s="814">
        <f>ROUND(6*N5,2)</f>
        <v>9</v>
      </c>
      <c r="D32" s="629">
        <f>ROUND(($D$2-1)*5*N5,2)</f>
        <v>0</v>
      </c>
      <c r="E32" s="658">
        <v>0</v>
      </c>
      <c r="F32" s="658"/>
      <c r="G32" s="814">
        <f t="shared" si="1"/>
        <v>9</v>
      </c>
      <c r="H32" s="813">
        <f>G32*60%</f>
        <v>5.3999999999999995</v>
      </c>
      <c r="I32" s="813">
        <f>G32*25%</f>
        <v>2.25</v>
      </c>
      <c r="J32" s="813">
        <f>G32*15%</f>
        <v>1.3499999999999999</v>
      </c>
      <c r="K32" s="2283"/>
    </row>
    <row r="33" spans="1:11" x14ac:dyDescent="0.25">
      <c r="A33" s="2288"/>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84"/>
    </row>
    <row r="34" spans="1:11" x14ac:dyDescent="0.25">
      <c r="A34" s="2288"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88"/>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88"/>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88"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88"/>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88"/>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96" t="s">
        <v>872</v>
      </c>
      <c r="B2" s="2291" t="s">
        <v>919</v>
      </c>
      <c r="C2" s="2292"/>
      <c r="D2" s="2293"/>
      <c r="E2" s="2298" t="s">
        <v>874</v>
      </c>
      <c r="F2" s="2299"/>
      <c r="G2" s="2296"/>
      <c r="H2" s="2291" t="s">
        <v>52</v>
      </c>
      <c r="I2" s="2291"/>
      <c r="J2" s="2293"/>
      <c r="K2" s="2300" t="s">
        <v>715</v>
      </c>
      <c r="L2" s="2301"/>
      <c r="M2" s="2302"/>
      <c r="N2" s="2291" t="s">
        <v>714</v>
      </c>
      <c r="O2" s="2292"/>
      <c r="P2" s="2293"/>
      <c r="Q2" s="2291" t="s">
        <v>713</v>
      </c>
      <c r="R2" s="2292"/>
      <c r="S2" s="2293"/>
      <c r="T2" s="2294" t="s">
        <v>875</v>
      </c>
    </row>
    <row r="3" spans="1:20" ht="15.75" thickBot="1" x14ac:dyDescent="0.3">
      <c r="A3" s="2297"/>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95"/>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307" t="s">
        <v>1089</v>
      </c>
      <c r="B1" s="2307"/>
      <c r="C1" s="2307"/>
      <c r="D1" s="2307"/>
      <c r="E1" s="2307"/>
      <c r="F1" s="2307"/>
      <c r="G1" s="2307"/>
      <c r="H1" s="2307" t="s">
        <v>1090</v>
      </c>
      <c r="I1" s="2307"/>
      <c r="J1" s="2307"/>
      <c r="K1" s="2307"/>
      <c r="L1" s="2307"/>
      <c r="M1" s="2307"/>
      <c r="N1" s="2307" t="s">
        <v>1091</v>
      </c>
      <c r="O1" s="2307"/>
      <c r="P1" s="2307"/>
      <c r="Q1" s="2307" t="s">
        <v>866</v>
      </c>
      <c r="R1" s="2307"/>
      <c r="S1" s="2307"/>
      <c r="T1" s="2307"/>
      <c r="U1" s="2307"/>
      <c r="V1" s="2307"/>
      <c r="W1" s="2307"/>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308" t="s">
        <v>881</v>
      </c>
      <c r="B6" s="2308"/>
      <c r="C6" s="2308"/>
      <c r="D6" s="2309"/>
      <c r="E6" s="1188"/>
      <c r="F6" s="1188"/>
      <c r="G6" s="1188"/>
      <c r="H6" s="2308" t="s">
        <v>881</v>
      </c>
      <c r="I6" s="2308"/>
      <c r="J6" s="2309"/>
      <c r="K6" s="1188"/>
      <c r="L6" s="1188"/>
      <c r="M6" s="1188"/>
      <c r="N6" s="1188"/>
      <c r="O6" s="1188"/>
      <c r="P6" s="1188"/>
      <c r="Q6" s="2308" t="s">
        <v>881</v>
      </c>
      <c r="R6" s="2308"/>
      <c r="S6" s="2308"/>
      <c r="T6" s="2309"/>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308" t="s">
        <v>887</v>
      </c>
      <c r="B11" s="2308"/>
      <c r="C11" s="2308"/>
      <c r="D11" s="2309"/>
      <c r="E11" s="1188"/>
      <c r="F11" s="1188"/>
      <c r="G11" s="1188"/>
      <c r="H11" s="2308" t="s">
        <v>887</v>
      </c>
      <c r="I11" s="2308"/>
      <c r="J11" s="2309"/>
      <c r="K11" s="1188"/>
      <c r="L11" s="1188"/>
      <c r="M11" s="1188"/>
      <c r="N11" s="1188"/>
      <c r="O11" s="1188"/>
      <c r="P11" s="1188"/>
      <c r="Q11" s="2308" t="s">
        <v>887</v>
      </c>
      <c r="R11" s="2308"/>
      <c r="S11" s="2308"/>
      <c r="T11" s="2309"/>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303" t="s">
        <v>1107</v>
      </c>
      <c r="I18" s="2303"/>
      <c r="J18" s="2304"/>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303" t="s">
        <v>1111</v>
      </c>
      <c r="I20" s="2303"/>
      <c r="J20" s="2304"/>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303" t="s">
        <v>1119</v>
      </c>
      <c r="I24" s="2303"/>
      <c r="J24" s="2304"/>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303" t="s">
        <v>1122</v>
      </c>
      <c r="I26" s="2303"/>
      <c r="J26" s="2304"/>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303" t="s">
        <v>1107</v>
      </c>
      <c r="B27" s="2303"/>
      <c r="C27" s="2303"/>
      <c r="D27" s="2304"/>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303" t="s">
        <v>1107</v>
      </c>
      <c r="R27" s="2303"/>
      <c r="S27" s="2303"/>
      <c r="T27" s="2304"/>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303" t="s">
        <v>1125</v>
      </c>
      <c r="I28" s="2303"/>
      <c r="J28" s="2304"/>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305" t="s">
        <v>1111</v>
      </c>
      <c r="B30" s="2305"/>
      <c r="C30" s="2305"/>
      <c r="D30" s="2306"/>
      <c r="E30" s="1192"/>
      <c r="F30" s="1192"/>
      <c r="G30" s="1192"/>
      <c r="H30" s="268"/>
      <c r="I30" s="268"/>
      <c r="J30" s="1200">
        <f>IF(ТрЗ_ОВ!$C$107="PT xSpider",I3*(SUM(J13,J15:J17)),0)</f>
        <v>0</v>
      </c>
      <c r="K30" s="1200"/>
      <c r="L30" s="1200"/>
      <c r="M30" s="1200"/>
      <c r="N30" s="1200"/>
      <c r="O30" s="1200"/>
      <c r="P30" s="1200"/>
      <c r="Q30" s="2303" t="s">
        <v>1111</v>
      </c>
      <c r="R30" s="2303"/>
      <c r="S30" s="2303"/>
      <c r="T30" s="2304"/>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303" t="s">
        <v>1119</v>
      </c>
      <c r="B35" s="2303"/>
      <c r="C35" s="2303"/>
      <c r="D35" s="2304"/>
      <c r="E35" s="1192"/>
      <c r="F35" s="1192"/>
      <c r="G35" s="1192"/>
      <c r="J35" t="s">
        <v>902</v>
      </c>
      <c r="K35">
        <f t="shared" ref="K35:P35" si="3">ROUNDUP(K31/8,0)</f>
        <v>0</v>
      </c>
      <c r="L35">
        <f t="shared" si="3"/>
        <v>0</v>
      </c>
      <c r="M35">
        <f t="shared" si="3"/>
        <v>0</v>
      </c>
      <c r="N35">
        <f t="shared" si="3"/>
        <v>0</v>
      </c>
      <c r="O35">
        <f t="shared" si="3"/>
        <v>0</v>
      </c>
      <c r="P35">
        <f t="shared" si="3"/>
        <v>0</v>
      </c>
      <c r="Q35" s="2303" t="s">
        <v>1119</v>
      </c>
      <c r="R35" s="2303"/>
      <c r="S35" s="2303"/>
      <c r="T35" s="2304"/>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303" t="s">
        <v>1135</v>
      </c>
      <c r="B37" s="2303"/>
      <c r="C37" s="2303"/>
      <c r="D37" s="2304"/>
      <c r="E37" s="1192"/>
      <c r="F37" s="1192"/>
      <c r="G37" s="1192"/>
      <c r="Q37" s="2303" t="s">
        <v>1135</v>
      </c>
      <c r="R37" s="2303"/>
      <c r="S37" s="2303"/>
      <c r="T37" s="2304"/>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303" t="s">
        <v>1122</v>
      </c>
      <c r="B39" s="2303"/>
      <c r="C39" s="2303"/>
      <c r="D39" s="2304"/>
      <c r="E39" s="1192"/>
      <c r="F39" s="1192"/>
      <c r="G39" s="1192"/>
      <c r="Q39" s="2303" t="s">
        <v>1122</v>
      </c>
      <c r="R39" s="2303"/>
      <c r="S39" s="2303"/>
      <c r="T39" s="2304"/>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303" t="s">
        <v>1125</v>
      </c>
      <c r="B41" s="2303"/>
      <c r="C41" s="2303"/>
      <c r="D41" s="2304"/>
      <c r="E41" s="1192"/>
      <c r="F41" s="1192"/>
      <c r="G41" s="1192"/>
      <c r="Q41" s="2303" t="s">
        <v>1125</v>
      </c>
      <c r="R41" s="2303"/>
      <c r="S41" s="2303"/>
      <c r="T41" s="2304"/>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91" t="s">
        <v>874</v>
      </c>
      <c r="D1" s="2292"/>
      <c r="E1" s="2293"/>
      <c r="F1" s="1157" t="s">
        <v>52</v>
      </c>
      <c r="G1" s="2291" t="s">
        <v>715</v>
      </c>
      <c r="H1" s="2292"/>
      <c r="I1" s="2293"/>
      <c r="J1" s="2291" t="s">
        <v>714</v>
      </c>
      <c r="K1" s="2292"/>
      <c r="L1" s="2293"/>
      <c r="M1" s="2291" t="s">
        <v>713</v>
      </c>
      <c r="N1" s="2292"/>
      <c r="O1" s="2293"/>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34" t="s">
        <v>41</v>
      </c>
      <c r="E1" s="1934"/>
      <c r="F1" s="1934"/>
      <c r="G1" s="1934"/>
      <c r="H1" s="1930" t="s">
        <v>367</v>
      </c>
      <c r="I1" s="1931"/>
      <c r="J1" s="1931"/>
      <c r="K1" s="1932"/>
      <c r="L1" s="1930" t="s">
        <v>368</v>
      </c>
      <c r="M1" s="1931"/>
      <c r="N1" s="1931"/>
      <c r="O1" s="1932"/>
      <c r="P1" s="1930" t="s">
        <v>369</v>
      </c>
      <c r="Q1" s="1931"/>
      <c r="R1" s="1931"/>
      <c r="S1" s="1932"/>
      <c r="T1" s="1930" t="s">
        <v>370</v>
      </c>
      <c r="U1" s="1931"/>
      <c r="V1" s="1931"/>
      <c r="W1" s="1932"/>
    </row>
    <row r="2" spans="1:23" ht="15.75" x14ac:dyDescent="0.25">
      <c r="B2" s="41" t="s">
        <v>37</v>
      </c>
      <c r="C2" s="1940" t="s">
        <v>35</v>
      </c>
      <c r="D2" s="632" t="s">
        <v>575</v>
      </c>
      <c r="E2" s="633" t="s">
        <v>102</v>
      </c>
      <c r="F2" s="633" t="s">
        <v>103</v>
      </c>
      <c r="G2" s="1978" t="s">
        <v>38</v>
      </c>
      <c r="H2" s="632" t="s">
        <v>575</v>
      </c>
      <c r="I2" s="633" t="s">
        <v>102</v>
      </c>
      <c r="J2" s="633" t="s">
        <v>103</v>
      </c>
      <c r="K2" s="1982" t="s">
        <v>38</v>
      </c>
      <c r="L2" s="632" t="s">
        <v>575</v>
      </c>
      <c r="M2" s="633" t="s">
        <v>102</v>
      </c>
      <c r="N2" s="633" t="s">
        <v>103</v>
      </c>
      <c r="O2" s="1982" t="s">
        <v>38</v>
      </c>
      <c r="P2" s="632" t="s">
        <v>575</v>
      </c>
      <c r="Q2" s="633" t="s">
        <v>102</v>
      </c>
      <c r="R2" s="633" t="s">
        <v>103</v>
      </c>
      <c r="S2" s="1982" t="s">
        <v>38</v>
      </c>
      <c r="T2" s="632" t="s">
        <v>575</v>
      </c>
      <c r="U2" s="633" t="s">
        <v>102</v>
      </c>
      <c r="V2" s="633" t="s">
        <v>103</v>
      </c>
      <c r="W2" s="1982" t="s">
        <v>38</v>
      </c>
    </row>
    <row r="3" spans="1:23" ht="16.5" thickBot="1" x14ac:dyDescent="0.3">
      <c r="A3" s="12" t="s">
        <v>36</v>
      </c>
      <c r="B3" s="42">
        <f xml:space="preserve"> ТрЗ_ОП!F5</f>
        <v>1</v>
      </c>
      <c r="C3" s="1941"/>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82"/>
      <c r="L3" s="40">
        <f>INDEX(ТрЗ_ОП!$P$11:$P$102,MATCH(L2,ТрЗ_ОП!$O$11:$O$102,0))</f>
        <v>0</v>
      </c>
      <c r="M3" s="40">
        <f>INDEX(ТрЗ_ОП!$P$11:$P$102,MATCH(M2,ТрЗ_ОП!$O$11:$O$102,0))</f>
        <v>0</v>
      </c>
      <c r="N3" s="40">
        <f>INDEX(ТрЗ_ОП!$P$11:$P$102,MATCH(N2,ТрЗ_ОП!$O$11:$O$102,0))</f>
        <v>0</v>
      </c>
      <c r="O3" s="1982"/>
      <c r="P3" s="40">
        <f>INDEX(ТрЗ_ОП!$P$11:$P$102,MATCH(P2,ТрЗ_ОП!$O$11:$O$102,0))</f>
        <v>0</v>
      </c>
      <c r="Q3" s="40">
        <f>INDEX(ТрЗ_ОП!$P$11:$P$102,MATCH(Q2,ТрЗ_ОП!$O$11:$O$102,0))</f>
        <v>0</v>
      </c>
      <c r="R3" s="40">
        <f>INDEX(ТрЗ_ОП!$P$11:$P$102,MATCH(R2,ТрЗ_ОП!$O$11:$O$102,0))</f>
        <v>0</v>
      </c>
      <c r="S3" s="1982"/>
      <c r="T3" s="40">
        <f>INDEX(ТрЗ_ОП!$P$11:$P$102,MATCH(T2,ТрЗ_ОП!$O$11:$O$102,0))</f>
        <v>0</v>
      </c>
      <c r="U3" s="40">
        <f>INDEX(ТрЗ_ОП!$P$11:$P$102,MATCH(U2,ТрЗ_ОП!$O$11:$O$102,0))</f>
        <v>0</v>
      </c>
      <c r="V3" s="40">
        <f>INDEX(ТрЗ_ОП!$P$11:$P$102,MATCH(V2,ТрЗ_ОП!$O$11:$O$102,0))</f>
        <v>0</v>
      </c>
      <c r="W3" s="1982"/>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2"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42"/>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42"/>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310"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42"/>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42"/>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2"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42"/>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42"/>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9"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38"/>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38"/>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38"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38"/>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38"/>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38"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38"/>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38"/>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38"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38"/>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38"/>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38"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38"/>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38"/>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38"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38"/>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38"/>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38"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38"/>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36"/>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42"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42"/>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42"/>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42"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42"/>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42"/>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35"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35"/>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35"/>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35"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35"/>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35"/>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35"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35"/>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35"/>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35"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35"/>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35"/>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35"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35"/>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35"/>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35"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35"/>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35"/>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35"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35"/>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35"/>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35"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35"/>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35"/>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45"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45"/>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45"/>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35"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35"/>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35"/>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35"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35"/>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35"/>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35"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35"/>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35"/>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35"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35"/>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35"/>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44"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44"/>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44"/>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42"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42"/>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42"/>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73"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73"/>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73"/>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73"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73"/>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73"/>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73"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73"/>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73"/>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73"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73"/>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73"/>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922"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922"/>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74"/>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84" t="s">
        <v>40</v>
      </c>
      <c r="E1" s="1985"/>
      <c r="F1" s="1985"/>
      <c r="G1" s="1986"/>
      <c r="H1" s="1984" t="s">
        <v>355</v>
      </c>
      <c r="I1" s="1985"/>
      <c r="J1" s="1985"/>
      <c r="K1" s="1986"/>
    </row>
    <row r="2" spans="1:11" ht="31.5" x14ac:dyDescent="0.25">
      <c r="B2" s="41" t="s">
        <v>37</v>
      </c>
      <c r="C2" s="2311" t="s">
        <v>35</v>
      </c>
      <c r="D2" s="451" t="s">
        <v>1800</v>
      </c>
      <c r="E2" s="451" t="s">
        <v>95</v>
      </c>
      <c r="F2" s="451" t="s">
        <v>1784</v>
      </c>
      <c r="G2" s="2312" t="s">
        <v>38</v>
      </c>
      <c r="H2" s="451" t="s">
        <v>1800</v>
      </c>
      <c r="I2" s="451" t="s">
        <v>95</v>
      </c>
      <c r="J2" s="451" t="s">
        <v>1784</v>
      </c>
      <c r="K2" s="1982" t="s">
        <v>38</v>
      </c>
    </row>
    <row r="3" spans="1:11" ht="16.5" thickBot="1" x14ac:dyDescent="0.3">
      <c r="A3" s="12" t="s">
        <v>36</v>
      </c>
      <c r="B3" s="42">
        <f>ТрЗ_ОП!F5</f>
        <v>1</v>
      </c>
      <c r="C3" s="1941"/>
      <c r="D3" s="421">
        <f>INDEX(ТрЗ_ОП!$P$11:$P$102,MATCH(D2,ТрЗ_ОП!$O$11:$O$102,0))</f>
        <v>0</v>
      </c>
      <c r="E3" s="421">
        <f>INDEX(ТрЗ_ОП!$P$11:$P$102,MATCH(E2,ТрЗ_ОП!$O$11:$O$102,0))</f>
        <v>0</v>
      </c>
      <c r="F3" s="421">
        <f>INDEX(ТрЗ_ОП!$P$11:$P$102,MATCH(F2,ТрЗ_ОП!$O$11:$O$102,0))</f>
        <v>0</v>
      </c>
      <c r="G3" s="2312"/>
      <c r="H3" s="421">
        <f>INDEX(ТрЗ_ОП!$P$11:$P$102,MATCH(H2,ТрЗ_ОП!$O$11:$O$102,0))</f>
        <v>0</v>
      </c>
      <c r="I3" s="421">
        <f>INDEX(ТрЗ_ОП!$P$11:$P$102,MATCH(I2,ТрЗ_ОП!$O$11:$O$102,0))</f>
        <v>0</v>
      </c>
      <c r="J3" s="421">
        <f>INDEX(ТрЗ_ОП!$P$11:$P$102,MATCH(J2,ТрЗ_ОП!$O$11:$O$102,0))</f>
        <v>0</v>
      </c>
      <c r="K3" s="1982"/>
    </row>
    <row r="4" spans="1:11" ht="16.5" thickBot="1" x14ac:dyDescent="0.3">
      <c r="A4" s="326" t="s">
        <v>448</v>
      </c>
      <c r="B4" s="327"/>
      <c r="C4" s="327"/>
      <c r="D4" s="327"/>
      <c r="E4" s="327"/>
      <c r="F4" s="327"/>
      <c r="G4" s="327"/>
      <c r="H4" s="327"/>
      <c r="I4" s="327"/>
      <c r="J4" s="327"/>
      <c r="K4" s="396"/>
    </row>
    <row r="5" spans="1:11" x14ac:dyDescent="0.25">
      <c r="A5" s="1942"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42"/>
      <c r="B6" s="19" t="s">
        <v>33</v>
      </c>
      <c r="C6" s="817"/>
      <c r="D6" s="446">
        <v>1</v>
      </c>
      <c r="E6" s="814">
        <v>0</v>
      </c>
      <c r="F6" s="630">
        <f>IF(F$3=1,3,0)</f>
        <v>0</v>
      </c>
      <c r="G6" s="21">
        <f xml:space="preserve"> SUM(D6:F6) + $C6</f>
        <v>1</v>
      </c>
      <c r="H6" s="446">
        <v>1</v>
      </c>
      <c r="I6" s="814">
        <v>0</v>
      </c>
      <c r="J6" s="630">
        <f>IF(J$3=1,3,0)</f>
        <v>0</v>
      </c>
      <c r="K6" s="21">
        <f t="shared" si="2"/>
        <v>1</v>
      </c>
    </row>
    <row r="7" spans="1:11" x14ac:dyDescent="0.25">
      <c r="A7" s="1942"/>
      <c r="B7" s="13" t="s">
        <v>34</v>
      </c>
      <c r="C7" s="820"/>
      <c r="D7" s="446">
        <v>2</v>
      </c>
      <c r="E7" s="814">
        <v>0</v>
      </c>
      <c r="F7" s="630">
        <f>IF(F$3=1,6,0)</f>
        <v>0</v>
      </c>
      <c r="G7" s="21">
        <f xml:space="preserve"> SUM(D7:F7) + $C7</f>
        <v>2</v>
      </c>
      <c r="H7" s="446">
        <v>2</v>
      </c>
      <c r="I7" s="814">
        <v>0</v>
      </c>
      <c r="J7" s="630">
        <f>IF(J$3=1,6,0)</f>
        <v>0</v>
      </c>
      <c r="K7" s="21">
        <f t="shared" si="2"/>
        <v>2</v>
      </c>
    </row>
    <row r="8" spans="1:11" x14ac:dyDescent="0.25">
      <c r="A8" s="2310" t="s">
        <v>449</v>
      </c>
      <c r="B8" s="1728" t="s">
        <v>32</v>
      </c>
      <c r="C8" s="1729"/>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42"/>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42"/>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52"/>
      <c r="D11" s="327"/>
      <c r="E11" s="327"/>
      <c r="F11" s="327"/>
      <c r="G11" s="329"/>
      <c r="H11" s="327"/>
      <c r="I11" s="327"/>
      <c r="J11" s="327"/>
      <c r="K11" s="396"/>
    </row>
    <row r="12" spans="1:11" x14ac:dyDescent="0.25">
      <c r="A12" s="1942"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42"/>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42"/>
      <c r="B14" s="13" t="s">
        <v>34</v>
      </c>
      <c r="C14" s="820"/>
      <c r="D14" s="1749">
        <v>4</v>
      </c>
      <c r="E14" s="478">
        <f>IF(E$3&gt;3,0.25*E$3,0.5)</f>
        <v>0.5</v>
      </c>
      <c r="F14" s="630">
        <f>IF(F$3=1,32,0)</f>
        <v>0</v>
      </c>
      <c r="G14" s="77">
        <f t="shared" si="3"/>
        <v>4.5</v>
      </c>
      <c r="H14" s="1749">
        <v>4</v>
      </c>
      <c r="I14" s="478">
        <f>IF(I$3&gt;3,0.25*I$3,0.5)</f>
        <v>0.5</v>
      </c>
      <c r="J14" s="630">
        <f>IF(J$3=1,32,0)</f>
        <v>0</v>
      </c>
      <c r="K14" s="77">
        <f xml:space="preserve"> SUM(H14:J14) + $C14</f>
        <v>4.5</v>
      </c>
    </row>
    <row r="15" spans="1:11" ht="16.5" thickBot="1" x14ac:dyDescent="0.3">
      <c r="A15" s="330" t="s">
        <v>3</v>
      </c>
      <c r="B15" s="329"/>
      <c r="C15" s="1753"/>
      <c r="D15" s="329"/>
      <c r="E15" s="329"/>
      <c r="F15" s="329"/>
      <c r="G15" s="329"/>
      <c r="H15" s="329"/>
      <c r="I15" s="329"/>
      <c r="J15" s="329"/>
      <c r="K15" s="396"/>
    </row>
    <row r="16" spans="1:11" x14ac:dyDescent="0.25">
      <c r="A16" s="1939"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38"/>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38"/>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38"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38"/>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38"/>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38"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38"/>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38"/>
      <c r="B24" s="19" t="s">
        <v>34</v>
      </c>
      <c r="C24" s="817"/>
      <c r="D24" s="1749">
        <v>4</v>
      </c>
      <c r="E24" s="478">
        <f>IF(E$3&gt;3,0.25*E$3,0.5)</f>
        <v>0.5</v>
      </c>
      <c r="F24" s="630">
        <f>IF(F$3=1,32,0)</f>
        <v>0</v>
      </c>
      <c r="G24" s="21">
        <f t="shared" si="3"/>
        <v>4.5</v>
      </c>
      <c r="H24" s="1749">
        <v>4</v>
      </c>
      <c r="I24" s="478">
        <f>IF(I$3&gt;3,0.25*I$3,0.5)</f>
        <v>0.5</v>
      </c>
      <c r="J24" s="630">
        <f>IF(J$3=1,32,0)</f>
        <v>0</v>
      </c>
      <c r="K24" s="21">
        <f t="shared" si="4"/>
        <v>4.5</v>
      </c>
    </row>
    <row r="25" spans="1:11" x14ac:dyDescent="0.25">
      <c r="A25" s="1938" t="s">
        <v>7</v>
      </c>
      <c r="B25" s="1728" t="s">
        <v>32</v>
      </c>
      <c r="C25" s="1729"/>
      <c r="D25" s="1735">
        <v>2</v>
      </c>
      <c r="E25" s="1736">
        <v>0</v>
      </c>
      <c r="F25" s="1737">
        <v>0</v>
      </c>
      <c r="G25" s="1730">
        <f t="shared" si="3"/>
        <v>2</v>
      </c>
      <c r="H25" s="1735">
        <v>2</v>
      </c>
      <c r="I25" s="1736">
        <v>0</v>
      </c>
      <c r="J25" s="1737">
        <v>0</v>
      </c>
      <c r="K25" s="1730">
        <f t="shared" si="4"/>
        <v>2</v>
      </c>
    </row>
    <row r="26" spans="1:11" x14ac:dyDescent="0.25">
      <c r="A26" s="1938"/>
      <c r="B26" s="19" t="s">
        <v>33</v>
      </c>
      <c r="C26" s="817"/>
      <c r="D26" s="38">
        <v>2</v>
      </c>
      <c r="E26" s="15">
        <v>0</v>
      </c>
      <c r="F26" s="630">
        <f>IF(F$3=1,12,0)</f>
        <v>0</v>
      </c>
      <c r="G26" s="21">
        <f t="shared" si="3"/>
        <v>2</v>
      </c>
      <c r="H26" s="821">
        <v>2</v>
      </c>
      <c r="I26" s="814">
        <v>0</v>
      </c>
      <c r="J26" s="630">
        <f>IF(J$3=1,12,0)</f>
        <v>0</v>
      </c>
      <c r="K26" s="21">
        <f t="shared" si="4"/>
        <v>2</v>
      </c>
    </row>
    <row r="27" spans="1:11" x14ac:dyDescent="0.25">
      <c r="A27" s="1938"/>
      <c r="B27" s="19" t="s">
        <v>34</v>
      </c>
      <c r="C27" s="817"/>
      <c r="D27" s="807">
        <v>4</v>
      </c>
      <c r="E27" s="15">
        <v>0</v>
      </c>
      <c r="F27" s="630">
        <f>IF(F$3=1,20,0)</f>
        <v>0</v>
      </c>
      <c r="G27" s="21">
        <f t="shared" si="3"/>
        <v>4</v>
      </c>
      <c r="H27" s="807">
        <v>4</v>
      </c>
      <c r="I27" s="814">
        <v>0</v>
      </c>
      <c r="J27" s="630">
        <f>IF(J$3=1,20,0)</f>
        <v>0</v>
      </c>
      <c r="K27" s="21">
        <f t="shared" si="4"/>
        <v>4</v>
      </c>
    </row>
    <row r="28" spans="1:11" x14ac:dyDescent="0.25">
      <c r="A28" s="1938" t="s">
        <v>8</v>
      </c>
      <c r="B28" s="1728" t="s">
        <v>32</v>
      </c>
      <c r="C28" s="1729"/>
      <c r="D28" s="1735">
        <v>2</v>
      </c>
      <c r="E28" s="1736">
        <v>0</v>
      </c>
      <c r="F28" s="1738">
        <v>0</v>
      </c>
      <c r="G28" s="1730">
        <f t="shared" si="3"/>
        <v>2</v>
      </c>
      <c r="H28" s="1735">
        <v>2</v>
      </c>
      <c r="I28" s="1736">
        <v>0</v>
      </c>
      <c r="J28" s="1738">
        <v>0</v>
      </c>
      <c r="K28" s="1730">
        <f t="shared" si="4"/>
        <v>2</v>
      </c>
    </row>
    <row r="29" spans="1:11" x14ac:dyDescent="0.25">
      <c r="A29" s="1938"/>
      <c r="B29" s="19" t="s">
        <v>33</v>
      </c>
      <c r="C29" s="817"/>
      <c r="D29" s="38">
        <v>4</v>
      </c>
      <c r="E29" s="15">
        <v>0</v>
      </c>
      <c r="F29" s="630">
        <f>IF(F$3=1,12,0)</f>
        <v>0</v>
      </c>
      <c r="G29" s="21">
        <f t="shared" si="3"/>
        <v>4</v>
      </c>
      <c r="H29" s="821">
        <v>4</v>
      </c>
      <c r="I29" s="814">
        <v>0</v>
      </c>
      <c r="J29" s="630">
        <f>IF(J$3=1,12,0)</f>
        <v>0</v>
      </c>
      <c r="K29" s="21">
        <f t="shared" si="4"/>
        <v>4</v>
      </c>
    </row>
    <row r="30" spans="1:11" x14ac:dyDescent="0.25">
      <c r="A30" s="1938"/>
      <c r="B30" s="19" t="s">
        <v>34</v>
      </c>
      <c r="C30" s="817"/>
      <c r="D30" s="807">
        <v>6</v>
      </c>
      <c r="E30" s="15">
        <v>0</v>
      </c>
      <c r="F30" s="630">
        <f>IF(F$3=1,20,0)</f>
        <v>0</v>
      </c>
      <c r="G30" s="21">
        <f t="shared" si="3"/>
        <v>6</v>
      </c>
      <c r="H30" s="807">
        <v>6</v>
      </c>
      <c r="I30" s="814">
        <v>0</v>
      </c>
      <c r="J30" s="630">
        <f>IF(J$3=1,20,0)</f>
        <v>0</v>
      </c>
      <c r="K30" s="21">
        <f t="shared" si="4"/>
        <v>6</v>
      </c>
    </row>
    <row r="31" spans="1:11" x14ac:dyDescent="0.25">
      <c r="A31" s="1938"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38"/>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38"/>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38"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38"/>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36"/>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53"/>
      <c r="D37" s="329"/>
      <c r="E37" s="329"/>
      <c r="F37" s="329"/>
      <c r="G37" s="329"/>
      <c r="H37" s="329"/>
      <c r="I37" s="329"/>
      <c r="J37" s="329"/>
      <c r="K37" s="396"/>
    </row>
    <row r="38" spans="1:11" x14ac:dyDescent="0.25">
      <c r="A38" s="1942" t="s">
        <v>559</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42"/>
      <c r="B39" s="19" t="s">
        <v>33</v>
      </c>
      <c r="C39" s="817"/>
      <c r="D39" s="1750">
        <v>8</v>
      </c>
      <c r="E39" s="478">
        <f>IF(E$3&gt;3,0.5*E$3,1)</f>
        <v>1</v>
      </c>
      <c r="F39" s="630">
        <f>IF(F$3=1,16,0)</f>
        <v>0</v>
      </c>
      <c r="G39" s="21">
        <f t="shared" si="3"/>
        <v>9</v>
      </c>
      <c r="H39" s="1750">
        <v>8</v>
      </c>
      <c r="I39" s="478">
        <f>IF(I$3&gt;3,0.5*I$3,1)</f>
        <v>1</v>
      </c>
      <c r="J39" s="630">
        <f>IF(J$3=1,16,0)</f>
        <v>0</v>
      </c>
      <c r="K39" s="21">
        <f xml:space="preserve"> SUM(H39:J39) + $C39</f>
        <v>9</v>
      </c>
    </row>
    <row r="40" spans="1:11" ht="15.75" thickBot="1" x14ac:dyDescent="0.3">
      <c r="A40" s="1942"/>
      <c r="B40" s="13" t="s">
        <v>34</v>
      </c>
      <c r="C40" s="820"/>
      <c r="D40" s="1750">
        <v>12</v>
      </c>
      <c r="E40" s="478">
        <f>IF(E$3&gt;3,0.5*E$3,1)</f>
        <v>1</v>
      </c>
      <c r="F40" s="630">
        <f>IF(F$3=1,24,0)</f>
        <v>0</v>
      </c>
      <c r="G40" s="77">
        <f t="shared" si="3"/>
        <v>13</v>
      </c>
      <c r="H40" s="1750">
        <v>12</v>
      </c>
      <c r="I40" s="478">
        <f>IF(I$3&gt;3,0.5*I$3,1)</f>
        <v>1</v>
      </c>
      <c r="J40" s="630">
        <f>IF(J$3=1,24,0)</f>
        <v>0</v>
      </c>
      <c r="K40" s="77">
        <f xml:space="preserve"> SUM(H40:J40) + $C40</f>
        <v>13</v>
      </c>
    </row>
    <row r="41" spans="1:11" ht="16.5" thickBot="1" x14ac:dyDescent="0.3">
      <c r="A41" s="330" t="s">
        <v>13</v>
      </c>
      <c r="B41" s="329"/>
      <c r="C41" s="1753"/>
      <c r="D41" s="329"/>
      <c r="E41" s="329"/>
      <c r="F41" s="329"/>
      <c r="G41" s="329"/>
      <c r="H41" s="329"/>
      <c r="I41" s="329"/>
      <c r="J41" s="329"/>
      <c r="K41" s="396"/>
    </row>
    <row r="42" spans="1:11" x14ac:dyDescent="0.25">
      <c r="A42" s="1942" t="s">
        <v>558</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42"/>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42"/>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35"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5"/>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35"/>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35" t="s">
        <v>555</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5"/>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35"/>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35" t="s">
        <v>556</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5"/>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35"/>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35" t="s">
        <v>557</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5"/>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35"/>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35" t="s">
        <v>19</v>
      </c>
      <c r="B57" s="1728" t="s">
        <v>32</v>
      </c>
      <c r="C57" s="1729"/>
      <c r="D57" s="1735">
        <v>2</v>
      </c>
      <c r="E57" s="1736">
        <v>0</v>
      </c>
      <c r="F57" s="1736">
        <v>0</v>
      </c>
      <c r="G57" s="1730">
        <f t="shared" si="3"/>
        <v>2</v>
      </c>
      <c r="H57" s="1735">
        <v>2</v>
      </c>
      <c r="I57" s="1736">
        <v>0</v>
      </c>
      <c r="J57" s="1736">
        <v>0</v>
      </c>
      <c r="K57" s="1730">
        <f t="shared" si="7"/>
        <v>2</v>
      </c>
    </row>
    <row r="58" spans="1:11" x14ac:dyDescent="0.25">
      <c r="A58" s="1935"/>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35"/>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35"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5"/>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35"/>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35"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5"/>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5"/>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5"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5"/>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35"/>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45"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45"/>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45"/>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5"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5"/>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5"/>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5"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5"/>
      <c r="B76" s="19" t="s">
        <v>33</v>
      </c>
      <c r="C76" s="817"/>
      <c r="D76" s="38" t="s">
        <v>90</v>
      </c>
      <c r="E76" s="38" t="s">
        <v>90</v>
      </c>
      <c r="F76" s="38" t="s">
        <v>90</v>
      </c>
      <c r="G76" s="21">
        <f t="shared" si="3"/>
        <v>0</v>
      </c>
      <c r="H76" s="821" t="s">
        <v>90</v>
      </c>
      <c r="I76" s="821" t="s">
        <v>90</v>
      </c>
      <c r="J76" s="821" t="s">
        <v>90</v>
      </c>
      <c r="K76" s="21">
        <f t="shared" si="7"/>
        <v>0</v>
      </c>
    </row>
    <row r="77" spans="1:11" x14ac:dyDescent="0.25">
      <c r="A77" s="1935"/>
      <c r="B77" s="13" t="s">
        <v>34</v>
      </c>
      <c r="C77" s="820"/>
      <c r="D77" s="38" t="s">
        <v>90</v>
      </c>
      <c r="E77" s="38" t="s">
        <v>90</v>
      </c>
      <c r="F77" s="38" t="s">
        <v>90</v>
      </c>
      <c r="G77" s="21">
        <f t="shared" si="3"/>
        <v>0</v>
      </c>
      <c r="H77" s="821" t="s">
        <v>90</v>
      </c>
      <c r="I77" s="821" t="s">
        <v>90</v>
      </c>
      <c r="J77" s="821" t="s">
        <v>90</v>
      </c>
      <c r="K77" s="21">
        <f t="shared" si="7"/>
        <v>0</v>
      </c>
    </row>
    <row r="78" spans="1:11" x14ac:dyDescent="0.25">
      <c r="A78" s="1935"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5"/>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35"/>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35"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5"/>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35"/>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44"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44"/>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44"/>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53"/>
      <c r="D87" s="329"/>
      <c r="E87" s="329"/>
      <c r="F87" s="329"/>
      <c r="G87" s="329"/>
      <c r="H87" s="329"/>
      <c r="I87" s="329"/>
      <c r="J87" s="329"/>
      <c r="K87" s="396"/>
    </row>
    <row r="88" spans="1:11" x14ac:dyDescent="0.25">
      <c r="A88" s="1942" t="s">
        <v>23</v>
      </c>
      <c r="B88" s="1723" t="s">
        <v>32</v>
      </c>
      <c r="C88" s="1724"/>
      <c r="D88" s="1732">
        <v>0.25</v>
      </c>
      <c r="E88" s="1733">
        <v>0</v>
      </c>
      <c r="F88" s="1743">
        <v>0</v>
      </c>
      <c r="G88" s="1727">
        <f t="shared" si="3"/>
        <v>0.25</v>
      </c>
      <c r="H88" s="1732">
        <v>0.25</v>
      </c>
      <c r="I88" s="1733">
        <v>0</v>
      </c>
      <c r="J88" s="1743">
        <v>0</v>
      </c>
      <c r="K88" s="1727">
        <f t="shared" ref="K88:K93" si="12" xml:space="preserve"> SUM(H88:J88) + $C88</f>
        <v>0.25</v>
      </c>
    </row>
    <row r="89" spans="1:11" x14ac:dyDescent="0.25">
      <c r="A89" s="1942"/>
      <c r="B89" s="19" t="s">
        <v>33</v>
      </c>
      <c r="C89" s="817"/>
      <c r="D89" s="482" t="s">
        <v>1772</v>
      </c>
      <c r="E89" s="482" t="s">
        <v>1772</v>
      </c>
      <c r="F89" s="482" t="s">
        <v>1772</v>
      </c>
      <c r="G89" s="21">
        <f t="shared" si="3"/>
        <v>0</v>
      </c>
      <c r="H89" s="482" t="s">
        <v>1772</v>
      </c>
      <c r="I89" s="482" t="s">
        <v>1772</v>
      </c>
      <c r="J89" s="482" t="s">
        <v>1772</v>
      </c>
      <c r="K89" s="21">
        <f t="shared" si="12"/>
        <v>0</v>
      </c>
    </row>
    <row r="90" spans="1:11" x14ac:dyDescent="0.25">
      <c r="A90" s="1942"/>
      <c r="B90" s="19" t="s">
        <v>34</v>
      </c>
      <c r="C90" s="817"/>
      <c r="D90" s="482" t="s">
        <v>1772</v>
      </c>
      <c r="E90" s="482" t="s">
        <v>1772</v>
      </c>
      <c r="F90" s="482" t="s">
        <v>1772</v>
      </c>
      <c r="G90" s="21">
        <f t="shared" si="3"/>
        <v>0</v>
      </c>
      <c r="H90" s="482" t="s">
        <v>1772</v>
      </c>
      <c r="I90" s="482" t="s">
        <v>1772</v>
      </c>
      <c r="J90" s="482" t="s">
        <v>1772</v>
      </c>
      <c r="K90" s="21">
        <f t="shared" si="12"/>
        <v>0</v>
      </c>
    </row>
    <row r="91" spans="1:11" x14ac:dyDescent="0.25">
      <c r="A91" s="1935" t="s">
        <v>24</v>
      </c>
      <c r="B91" s="1728" t="s">
        <v>32</v>
      </c>
      <c r="C91" s="1729"/>
      <c r="D91" s="1735">
        <v>6</v>
      </c>
      <c r="E91" s="1737">
        <f>1*E$3</f>
        <v>0</v>
      </c>
      <c r="F91" s="1744">
        <f>0.5*F$3</f>
        <v>0</v>
      </c>
      <c r="G91" s="1730">
        <f t="shared" si="3"/>
        <v>6</v>
      </c>
      <c r="H91" s="1735">
        <v>6</v>
      </c>
      <c r="I91" s="1737">
        <f>1*I$3</f>
        <v>0</v>
      </c>
      <c r="J91" s="1744">
        <f>0.5*J$3</f>
        <v>0</v>
      </c>
      <c r="K91" s="1730">
        <f t="shared" si="12"/>
        <v>6</v>
      </c>
    </row>
    <row r="92" spans="1:11" x14ac:dyDescent="0.25">
      <c r="A92" s="1935"/>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35"/>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35" t="s">
        <v>25</v>
      </c>
      <c r="B94" s="1728" t="s">
        <v>32</v>
      </c>
      <c r="C94" s="1729"/>
      <c r="D94" s="1735">
        <v>2</v>
      </c>
      <c r="E94" s="1738">
        <v>0</v>
      </c>
      <c r="F94" s="1741">
        <v>0</v>
      </c>
      <c r="G94" s="1730">
        <f t="shared" ref="G94:G105" si="13" xml:space="preserve"> SUM(D94:F94) + $C94</f>
        <v>2</v>
      </c>
      <c r="H94" s="1735">
        <v>2</v>
      </c>
      <c r="I94" s="1738">
        <v>0</v>
      </c>
      <c r="J94" s="1741">
        <v>0</v>
      </c>
      <c r="K94" s="1730">
        <f t="shared" ref="K94:K105" si="14" xml:space="preserve"> SUM(H94:J94) + $C94</f>
        <v>2</v>
      </c>
    </row>
    <row r="95" spans="1:11" x14ac:dyDescent="0.25">
      <c r="A95" s="1935"/>
      <c r="B95" s="19" t="s">
        <v>33</v>
      </c>
      <c r="C95" s="817"/>
      <c r="D95" s="821">
        <v>2</v>
      </c>
      <c r="E95" s="33">
        <v>0</v>
      </c>
      <c r="F95" s="630">
        <f>IF(F$3=1,8,0)</f>
        <v>0</v>
      </c>
      <c r="G95" s="21">
        <f t="shared" si="13"/>
        <v>2</v>
      </c>
      <c r="H95" s="821">
        <v>2</v>
      </c>
      <c r="I95" s="819">
        <v>0</v>
      </c>
      <c r="J95" s="630">
        <f>IF(J$3=1,8,0)</f>
        <v>0</v>
      </c>
      <c r="K95" s="21">
        <f t="shared" si="14"/>
        <v>2</v>
      </c>
    </row>
    <row r="96" spans="1:11" x14ac:dyDescent="0.25">
      <c r="A96" s="1935"/>
      <c r="B96" s="19" t="s">
        <v>34</v>
      </c>
      <c r="C96" s="817"/>
      <c r="D96" s="821">
        <v>4</v>
      </c>
      <c r="E96" s="33">
        <v>0</v>
      </c>
      <c r="F96" s="630">
        <f>IF(F$3=1,12,0)</f>
        <v>0</v>
      </c>
      <c r="G96" s="21">
        <f t="shared" si="13"/>
        <v>4</v>
      </c>
      <c r="H96" s="821">
        <v>4</v>
      </c>
      <c r="I96" s="819">
        <v>0</v>
      </c>
      <c r="J96" s="630">
        <f>IF(J$3=1,12,0)</f>
        <v>0</v>
      </c>
      <c r="K96" s="21">
        <f t="shared" si="14"/>
        <v>4</v>
      </c>
    </row>
    <row r="97" spans="1:11" x14ac:dyDescent="0.25">
      <c r="A97" s="1935" t="s">
        <v>26</v>
      </c>
      <c r="B97" s="1728" t="s">
        <v>32</v>
      </c>
      <c r="C97" s="1729"/>
      <c r="D97" s="1735">
        <v>12</v>
      </c>
      <c r="E97" s="1725">
        <f>E$3*2</f>
        <v>0</v>
      </c>
      <c r="F97" s="1745">
        <f>1*F$3</f>
        <v>0</v>
      </c>
      <c r="G97" s="1730">
        <f t="shared" si="13"/>
        <v>12</v>
      </c>
      <c r="H97" s="1735">
        <v>12</v>
      </c>
      <c r="I97" s="1725">
        <f>I$3*2</f>
        <v>0</v>
      </c>
      <c r="J97" s="1745">
        <f>1*J$3</f>
        <v>0</v>
      </c>
      <c r="K97" s="1730">
        <f t="shared" si="14"/>
        <v>12</v>
      </c>
    </row>
    <row r="98" spans="1:11" x14ac:dyDescent="0.25">
      <c r="A98" s="1935"/>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35"/>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35" t="s">
        <v>27</v>
      </c>
      <c r="B100" s="1728" t="s">
        <v>32</v>
      </c>
      <c r="C100" s="1729"/>
      <c r="D100" s="1735">
        <v>6</v>
      </c>
      <c r="E100" s="1725">
        <f>E$3*2</f>
        <v>0</v>
      </c>
      <c r="F100" s="1745">
        <f>1*F$3</f>
        <v>0</v>
      </c>
      <c r="G100" s="1730">
        <f t="shared" si="13"/>
        <v>6</v>
      </c>
      <c r="H100" s="1735">
        <v>6</v>
      </c>
      <c r="I100" s="1725">
        <f>I$3*2</f>
        <v>0</v>
      </c>
      <c r="J100" s="1745">
        <f>1*J$3</f>
        <v>0</v>
      </c>
      <c r="K100" s="1730">
        <f t="shared" si="14"/>
        <v>6</v>
      </c>
    </row>
    <row r="101" spans="1:11" x14ac:dyDescent="0.25">
      <c r="A101" s="1935"/>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35"/>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42" t="s">
        <v>28</v>
      </c>
      <c r="B103" s="1728" t="s">
        <v>32</v>
      </c>
      <c r="C103" s="1729"/>
      <c r="D103" s="1735">
        <v>2</v>
      </c>
      <c r="E103" s="1746">
        <f t="shared" ref="E103:F103" si="15">0.5*E$3</f>
        <v>0</v>
      </c>
      <c r="F103" s="1747">
        <f t="shared" si="15"/>
        <v>0</v>
      </c>
      <c r="G103" s="1730">
        <f t="shared" si="13"/>
        <v>2</v>
      </c>
      <c r="H103" s="1735">
        <v>2</v>
      </c>
      <c r="I103" s="1746">
        <f t="shared" ref="I103:J103" si="16">0.5*I$3</f>
        <v>0</v>
      </c>
      <c r="J103" s="1747">
        <f t="shared" si="16"/>
        <v>0</v>
      </c>
      <c r="K103" s="1730">
        <f t="shared" si="14"/>
        <v>2</v>
      </c>
    </row>
    <row r="104" spans="1:11" x14ac:dyDescent="0.25">
      <c r="A104" s="1942"/>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43"/>
      <c r="B105" s="20" t="s">
        <v>34</v>
      </c>
      <c r="C105" s="818"/>
      <c r="D105" s="507">
        <v>4</v>
      </c>
      <c r="E105" s="491">
        <v>0</v>
      </c>
      <c r="F105" s="1695">
        <f>IF(F$3=1,16,0)</f>
        <v>0</v>
      </c>
      <c r="G105" s="24">
        <f t="shared" si="13"/>
        <v>4</v>
      </c>
      <c r="H105" s="507">
        <v>4</v>
      </c>
      <c r="I105" s="491">
        <v>0</v>
      </c>
      <c r="J105" s="1695">
        <f>IF(J$3=1,16,0)</f>
        <v>0</v>
      </c>
      <c r="K105" s="24">
        <f t="shared" si="14"/>
        <v>4</v>
      </c>
    </row>
    <row r="107" spans="1:11" ht="15.75" x14ac:dyDescent="0.25">
      <c r="A107" s="1691" t="s">
        <v>1706</v>
      </c>
      <c r="B107" s="1691" t="s">
        <v>1707</v>
      </c>
      <c r="C107" s="1722"/>
      <c r="D107" s="1696"/>
      <c r="E107" s="1722" t="s">
        <v>1708</v>
      </c>
      <c r="F107" s="1722"/>
    </row>
    <row r="108" spans="1:11" ht="150" x14ac:dyDescent="0.25">
      <c r="A108" s="1692" t="s">
        <v>1800</v>
      </c>
      <c r="B108" s="1692" t="s">
        <v>1850</v>
      </c>
      <c r="C108" s="1722"/>
      <c r="D108" s="1722"/>
      <c r="E108" s="1722"/>
      <c r="F108" s="1722"/>
    </row>
    <row r="109" spans="1:11" ht="150" x14ac:dyDescent="0.25">
      <c r="A109" s="1692" t="s">
        <v>95</v>
      </c>
      <c r="B109" s="1692" t="s">
        <v>1786</v>
      </c>
      <c r="C109" s="1722"/>
      <c r="D109" s="1722"/>
      <c r="E109" s="1722"/>
      <c r="F109" s="1722"/>
    </row>
    <row r="110" spans="1:11" ht="60" x14ac:dyDescent="0.25">
      <c r="A110" s="1692" t="s">
        <v>1784</v>
      </c>
      <c r="B110" s="1692" t="s">
        <v>1820</v>
      </c>
      <c r="C110" s="1722"/>
      <c r="D110" s="1722"/>
      <c r="E110" s="1722"/>
      <c r="F110" s="1722"/>
    </row>
    <row r="111" spans="1:11" x14ac:dyDescent="0.25">
      <c r="A111" s="1722"/>
      <c r="B111" s="1722"/>
      <c r="C111" s="1722"/>
      <c r="D111" s="1722"/>
      <c r="E111" s="1722"/>
      <c r="F111" s="1722"/>
    </row>
    <row r="112" spans="1:11" x14ac:dyDescent="0.25">
      <c r="A112" s="1693" t="s">
        <v>89</v>
      </c>
      <c r="B112" s="1722"/>
      <c r="C112" s="1722"/>
      <c r="D112" s="1722"/>
      <c r="E112" s="1722"/>
      <c r="F112" s="1722"/>
    </row>
    <row r="113" spans="1:7" ht="15.75" x14ac:dyDescent="0.25">
      <c r="A113" s="1946" t="str">
        <f>A5</f>
        <v>ТЗ</v>
      </c>
      <c r="B113" s="1947"/>
      <c r="C113" s="1722"/>
      <c r="D113" s="1694" t="s">
        <v>66</v>
      </c>
      <c r="E113" s="1694" t="s">
        <v>65</v>
      </c>
      <c r="F113" s="1694" t="s">
        <v>64</v>
      </c>
    </row>
    <row r="114" spans="1:7" x14ac:dyDescent="0.25">
      <c r="A114" s="132" t="s">
        <v>1711</v>
      </c>
      <c r="B114" s="905" t="s">
        <v>33</v>
      </c>
      <c r="C114" s="1722"/>
      <c r="D114" s="880"/>
      <c r="E114" s="814"/>
      <c r="F114" s="814" t="s">
        <v>1787</v>
      </c>
    </row>
    <row r="115" spans="1:7" x14ac:dyDescent="0.25">
      <c r="A115" s="132" t="s">
        <v>1712</v>
      </c>
      <c r="B115" s="905" t="s">
        <v>34</v>
      </c>
      <c r="C115" s="1722"/>
      <c r="D115" s="880"/>
      <c r="E115" s="814"/>
      <c r="F115" s="814" t="s">
        <v>1781</v>
      </c>
    </row>
    <row r="116" spans="1:7" ht="15.75" x14ac:dyDescent="0.25">
      <c r="A116" s="1946" t="str">
        <f>A8</f>
        <v>ФТТ</v>
      </c>
      <c r="B116" s="1947"/>
      <c r="C116" s="1722"/>
      <c r="D116" s="1694" t="s">
        <v>66</v>
      </c>
      <c r="E116" s="1694" t="s">
        <v>65</v>
      </c>
      <c r="F116" s="1694" t="s">
        <v>64</v>
      </c>
    </row>
    <row r="117" spans="1:7" x14ac:dyDescent="0.25">
      <c r="A117" s="132" t="s">
        <v>1713</v>
      </c>
      <c r="B117" s="905" t="s">
        <v>33</v>
      </c>
      <c r="C117" s="1722"/>
      <c r="D117" s="880"/>
      <c r="E117" s="814"/>
      <c r="F117" s="814" t="s">
        <v>1787</v>
      </c>
    </row>
    <row r="118" spans="1:7" x14ac:dyDescent="0.25">
      <c r="A118" s="132" t="s">
        <v>1714</v>
      </c>
      <c r="B118" s="905" t="s">
        <v>34</v>
      </c>
      <c r="C118" s="1722"/>
      <c r="D118" s="880"/>
      <c r="E118" s="814"/>
      <c r="F118" s="814" t="s">
        <v>1781</v>
      </c>
    </row>
    <row r="119" spans="1:7" ht="15.75" x14ac:dyDescent="0.25">
      <c r="A119" s="1946" t="str">
        <f>A12</f>
        <v>Пояснительная записка к эскизному проекту</v>
      </c>
      <c r="B119" s="1947"/>
      <c r="C119" s="1722"/>
      <c r="D119" s="1694" t="s">
        <v>66</v>
      </c>
      <c r="E119" s="1694" t="s">
        <v>65</v>
      </c>
      <c r="F119" s="1694" t="s">
        <v>64</v>
      </c>
    </row>
    <row r="120" spans="1:7" x14ac:dyDescent="0.25">
      <c r="A120" s="132" t="s">
        <v>1715</v>
      </c>
      <c r="B120" s="905" t="s">
        <v>33</v>
      </c>
      <c r="C120" s="1722"/>
      <c r="D120" s="129"/>
      <c r="E120" s="814" t="s">
        <v>1795</v>
      </c>
      <c r="F120" s="814" t="s">
        <v>1779</v>
      </c>
    </row>
    <row r="121" spans="1:7" x14ac:dyDescent="0.25">
      <c r="A121" s="132" t="s">
        <v>1716</v>
      </c>
      <c r="B121" s="905" t="s">
        <v>34</v>
      </c>
      <c r="C121" s="1722"/>
      <c r="D121" s="129"/>
      <c r="E121" s="814" t="s">
        <v>1795</v>
      </c>
      <c r="F121" s="814" t="s">
        <v>1780</v>
      </c>
    </row>
    <row r="122" spans="1:7" ht="15.75" x14ac:dyDescent="0.25">
      <c r="A122" s="1946" t="str">
        <f>A19</f>
        <v xml:space="preserve">Ведомость покупных изделий </v>
      </c>
      <c r="B122" s="1947"/>
      <c r="C122" s="1722"/>
      <c r="D122" s="1694" t="s">
        <v>66</v>
      </c>
      <c r="E122" s="1694" t="s">
        <v>65</v>
      </c>
      <c r="F122" s="1694" t="s">
        <v>64</v>
      </c>
    </row>
    <row r="123" spans="1:7" x14ac:dyDescent="0.25">
      <c r="A123" s="132" t="s">
        <v>1717</v>
      </c>
      <c r="B123" s="905" t="s">
        <v>33</v>
      </c>
      <c r="C123" s="1722"/>
      <c r="D123" s="814" t="s">
        <v>1788</v>
      </c>
      <c r="E123" s="814"/>
      <c r="F123" s="129"/>
      <c r="G123" s="1748" t="s">
        <v>1802</v>
      </c>
    </row>
    <row r="124" spans="1:7" x14ac:dyDescent="0.25">
      <c r="A124" s="132" t="s">
        <v>1718</v>
      </c>
      <c r="B124" s="905" t="s">
        <v>34</v>
      </c>
      <c r="C124" s="1722"/>
      <c r="D124" s="814" t="s">
        <v>1788</v>
      </c>
      <c r="E124" s="814"/>
      <c r="F124" s="129"/>
    </row>
    <row r="125" spans="1:7" ht="15.75" x14ac:dyDescent="0.25">
      <c r="A125" s="1946" t="str">
        <f>A22</f>
        <v xml:space="preserve">Пояснительная записка к техническому проекту </v>
      </c>
      <c r="B125" s="1947"/>
      <c r="C125" s="1722"/>
      <c r="D125" s="1694" t="s">
        <v>66</v>
      </c>
      <c r="E125" s="1694" t="s">
        <v>65</v>
      </c>
      <c r="F125" s="1694" t="s">
        <v>64</v>
      </c>
    </row>
    <row r="126" spans="1:7" x14ac:dyDescent="0.25">
      <c r="A126" s="132" t="s">
        <v>1719</v>
      </c>
      <c r="B126" s="905" t="s">
        <v>33</v>
      </c>
      <c r="C126" s="1722"/>
      <c r="D126" s="129"/>
      <c r="E126" s="814" t="s">
        <v>1795</v>
      </c>
      <c r="F126" s="814" t="s">
        <v>1779</v>
      </c>
    </row>
    <row r="127" spans="1:7" x14ac:dyDescent="0.25">
      <c r="A127" s="132" t="s">
        <v>1720</v>
      </c>
      <c r="B127" s="905" t="s">
        <v>34</v>
      </c>
      <c r="C127" s="1722"/>
      <c r="D127" s="129"/>
      <c r="E127" s="814" t="s">
        <v>1795</v>
      </c>
      <c r="F127" s="814" t="s">
        <v>1780</v>
      </c>
    </row>
    <row r="128" spans="1:7" ht="15.75" x14ac:dyDescent="0.25">
      <c r="A128" s="1946" t="str">
        <f>A25</f>
        <v xml:space="preserve">Описание комплекса технических средств </v>
      </c>
      <c r="B128" s="1947"/>
      <c r="C128" s="1722"/>
      <c r="D128" s="1694" t="s">
        <v>66</v>
      </c>
      <c r="E128" s="1694" t="s">
        <v>65</v>
      </c>
      <c r="F128" s="1694" t="s">
        <v>64</v>
      </c>
    </row>
    <row r="129" spans="1:7" x14ac:dyDescent="0.25">
      <c r="A129" s="132" t="s">
        <v>1721</v>
      </c>
      <c r="B129" s="905" t="s">
        <v>33</v>
      </c>
      <c r="C129" s="1722"/>
      <c r="D129" s="1381"/>
      <c r="E129" s="1381"/>
      <c r="F129" s="814" t="s">
        <v>1789</v>
      </c>
    </row>
    <row r="130" spans="1:7" x14ac:dyDescent="0.25">
      <c r="A130" s="132" t="s">
        <v>1722</v>
      </c>
      <c r="B130" s="905" t="s">
        <v>34</v>
      </c>
      <c r="C130" s="1722"/>
      <c r="D130" s="1381"/>
      <c r="E130" s="1381"/>
      <c r="F130" s="814" t="s">
        <v>1790</v>
      </c>
    </row>
    <row r="131" spans="1:7" ht="15.75" x14ac:dyDescent="0.25">
      <c r="A131" s="1946" t="str">
        <f>A28</f>
        <v xml:space="preserve">Описание программного обеспечения </v>
      </c>
      <c r="B131" s="1947"/>
      <c r="C131" s="1722"/>
      <c r="D131" s="1694" t="s">
        <v>66</v>
      </c>
      <c r="E131" s="1694" t="s">
        <v>65</v>
      </c>
      <c r="F131" s="1694" t="s">
        <v>64</v>
      </c>
    </row>
    <row r="132" spans="1:7" x14ac:dyDescent="0.25">
      <c r="A132" s="132" t="s">
        <v>1723</v>
      </c>
      <c r="B132" s="905" t="s">
        <v>33</v>
      </c>
      <c r="C132" s="1722"/>
      <c r="D132" s="1381"/>
      <c r="E132" s="1381"/>
      <c r="F132" s="814" t="s">
        <v>1791</v>
      </c>
    </row>
    <row r="133" spans="1:7" x14ac:dyDescent="0.25">
      <c r="A133" s="132" t="s">
        <v>1724</v>
      </c>
      <c r="B133" s="905" t="s">
        <v>34</v>
      </c>
      <c r="C133" s="1722"/>
      <c r="D133" s="1381"/>
      <c r="E133" s="1381"/>
      <c r="F133" s="814" t="s">
        <v>1792</v>
      </c>
    </row>
    <row r="134" spans="1:7" ht="15.75" x14ac:dyDescent="0.25">
      <c r="A134" s="1946" t="str">
        <f>A31</f>
        <v>Схема структурная</v>
      </c>
      <c r="B134" s="1947"/>
      <c r="C134" s="1722"/>
      <c r="D134" s="1694" t="s">
        <v>66</v>
      </c>
      <c r="E134" s="1694" t="s">
        <v>65</v>
      </c>
      <c r="F134" s="1694" t="s">
        <v>64</v>
      </c>
    </row>
    <row r="135" spans="1:7" x14ac:dyDescent="0.25">
      <c r="A135" s="132" t="s">
        <v>1725</v>
      </c>
      <c r="B135" s="905" t="s">
        <v>33</v>
      </c>
      <c r="C135" s="1722"/>
      <c r="D135" s="658" t="s">
        <v>1788</v>
      </c>
      <c r="E135" s="1381"/>
      <c r="F135" s="814" t="s">
        <v>1808</v>
      </c>
    </row>
    <row r="136" spans="1:7" x14ac:dyDescent="0.25">
      <c r="A136" s="132" t="s">
        <v>1726</v>
      </c>
      <c r="B136" s="905" t="s">
        <v>34</v>
      </c>
      <c r="C136" s="1722"/>
      <c r="D136" s="658" t="s">
        <v>1788</v>
      </c>
      <c r="E136" s="1381"/>
      <c r="F136" s="814" t="s">
        <v>1811</v>
      </c>
    </row>
    <row r="137" spans="1:7" ht="15.75" x14ac:dyDescent="0.25">
      <c r="A137" s="1946" t="str">
        <f>A34</f>
        <v>Схема функциональная</v>
      </c>
      <c r="B137" s="1947"/>
      <c r="C137" s="1722"/>
      <c r="D137" s="1694" t="s">
        <v>66</v>
      </c>
      <c r="E137" s="1694" t="s">
        <v>65</v>
      </c>
      <c r="F137" s="1694" t="s">
        <v>64</v>
      </c>
    </row>
    <row r="138" spans="1:7" x14ac:dyDescent="0.25">
      <c r="A138" s="132" t="s">
        <v>1727</v>
      </c>
      <c r="B138" s="905" t="s">
        <v>33</v>
      </c>
      <c r="C138" s="1722"/>
      <c r="D138" s="1381"/>
      <c r="E138" s="1381"/>
      <c r="F138" s="814" t="s">
        <v>1794</v>
      </c>
    </row>
    <row r="139" spans="1:7" x14ac:dyDescent="0.25">
      <c r="A139" s="132" t="s">
        <v>1728</v>
      </c>
      <c r="B139" s="905" t="s">
        <v>34</v>
      </c>
      <c r="C139" s="1722"/>
      <c r="D139" s="1381"/>
      <c r="E139" s="1381"/>
      <c r="F139" s="814" t="s">
        <v>1793</v>
      </c>
    </row>
    <row r="140" spans="1:7" ht="15.75" x14ac:dyDescent="0.25">
      <c r="A140" s="1946" t="str">
        <f>A38</f>
        <v>Пояснительная записка к технорабочему проекту</v>
      </c>
      <c r="B140" s="1947"/>
      <c r="C140" s="1722"/>
      <c r="D140" s="1694" t="s">
        <v>66</v>
      </c>
      <c r="E140" s="1694" t="s">
        <v>65</v>
      </c>
      <c r="F140" s="1694" t="s">
        <v>64</v>
      </c>
    </row>
    <row r="141" spans="1:7" x14ac:dyDescent="0.25">
      <c r="A141" s="132" t="s">
        <v>1729</v>
      </c>
      <c r="B141" s="905" t="s">
        <v>33</v>
      </c>
      <c r="C141" s="1722"/>
      <c r="D141" s="1381"/>
      <c r="E141" s="814" t="s">
        <v>1798</v>
      </c>
      <c r="F141" s="814" t="s">
        <v>1796</v>
      </c>
    </row>
    <row r="142" spans="1:7" x14ac:dyDescent="0.25">
      <c r="A142" s="132" t="s">
        <v>1730</v>
      </c>
      <c r="B142" s="905" t="s">
        <v>34</v>
      </c>
      <c r="C142" s="1722"/>
      <c r="D142" s="1381"/>
      <c r="E142" s="814" t="s">
        <v>1798</v>
      </c>
      <c r="F142" s="814" t="s">
        <v>1797</v>
      </c>
    </row>
    <row r="143" spans="1:7" ht="15.75" x14ac:dyDescent="0.25">
      <c r="A143" s="1946" t="str">
        <f>A42</f>
        <v>Спецификация оборудования</v>
      </c>
      <c r="B143" s="1947"/>
      <c r="C143" s="1722"/>
      <c r="D143" s="1694" t="s">
        <v>66</v>
      </c>
      <c r="E143" s="1694" t="s">
        <v>65</v>
      </c>
      <c r="F143" s="1694" t="s">
        <v>64</v>
      </c>
    </row>
    <row r="144" spans="1:7" x14ac:dyDescent="0.25">
      <c r="A144" s="132" t="s">
        <v>1731</v>
      </c>
      <c r="B144" s="905" t="s">
        <v>33</v>
      </c>
      <c r="C144" s="1722"/>
      <c r="D144" s="814" t="s">
        <v>1788</v>
      </c>
      <c r="E144" s="1381"/>
      <c r="F144" s="1381"/>
      <c r="G144" s="1748" t="s">
        <v>1802</v>
      </c>
    </row>
    <row r="145" spans="1:7" x14ac:dyDescent="0.25">
      <c r="A145" s="132" t="s">
        <v>1732</v>
      </c>
      <c r="B145" s="905" t="s">
        <v>34</v>
      </c>
      <c r="C145" s="1722"/>
      <c r="D145" s="814" t="s">
        <v>1788</v>
      </c>
      <c r="E145" s="1381"/>
      <c r="F145" s="1381"/>
    </row>
    <row r="146" spans="1:7" ht="15.75" x14ac:dyDescent="0.25">
      <c r="A146" s="1946" t="str">
        <f>A45</f>
        <v>Инструкция по установке и настройке</v>
      </c>
      <c r="B146" s="1947"/>
      <c r="C146" s="1722"/>
      <c r="D146" s="1694" t="s">
        <v>66</v>
      </c>
      <c r="E146" s="1694" t="s">
        <v>65</v>
      </c>
      <c r="F146" s="1694" t="s">
        <v>64</v>
      </c>
    </row>
    <row r="147" spans="1:7" x14ac:dyDescent="0.25">
      <c r="A147" s="132" t="s">
        <v>1733</v>
      </c>
      <c r="B147" s="905" t="s">
        <v>33</v>
      </c>
      <c r="C147" s="1722"/>
      <c r="D147" s="1381"/>
      <c r="E147" s="814" t="s">
        <v>1798</v>
      </c>
      <c r="F147" s="814" t="s">
        <v>1793</v>
      </c>
    </row>
    <row r="148" spans="1:7" x14ac:dyDescent="0.25">
      <c r="A148" s="132" t="s">
        <v>1734</v>
      </c>
      <c r="B148" s="905" t="s">
        <v>34</v>
      </c>
      <c r="C148" s="1722"/>
      <c r="D148" s="1381"/>
      <c r="E148" s="814" t="s">
        <v>1798</v>
      </c>
      <c r="F148" s="814" t="s">
        <v>1799</v>
      </c>
    </row>
    <row r="149" spans="1:7" ht="15.75" x14ac:dyDescent="0.25">
      <c r="A149" s="1946" t="str">
        <f>A48</f>
        <v>Схема соединений внешних проводок</v>
      </c>
      <c r="B149" s="1947"/>
      <c r="C149" s="1722"/>
      <c r="D149" s="1694" t="s">
        <v>66</v>
      </c>
      <c r="E149" s="1694" t="s">
        <v>65</v>
      </c>
      <c r="F149" s="1694" t="s">
        <v>64</v>
      </c>
    </row>
    <row r="150" spans="1:7" x14ac:dyDescent="0.25">
      <c r="A150" s="132" t="s">
        <v>1735</v>
      </c>
      <c r="B150" s="905" t="s">
        <v>33</v>
      </c>
      <c r="C150" s="1722"/>
      <c r="D150" s="814" t="s">
        <v>1801</v>
      </c>
      <c r="E150" s="1381"/>
      <c r="F150" s="814" t="s">
        <v>1803</v>
      </c>
      <c r="G150" s="1748" t="s">
        <v>1802</v>
      </c>
    </row>
    <row r="151" spans="1:7" x14ac:dyDescent="0.25">
      <c r="A151" s="132" t="s">
        <v>1736</v>
      </c>
      <c r="B151" s="905" t="s">
        <v>34</v>
      </c>
      <c r="C151" s="1722"/>
      <c r="D151" s="814" t="s">
        <v>1801</v>
      </c>
      <c r="E151" s="1381"/>
      <c r="F151" s="814" t="s">
        <v>1803</v>
      </c>
    </row>
    <row r="152" spans="1:7" ht="15.75" x14ac:dyDescent="0.25">
      <c r="A152" s="1946" t="str">
        <f>A51</f>
        <v>Таблица соединений и подключений</v>
      </c>
      <c r="B152" s="1947"/>
      <c r="C152" s="1722"/>
      <c r="D152" s="1694" t="s">
        <v>66</v>
      </c>
      <c r="E152" s="1694" t="s">
        <v>65</v>
      </c>
      <c r="F152" s="1694" t="s">
        <v>64</v>
      </c>
    </row>
    <row r="153" spans="1:7" x14ac:dyDescent="0.25">
      <c r="A153" s="132" t="s">
        <v>1737</v>
      </c>
      <c r="B153" s="905" t="s">
        <v>33</v>
      </c>
      <c r="C153" s="1722"/>
      <c r="D153" s="814" t="s">
        <v>1801</v>
      </c>
      <c r="E153" s="1381"/>
      <c r="F153" s="814" t="s">
        <v>1803</v>
      </c>
      <c r="G153" s="1748" t="s">
        <v>1802</v>
      </c>
    </row>
    <row r="154" spans="1:7" x14ac:dyDescent="0.25">
      <c r="A154" s="132" t="s">
        <v>1738</v>
      </c>
      <c r="B154" s="905" t="s">
        <v>34</v>
      </c>
      <c r="C154" s="1722"/>
      <c r="D154" s="814" t="s">
        <v>1801</v>
      </c>
      <c r="E154" s="1381"/>
      <c r="F154" s="814" t="s">
        <v>1803</v>
      </c>
    </row>
    <row r="155" spans="1:7" ht="15.75" x14ac:dyDescent="0.25">
      <c r="A155" s="1946" t="str">
        <f>A54</f>
        <v>План расположения</v>
      </c>
      <c r="B155" s="1947"/>
      <c r="C155" s="1722"/>
      <c r="D155" s="1694" t="s">
        <v>66</v>
      </c>
      <c r="E155" s="1694" t="s">
        <v>65</v>
      </c>
      <c r="F155" s="1694" t="s">
        <v>64</v>
      </c>
    </row>
    <row r="156" spans="1:7" x14ac:dyDescent="0.25">
      <c r="A156" s="132" t="s">
        <v>1739</v>
      </c>
      <c r="B156" s="905" t="s">
        <v>33</v>
      </c>
      <c r="C156" s="1722"/>
      <c r="D156" s="814" t="s">
        <v>1801</v>
      </c>
      <c r="E156" s="1381"/>
      <c r="F156" s="814" t="s">
        <v>1803</v>
      </c>
      <c r="G156" t="s">
        <v>1802</v>
      </c>
    </row>
    <row r="157" spans="1:7" x14ac:dyDescent="0.25">
      <c r="A157" s="132" t="s">
        <v>1740</v>
      </c>
      <c r="B157" s="905" t="s">
        <v>34</v>
      </c>
      <c r="C157" s="1722"/>
      <c r="D157" s="814" t="s">
        <v>1801</v>
      </c>
      <c r="E157" s="1381"/>
      <c r="F157" s="814" t="s">
        <v>1803</v>
      </c>
    </row>
    <row r="158" spans="1:7" ht="15.75" x14ac:dyDescent="0.25">
      <c r="A158" s="1946" t="str">
        <f>A57</f>
        <v>Паспорт</v>
      </c>
      <c r="B158" s="1947"/>
      <c r="C158" s="1722"/>
      <c r="D158" s="1694" t="s">
        <v>66</v>
      </c>
      <c r="E158" s="1694" t="s">
        <v>65</v>
      </c>
      <c r="F158" s="1694" t="s">
        <v>64</v>
      </c>
    </row>
    <row r="159" spans="1:7" x14ac:dyDescent="0.25">
      <c r="A159" s="132" t="s">
        <v>1748</v>
      </c>
      <c r="B159" s="905" t="s">
        <v>33</v>
      </c>
      <c r="C159" s="1722"/>
      <c r="D159" s="1381"/>
      <c r="E159" s="814" t="s">
        <v>1798</v>
      </c>
      <c r="F159" s="814" t="s">
        <v>1805</v>
      </c>
    </row>
    <row r="160" spans="1:7" x14ac:dyDescent="0.25">
      <c r="A160" s="132" t="s">
        <v>1747</v>
      </c>
      <c r="B160" s="905" t="s">
        <v>34</v>
      </c>
      <c r="C160" s="1722"/>
      <c r="D160" s="1381"/>
      <c r="E160" s="814" t="s">
        <v>1798</v>
      </c>
      <c r="F160" s="814" t="s">
        <v>1806</v>
      </c>
    </row>
    <row r="161" spans="1:6" ht="15.75" x14ac:dyDescent="0.25">
      <c r="A161" s="1946" t="str">
        <f>A60</f>
        <v>ПиМИ</v>
      </c>
      <c r="B161" s="1947"/>
      <c r="C161" s="1722"/>
      <c r="D161" s="1694" t="s">
        <v>66</v>
      </c>
      <c r="E161" s="1694" t="s">
        <v>65</v>
      </c>
      <c r="F161" s="1694" t="s">
        <v>64</v>
      </c>
    </row>
    <row r="162" spans="1:6" x14ac:dyDescent="0.25">
      <c r="A162" s="132" t="s">
        <v>1746</v>
      </c>
      <c r="B162" s="905" t="s">
        <v>33</v>
      </c>
      <c r="C162" s="1722"/>
      <c r="D162" s="1381"/>
      <c r="E162" s="814" t="s">
        <v>1807</v>
      </c>
      <c r="F162" s="814" t="s">
        <v>1808</v>
      </c>
    </row>
    <row r="163" spans="1:6" x14ac:dyDescent="0.25">
      <c r="A163" s="132" t="s">
        <v>1745</v>
      </c>
      <c r="B163" s="905" t="s">
        <v>34</v>
      </c>
      <c r="C163" s="1722"/>
      <c r="D163" s="1381"/>
      <c r="E163" s="814" t="s">
        <v>1807</v>
      </c>
      <c r="F163" s="814" t="s">
        <v>1809</v>
      </c>
    </row>
    <row r="164" spans="1:6" ht="15.75" x14ac:dyDescent="0.25">
      <c r="A164" s="1946" t="str">
        <f>A63</f>
        <v>Технические условия для монтажа оборудования</v>
      </c>
      <c r="B164" s="1947"/>
      <c r="C164" s="1722"/>
      <c r="D164" s="1694" t="s">
        <v>66</v>
      </c>
      <c r="E164" s="1694" t="s">
        <v>65</v>
      </c>
      <c r="F164" s="1694" t="s">
        <v>64</v>
      </c>
    </row>
    <row r="165" spans="1:6" x14ac:dyDescent="0.25">
      <c r="A165" s="132" t="s">
        <v>1744</v>
      </c>
      <c r="B165" s="905" t="s">
        <v>33</v>
      </c>
      <c r="C165" s="1722"/>
      <c r="D165" s="1381"/>
      <c r="E165" s="1381"/>
      <c r="F165" s="1381"/>
    </row>
    <row r="166" spans="1:6" x14ac:dyDescent="0.25">
      <c r="A166" s="132" t="s">
        <v>1743</v>
      </c>
      <c r="B166" s="905" t="s">
        <v>34</v>
      </c>
      <c r="C166" s="1722"/>
      <c r="D166" s="1381"/>
      <c r="E166" s="1381"/>
      <c r="F166" s="1381"/>
    </row>
    <row r="167" spans="1:6" ht="15.75" x14ac:dyDescent="0.25">
      <c r="A167" s="1946" t="str">
        <f>A66</f>
        <v>Эскизная схема расположения оборудования</v>
      </c>
      <c r="B167" s="1947"/>
      <c r="C167" s="1722"/>
      <c r="D167" s="1694" t="s">
        <v>66</v>
      </c>
      <c r="E167" s="1694" t="s">
        <v>65</v>
      </c>
      <c r="F167" s="1694" t="s">
        <v>64</v>
      </c>
    </row>
    <row r="168" spans="1:6" x14ac:dyDescent="0.25">
      <c r="A168" s="132" t="s">
        <v>1741</v>
      </c>
      <c r="B168" s="905" t="s">
        <v>33</v>
      </c>
      <c r="C168" s="1722"/>
      <c r="D168" s="814" t="s">
        <v>1812</v>
      </c>
      <c r="E168" s="1381"/>
      <c r="F168" s="814" t="s">
        <v>1803</v>
      </c>
    </row>
    <row r="169" spans="1:6" x14ac:dyDescent="0.25">
      <c r="A169" s="132" t="s">
        <v>1742</v>
      </c>
      <c r="B169" s="905" t="s">
        <v>34</v>
      </c>
      <c r="C169" s="1722"/>
      <c r="D169" s="814" t="s">
        <v>1812</v>
      </c>
      <c r="E169" s="1381"/>
      <c r="F169" s="814" t="s">
        <v>1803</v>
      </c>
    </row>
    <row r="170" spans="1:6" ht="15.75" x14ac:dyDescent="0.25">
      <c r="A170" s="1946" t="str">
        <f>A69</f>
        <v>Сетевая схема L2</v>
      </c>
      <c r="B170" s="1947"/>
      <c r="C170" s="1722"/>
      <c r="D170" s="1694" t="s">
        <v>66</v>
      </c>
      <c r="E170" s="1694" t="s">
        <v>65</v>
      </c>
      <c r="F170" s="1694" t="s">
        <v>64</v>
      </c>
    </row>
    <row r="171" spans="1:6" x14ac:dyDescent="0.25">
      <c r="A171" s="132" t="s">
        <v>1749</v>
      </c>
      <c r="B171" s="905" t="s">
        <v>33</v>
      </c>
      <c r="C171" s="1722"/>
      <c r="D171" s="1381"/>
      <c r="E171" s="1381"/>
      <c r="F171" s="1381"/>
    </row>
    <row r="172" spans="1:6" x14ac:dyDescent="0.25">
      <c r="A172" s="132" t="s">
        <v>1750</v>
      </c>
      <c r="B172" s="905" t="s">
        <v>34</v>
      </c>
      <c r="C172" s="1722"/>
      <c r="D172" s="1381"/>
      <c r="E172" s="1381"/>
      <c r="F172" s="1381"/>
    </row>
    <row r="173" spans="1:6" ht="15.75" x14ac:dyDescent="0.25">
      <c r="A173" s="1946" t="str">
        <f>A72</f>
        <v>Сетевая схема L3</v>
      </c>
      <c r="B173" s="1947"/>
      <c r="C173" s="1722"/>
      <c r="D173" s="1694" t="s">
        <v>66</v>
      </c>
      <c r="E173" s="1694" t="s">
        <v>65</v>
      </c>
      <c r="F173" s="1694" t="s">
        <v>64</v>
      </c>
    </row>
    <row r="174" spans="1:6" x14ac:dyDescent="0.25">
      <c r="A174" s="132" t="s">
        <v>1751</v>
      </c>
      <c r="B174" s="905" t="s">
        <v>33</v>
      </c>
      <c r="C174" s="1722"/>
      <c r="D174" s="1381"/>
      <c r="E174" s="1381"/>
      <c r="F174" s="1381"/>
    </row>
    <row r="175" spans="1:6" x14ac:dyDescent="0.25">
      <c r="A175" s="132" t="s">
        <v>1752</v>
      </c>
      <c r="B175" s="905" t="s">
        <v>34</v>
      </c>
      <c r="C175" s="1722"/>
      <c r="D175" s="1381"/>
      <c r="E175" s="1381"/>
      <c r="F175" s="1381"/>
    </row>
    <row r="176" spans="1:6" ht="15.75" x14ac:dyDescent="0.25">
      <c r="A176" s="1946" t="str">
        <f>A78</f>
        <v>Принципиальная схема электропитания оборудования (СБ)</v>
      </c>
      <c r="B176" s="1947"/>
      <c r="C176" s="1722"/>
      <c r="D176" s="1694" t="s">
        <v>66</v>
      </c>
      <c r="E176" s="1694" t="s">
        <v>65</v>
      </c>
      <c r="F176" s="1694" t="s">
        <v>64</v>
      </c>
    </row>
    <row r="177" spans="1:6" x14ac:dyDescent="0.25">
      <c r="A177" s="132" t="s">
        <v>1753</v>
      </c>
      <c r="B177" s="905" t="s">
        <v>33</v>
      </c>
      <c r="C177" s="1722"/>
      <c r="D177" s="814" t="s">
        <v>1801</v>
      </c>
      <c r="E177" s="1381"/>
      <c r="F177" s="814" t="s">
        <v>1803</v>
      </c>
    </row>
    <row r="178" spans="1:6" x14ac:dyDescent="0.25">
      <c r="A178" s="132" t="s">
        <v>1754</v>
      </c>
      <c r="B178" s="905" t="s">
        <v>34</v>
      </c>
      <c r="C178" s="1722"/>
      <c r="D178" s="814" t="s">
        <v>1801</v>
      </c>
      <c r="E178" s="1381"/>
      <c r="F178" s="814" t="s">
        <v>1803</v>
      </c>
    </row>
    <row r="179" spans="1:6" ht="15.75" x14ac:dyDescent="0.25">
      <c r="A179" s="1946" t="str">
        <f>A81</f>
        <v>Схема подключения внешних проводок (С5)</v>
      </c>
      <c r="B179" s="1947"/>
      <c r="C179" s="1722"/>
      <c r="D179" s="1694" t="s">
        <v>66</v>
      </c>
      <c r="E179" s="1694" t="s">
        <v>65</v>
      </c>
      <c r="F179" s="1694" t="s">
        <v>64</v>
      </c>
    </row>
    <row r="180" spans="1:6" x14ac:dyDescent="0.25">
      <c r="A180" s="132" t="s">
        <v>1755</v>
      </c>
      <c r="B180" s="905" t="s">
        <v>33</v>
      </c>
      <c r="C180" s="1722"/>
      <c r="D180" s="814" t="s">
        <v>1801</v>
      </c>
      <c r="E180" s="1381"/>
      <c r="F180" s="814" t="s">
        <v>1803</v>
      </c>
    </row>
    <row r="181" spans="1:6" x14ac:dyDescent="0.25">
      <c r="A181" s="132" t="s">
        <v>1756</v>
      </c>
      <c r="B181" s="905" t="s">
        <v>34</v>
      </c>
      <c r="C181" s="1722"/>
      <c r="D181" s="814" t="s">
        <v>1801</v>
      </c>
      <c r="E181" s="1381"/>
      <c r="F181" s="814" t="s">
        <v>1803</v>
      </c>
    </row>
    <row r="182" spans="1:6" ht="15.75" x14ac:dyDescent="0.25">
      <c r="A182" s="1946" t="str">
        <f>A84</f>
        <v>Чертеж установки технических средств (СА)</v>
      </c>
      <c r="B182" s="1947"/>
      <c r="C182" s="1722"/>
      <c r="D182" s="1694" t="s">
        <v>66</v>
      </c>
      <c r="E182" s="1694" t="s">
        <v>65</v>
      </c>
      <c r="F182" s="1694" t="s">
        <v>64</v>
      </c>
    </row>
    <row r="183" spans="1:6" x14ac:dyDescent="0.25">
      <c r="A183" s="132" t="s">
        <v>1757</v>
      </c>
      <c r="B183" s="905" t="s">
        <v>33</v>
      </c>
      <c r="C183" s="1722"/>
      <c r="D183" s="814" t="s">
        <v>1812</v>
      </c>
      <c r="E183" s="1381"/>
      <c r="F183" s="814" t="s">
        <v>1803</v>
      </c>
    </row>
    <row r="184" spans="1:6" x14ac:dyDescent="0.25">
      <c r="A184" s="132" t="s">
        <v>1758</v>
      </c>
      <c r="B184" s="905" t="s">
        <v>34</v>
      </c>
      <c r="C184" s="1722"/>
      <c r="D184" s="814" t="s">
        <v>1812</v>
      </c>
      <c r="E184" s="1381"/>
      <c r="F184" s="814" t="s">
        <v>1803</v>
      </c>
    </row>
    <row r="185" spans="1:6" ht="15.75" x14ac:dyDescent="0.25">
      <c r="A185" s="1946" t="str">
        <f>A88</f>
        <v xml:space="preserve">Ведомость эксплуатационных документов </v>
      </c>
      <c r="B185" s="1947"/>
      <c r="C185" s="1722"/>
      <c r="D185" s="1694" t="s">
        <v>66</v>
      </c>
      <c r="E185" s="1694" t="s">
        <v>65</v>
      </c>
      <c r="F185" s="1694" t="s">
        <v>64</v>
      </c>
    </row>
    <row r="186" spans="1:6" x14ac:dyDescent="0.25">
      <c r="A186" s="132" t="s">
        <v>1759</v>
      </c>
      <c r="B186" s="905" t="s">
        <v>33</v>
      </c>
      <c r="C186" s="1722"/>
      <c r="D186" s="1381"/>
      <c r="E186" s="1381"/>
      <c r="F186" s="1381"/>
    </row>
    <row r="187" spans="1:6" x14ac:dyDescent="0.25">
      <c r="A187" s="132" t="s">
        <v>1760</v>
      </c>
      <c r="B187" s="905" t="s">
        <v>34</v>
      </c>
      <c r="C187" s="1722"/>
      <c r="D187" s="1381"/>
      <c r="E187" s="1381"/>
      <c r="F187" s="1381"/>
    </row>
    <row r="188" spans="1:6" ht="15.75" x14ac:dyDescent="0.25">
      <c r="A188" s="1946" t="str">
        <f>A91</f>
        <v>Руководство администратора</v>
      </c>
      <c r="B188" s="1947"/>
      <c r="C188" s="1722"/>
      <c r="D188" s="1694" t="s">
        <v>66</v>
      </c>
      <c r="E188" s="1694" t="s">
        <v>65</v>
      </c>
      <c r="F188" s="1694" t="s">
        <v>64</v>
      </c>
    </row>
    <row r="189" spans="1:6" x14ac:dyDescent="0.25">
      <c r="A189" s="132" t="s">
        <v>1761</v>
      </c>
      <c r="B189" s="905" t="s">
        <v>33</v>
      </c>
      <c r="C189" s="1722"/>
      <c r="D189" s="1381"/>
      <c r="E189" s="814" t="s">
        <v>1798</v>
      </c>
      <c r="F189" s="814" t="s">
        <v>1813</v>
      </c>
    </row>
    <row r="190" spans="1:6" x14ac:dyDescent="0.25">
      <c r="A190" s="132" t="s">
        <v>1762</v>
      </c>
      <c r="B190" s="905" t="s">
        <v>34</v>
      </c>
      <c r="C190" s="1722"/>
      <c r="D190" s="1381"/>
      <c r="E190" s="814" t="s">
        <v>1798</v>
      </c>
      <c r="F190" s="814" t="s">
        <v>1814</v>
      </c>
    </row>
    <row r="191" spans="1:6" ht="15.75" x14ac:dyDescent="0.25">
      <c r="A191" s="1946" t="str">
        <f>A94</f>
        <v xml:space="preserve">Руководство пользователя </v>
      </c>
      <c r="B191" s="1947"/>
      <c r="C191" s="1722"/>
      <c r="D191" s="1694" t="s">
        <v>66</v>
      </c>
      <c r="E191" s="1694" t="s">
        <v>65</v>
      </c>
      <c r="F191" s="1694" t="s">
        <v>64</v>
      </c>
    </row>
    <row r="192" spans="1:6" x14ac:dyDescent="0.25">
      <c r="A192" s="132" t="s">
        <v>1763</v>
      </c>
      <c r="B192" s="905" t="s">
        <v>33</v>
      </c>
      <c r="C192" s="1722"/>
      <c r="D192" s="1381"/>
      <c r="E192" s="1381"/>
      <c r="F192" s="814" t="s">
        <v>1809</v>
      </c>
    </row>
    <row r="193" spans="1:6" x14ac:dyDescent="0.25">
      <c r="A193" s="132" t="s">
        <v>1764</v>
      </c>
      <c r="B193" s="905" t="s">
        <v>34</v>
      </c>
      <c r="C193" s="1722"/>
      <c r="D193" s="1381"/>
      <c r="E193" s="1381"/>
      <c r="F193" s="814" t="s">
        <v>1815</v>
      </c>
    </row>
    <row r="194" spans="1:6" ht="15.75" x14ac:dyDescent="0.25">
      <c r="A194" s="1946" t="str">
        <f>A97</f>
        <v>Руководство по мониторингу</v>
      </c>
      <c r="B194" s="1947"/>
      <c r="C194" s="1722"/>
      <c r="D194" s="1694" t="s">
        <v>66</v>
      </c>
      <c r="E194" s="1694" t="s">
        <v>65</v>
      </c>
      <c r="F194" s="1694" t="s">
        <v>64</v>
      </c>
    </row>
    <row r="195" spans="1:6" x14ac:dyDescent="0.25">
      <c r="A195" s="132" t="s">
        <v>1765</v>
      </c>
      <c r="B195" s="905" t="s">
        <v>33</v>
      </c>
      <c r="C195" s="1722"/>
      <c r="D195" s="814" t="s">
        <v>1816</v>
      </c>
      <c r="E195" s="1381"/>
      <c r="F195" s="814" t="s">
        <v>1813</v>
      </c>
    </row>
    <row r="196" spans="1:6" x14ac:dyDescent="0.25">
      <c r="A196" s="132" t="s">
        <v>1766</v>
      </c>
      <c r="B196" s="905" t="s">
        <v>34</v>
      </c>
      <c r="C196" s="1722"/>
      <c r="D196" s="814" t="s">
        <v>1817</v>
      </c>
      <c r="E196" s="1381"/>
      <c r="F196" s="814" t="s">
        <v>1814</v>
      </c>
    </row>
    <row r="197" spans="1:6" ht="15.75" x14ac:dyDescent="0.25">
      <c r="A197" s="1946" t="str">
        <f>A100</f>
        <v>План резервного копирования</v>
      </c>
      <c r="B197" s="1947"/>
      <c r="C197" s="1722"/>
      <c r="D197" s="1694" t="s">
        <v>66</v>
      </c>
      <c r="E197" s="1694" t="s">
        <v>65</v>
      </c>
      <c r="F197" s="1694" t="s">
        <v>64</v>
      </c>
    </row>
    <row r="198" spans="1:6" x14ac:dyDescent="0.25">
      <c r="A198" s="132" t="s">
        <v>1767</v>
      </c>
      <c r="B198" s="905" t="s">
        <v>33</v>
      </c>
      <c r="C198" s="1722"/>
      <c r="D198" s="814" t="s">
        <v>1816</v>
      </c>
      <c r="E198" s="1381"/>
      <c r="F198" s="814" t="s">
        <v>1813</v>
      </c>
    </row>
    <row r="199" spans="1:6" x14ac:dyDescent="0.25">
      <c r="A199" s="132" t="s">
        <v>1768</v>
      </c>
      <c r="B199" s="905" t="s">
        <v>34</v>
      </c>
      <c r="C199" s="1722"/>
      <c r="D199" s="814" t="s">
        <v>1817</v>
      </c>
      <c r="E199" s="1381"/>
      <c r="F199" s="814" t="s">
        <v>1814</v>
      </c>
    </row>
    <row r="200" spans="1:6" ht="15.75" x14ac:dyDescent="0.25">
      <c r="A200" s="1946" t="str">
        <f>A103</f>
        <v>План опытной эксплуатации</v>
      </c>
      <c r="B200" s="1947"/>
      <c r="C200" s="1722"/>
      <c r="D200" s="1694" t="s">
        <v>66</v>
      </c>
      <c r="E200" s="1694" t="s">
        <v>65</v>
      </c>
      <c r="F200" s="1694" t="s">
        <v>64</v>
      </c>
    </row>
    <row r="201" spans="1:6" x14ac:dyDescent="0.25">
      <c r="A201" s="132" t="s">
        <v>1769</v>
      </c>
      <c r="B201" s="905" t="s">
        <v>33</v>
      </c>
      <c r="C201" s="1722"/>
      <c r="D201" s="1381"/>
      <c r="E201" s="1381"/>
      <c r="F201" s="814" t="s">
        <v>1813</v>
      </c>
    </row>
    <row r="202" spans="1:6" x14ac:dyDescent="0.25">
      <c r="A202" s="132" t="s">
        <v>1770</v>
      </c>
      <c r="B202" s="905" t="s">
        <v>34</v>
      </c>
      <c r="C202" s="1722"/>
      <c r="D202" s="1381"/>
      <c r="E202" s="1381"/>
      <c r="F202" s="814" t="s">
        <v>1814</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79" t="s">
        <v>380</v>
      </c>
      <c r="E1" s="1934"/>
      <c r="F1" s="1934"/>
      <c r="G1" s="1934"/>
      <c r="H1" s="1979" t="s">
        <v>381</v>
      </c>
      <c r="I1" s="1934"/>
      <c r="J1" s="1934"/>
      <c r="K1" s="1934"/>
      <c r="L1" s="1979" t="s">
        <v>384</v>
      </c>
      <c r="M1" s="2313"/>
      <c r="N1" s="2313"/>
      <c r="O1" s="294"/>
      <c r="P1" s="1979" t="s">
        <v>382</v>
      </c>
      <c r="Q1" s="1934"/>
      <c r="R1" s="1934"/>
      <c r="S1" s="1934"/>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4"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15"/>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16"/>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15"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15"/>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17"/>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4"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15"/>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17"/>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14"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15"/>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16"/>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18"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15"/>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16"/>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18"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15"/>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16"/>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18"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15"/>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16"/>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18"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15"/>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16"/>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18"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15"/>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16"/>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18"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15"/>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15"/>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5"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15"/>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15"/>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5"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15"/>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15"/>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35"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35"/>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35"/>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35"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35"/>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35"/>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35"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35"/>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35"/>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35"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35"/>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35"/>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35"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35"/>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35"/>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35"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35"/>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35"/>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35"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35"/>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35"/>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35"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35"/>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35"/>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45"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45"/>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45"/>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35"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35"/>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35"/>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35"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35"/>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35"/>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35"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35"/>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35"/>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35"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35"/>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35"/>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44"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44"/>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44"/>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5"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15"/>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15"/>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35"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35"/>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35"/>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35"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35"/>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35"/>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35"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35"/>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35"/>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35"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35"/>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35"/>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15"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15"/>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17"/>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79" t="s">
        <v>383</v>
      </c>
      <c r="E1" s="1934"/>
      <c r="F1" s="1934"/>
      <c r="G1" s="1934"/>
      <c r="H1" s="2319" t="s">
        <v>285</v>
      </c>
      <c r="I1" s="1934"/>
      <c r="J1" s="1934"/>
      <c r="K1" s="1934"/>
      <c r="L1" s="1979" t="s">
        <v>286</v>
      </c>
      <c r="M1" s="1934"/>
      <c r="N1" s="1934"/>
      <c r="O1" s="1934"/>
      <c r="P1" s="1979" t="s">
        <v>287</v>
      </c>
      <c r="Q1" s="1934"/>
      <c r="R1" s="1934"/>
      <c r="S1" s="1934"/>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5"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15"/>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16"/>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18"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15"/>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15"/>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4"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15"/>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15"/>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0"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20"/>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21"/>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18"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15"/>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16"/>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18"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15"/>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16"/>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18"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15"/>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16"/>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18"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15"/>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16"/>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18"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15"/>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16"/>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18"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15"/>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15"/>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4"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15"/>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17"/>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4"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15"/>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15"/>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35"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35"/>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35"/>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35"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35"/>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35"/>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35"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35"/>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35"/>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35"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35"/>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35"/>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35"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35"/>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35"/>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35"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35"/>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35"/>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35"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35"/>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35"/>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35"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35"/>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35"/>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45"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45"/>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45"/>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35"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35"/>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35"/>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35"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35"/>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35"/>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35"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35"/>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35"/>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35"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35"/>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35"/>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44"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44"/>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44"/>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5"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15"/>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15"/>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35"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35"/>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35"/>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35"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35"/>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35"/>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35"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35"/>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35"/>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35"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35"/>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35"/>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15"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15"/>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17"/>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34" t="str">
        <f>'Служебный АСУТП'!Q2</f>
        <v>vGate</v>
      </c>
      <c r="E1" s="1934"/>
      <c r="F1" s="1934"/>
      <c r="G1" s="1934"/>
      <c r="H1" s="1934" t="str">
        <f>'Служебный АСУТП'!Q3</f>
        <v>Базис.Virtual Security</v>
      </c>
      <c r="I1" s="1934"/>
      <c r="J1" s="1934"/>
      <c r="K1" s="1934"/>
      <c r="L1" s="1934" t="str">
        <f>'Служебный АСУТП'!Q4</f>
        <v>СЗИ ВИ Dallas Lock</v>
      </c>
      <c r="M1" s="1934"/>
      <c r="N1" s="1934"/>
      <c r="O1" s="1934"/>
    </row>
    <row r="2" spans="1:15" ht="15.75" x14ac:dyDescent="0.25">
      <c r="B2" s="41" t="s">
        <v>37</v>
      </c>
      <c r="C2" s="1940" t="s">
        <v>35</v>
      </c>
      <c r="D2" s="684" t="s">
        <v>397</v>
      </c>
      <c r="E2" s="645" t="s">
        <v>576</v>
      </c>
      <c r="F2" s="645" t="s">
        <v>577</v>
      </c>
      <c r="G2" s="1933" t="s">
        <v>38</v>
      </c>
      <c r="H2" s="684" t="s">
        <v>397</v>
      </c>
      <c r="I2" s="645" t="s">
        <v>576</v>
      </c>
      <c r="J2" s="645" t="s">
        <v>577</v>
      </c>
      <c r="K2" s="1933" t="s">
        <v>38</v>
      </c>
      <c r="L2" s="684" t="s">
        <v>397</v>
      </c>
      <c r="M2" s="645" t="s">
        <v>576</v>
      </c>
      <c r="N2" s="645" t="s">
        <v>577</v>
      </c>
      <c r="O2" s="1933" t="s">
        <v>38</v>
      </c>
    </row>
    <row r="3" spans="1:15"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row>
    <row r="4" spans="1:15" ht="16.5" thickBot="1" x14ac:dyDescent="0.3">
      <c r="A4" s="326" t="s">
        <v>448</v>
      </c>
      <c r="B4" s="327"/>
      <c r="C4" s="327"/>
      <c r="D4" s="327"/>
      <c r="E4" s="327"/>
      <c r="F4" s="327"/>
      <c r="G4" s="327"/>
      <c r="H4" s="327"/>
      <c r="I4" s="327"/>
      <c r="J4" s="327"/>
      <c r="K4" s="327"/>
      <c r="L4" s="327"/>
      <c r="M4" s="327"/>
      <c r="N4" s="327"/>
      <c r="O4" s="396"/>
    </row>
    <row r="5" spans="1:15" x14ac:dyDescent="0.25">
      <c r="A5" s="1942"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42"/>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75"/>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42"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42"/>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42"/>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2"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42"/>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42"/>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9"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38"/>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38"/>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38"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38"/>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38"/>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38"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38"/>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38"/>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38"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38"/>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38"/>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38"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38"/>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38"/>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38"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38"/>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38"/>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38"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38"/>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36"/>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22"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922"/>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922"/>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2"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42"/>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42"/>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73"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73"/>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73"/>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73"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73"/>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73"/>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73"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73"/>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73"/>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73"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73"/>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73"/>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73"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73"/>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73"/>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73"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73"/>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73"/>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73"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73"/>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73"/>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73"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73"/>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73"/>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88"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88"/>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88"/>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73"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73"/>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73"/>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73"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73"/>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73"/>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73"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73"/>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73"/>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73"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73"/>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73"/>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89"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89"/>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89"/>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2"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42"/>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42"/>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73"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73"/>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73"/>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73"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73"/>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73"/>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73"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73"/>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73"/>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73"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73"/>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73"/>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922"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922"/>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74"/>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30" t="str">
        <f>'Служебный АСУТП'!AF2</f>
        <v>Vmware</v>
      </c>
      <c r="E1" s="1931"/>
      <c r="F1" s="1931"/>
      <c r="G1" s="1932"/>
      <c r="H1" s="1930" t="str">
        <f>'Служебный АСУТП'!AF3</f>
        <v>Брест</v>
      </c>
      <c r="I1" s="1931"/>
      <c r="J1" s="1931"/>
      <c r="K1" s="1932"/>
      <c r="L1" s="1930" t="str">
        <f>'Служебный АСУТП'!AF4</f>
        <v xml:space="preserve">zVirt </v>
      </c>
      <c r="M1" s="1931"/>
      <c r="N1" s="1931"/>
      <c r="O1" s="1932"/>
      <c r="P1" s="1930" t="str">
        <f>'Служебный АСУТП'!AF5</f>
        <v>РЕД Виртуализация</v>
      </c>
      <c r="Q1" s="1931"/>
      <c r="R1" s="1931"/>
      <c r="S1" s="1932"/>
      <c r="T1" s="1930" t="str">
        <f>'Служебный АСУТП'!AF6</f>
        <v>SpaceVM</v>
      </c>
      <c r="U1" s="1931"/>
      <c r="V1" s="1931"/>
      <c r="W1" s="1932"/>
      <c r="X1" s="1934" t="str">
        <f>'Служебный АСУТП'!AF7</f>
        <v>Горизонт-ВС</v>
      </c>
      <c r="Y1" s="1934"/>
      <c r="Z1" s="1934"/>
      <c r="AA1" s="1934"/>
    </row>
    <row r="2" spans="1:27" ht="15.75" x14ac:dyDescent="0.25">
      <c r="B2" s="41" t="s">
        <v>37</v>
      </c>
      <c r="C2" s="1940" t="s">
        <v>35</v>
      </c>
      <c r="D2" s="718" t="s">
        <v>613</v>
      </c>
      <c r="E2" s="717" t="s">
        <v>614</v>
      </c>
      <c r="F2" s="717" t="s">
        <v>615</v>
      </c>
      <c r="G2" s="1933" t="s">
        <v>38</v>
      </c>
      <c r="H2" s="718" t="s">
        <v>613</v>
      </c>
      <c r="I2" s="717" t="s">
        <v>614</v>
      </c>
      <c r="J2" s="717" t="s">
        <v>615</v>
      </c>
      <c r="K2" s="1933" t="s">
        <v>38</v>
      </c>
      <c r="L2" s="718" t="s">
        <v>613</v>
      </c>
      <c r="M2" s="717" t="s">
        <v>614</v>
      </c>
      <c r="N2" s="717" t="s">
        <v>615</v>
      </c>
      <c r="O2" s="1933" t="s">
        <v>38</v>
      </c>
      <c r="P2" s="718" t="s">
        <v>613</v>
      </c>
      <c r="Q2" s="717" t="s">
        <v>614</v>
      </c>
      <c r="R2" s="717" t="s">
        <v>615</v>
      </c>
      <c r="S2" s="1933" t="s">
        <v>38</v>
      </c>
      <c r="T2" s="718" t="s">
        <v>613</v>
      </c>
      <c r="U2" s="717" t="s">
        <v>614</v>
      </c>
      <c r="V2" s="717" t="s">
        <v>615</v>
      </c>
      <c r="W2" s="1933" t="s">
        <v>38</v>
      </c>
      <c r="X2" s="718" t="s">
        <v>613</v>
      </c>
      <c r="Y2" s="717" t="s">
        <v>614</v>
      </c>
      <c r="Z2" s="717" t="s">
        <v>615</v>
      </c>
      <c r="AA2" s="1933" t="s">
        <v>38</v>
      </c>
    </row>
    <row r="3" spans="1:27" ht="16.5" thickBot="1" x14ac:dyDescent="0.3">
      <c r="A3" s="12" t="s">
        <v>36</v>
      </c>
      <c r="B3" s="768">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c r="P3" s="37">
        <f>INDEX(ТрЗ_ОП!$P$11:$P$102,MATCH(P2,ТрЗ_ОП!$O$11:$O$102,0))</f>
        <v>0</v>
      </c>
      <c r="Q3" s="37">
        <f>INDEX(ТрЗ_ОП!$P$11:$P$102,MATCH(Q2,ТрЗ_ОП!$O$11:$O$102,0))</f>
        <v>0</v>
      </c>
      <c r="R3" s="37">
        <f>INDEX(ТрЗ_ОП!$P$11:$P$102,MATCH(R2,ТрЗ_ОП!$O$11:$O$102,0))</f>
        <v>0</v>
      </c>
      <c r="S3" s="1933"/>
      <c r="T3" s="37">
        <f>INDEX(ТрЗ_ОП!$P$11:$P$102,MATCH(T2,ТрЗ_ОП!$O$11:$O$102,0))</f>
        <v>0</v>
      </c>
      <c r="U3" s="37">
        <f>INDEX(ТрЗ_ОП!$P$11:$P$102,MATCH(U2,ТрЗ_ОП!$O$11:$O$102,0))</f>
        <v>0</v>
      </c>
      <c r="V3" s="37">
        <f>INDEX(ТрЗ_ОП!$P$11:$P$102,MATCH(V2,ТрЗ_ОП!$O$11:$O$102,0))</f>
        <v>0</v>
      </c>
      <c r="W3" s="1933"/>
      <c r="X3" s="37">
        <f>INDEX(ТрЗ_ОП!$P$11:$P$102,MATCH(X2,ТрЗ_ОП!$O$11:$O$102,0))</f>
        <v>0</v>
      </c>
      <c r="Y3" s="37">
        <f>INDEX(ТрЗ_ОП!$P$11:$P$102,MATCH(Y2,ТрЗ_ОП!$O$11:$O$102,0))</f>
        <v>0</v>
      </c>
      <c r="Z3" s="37">
        <f>INDEX(ТрЗ_ОП!$P$11:$P$102,MATCH(Z2,ТрЗ_ОП!$O$11:$O$102,0))</f>
        <v>0</v>
      </c>
      <c r="AA3" s="1933"/>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42"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42"/>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75"/>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42"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42"/>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42"/>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42"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42"/>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42"/>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39"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38"/>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38"/>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38"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38"/>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38"/>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38"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38"/>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38"/>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38"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38"/>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38"/>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38"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38"/>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38"/>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38"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38"/>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38"/>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38"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38"/>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36"/>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922"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922"/>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922"/>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42"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42"/>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42"/>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73"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73"/>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73"/>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73"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73"/>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73"/>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73"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73"/>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73"/>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73"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73"/>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73"/>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73"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73"/>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73"/>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73"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73"/>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73"/>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73"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73"/>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73"/>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73"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73"/>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73"/>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88"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88"/>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88"/>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73"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73"/>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73"/>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73"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73"/>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73"/>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73"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73"/>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73"/>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73"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73"/>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73"/>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89"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89"/>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89"/>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42"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42"/>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42"/>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73"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73"/>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73"/>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73"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73"/>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73"/>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73"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73"/>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73"/>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73"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73"/>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73"/>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922"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922"/>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74"/>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30" t="str">
        <f>'Служебный АСУТП'!I2</f>
        <v>Vipnet Coordinator HW</v>
      </c>
      <c r="E1" s="1931"/>
      <c r="F1" s="1931"/>
      <c r="G1" s="1932"/>
      <c r="H1" s="1930" t="str">
        <f>'Служебный АСУТП'!I3</f>
        <v>Vipnet Coordinator IG</v>
      </c>
      <c r="I1" s="1931"/>
      <c r="J1" s="1931"/>
      <c r="K1" s="1932"/>
      <c r="L1" s="1930" t="str">
        <f>'Служебный АСУТП'!I4</f>
        <v>C-TERRA ШЛЮЗ</v>
      </c>
      <c r="M1" s="1931"/>
      <c r="N1" s="1931"/>
      <c r="O1" s="1932"/>
      <c r="P1" s="1930" t="str">
        <f>'Служебный АСУТП'!I5</f>
        <v>АПКШ Континент</v>
      </c>
      <c r="Q1" s="1931"/>
      <c r="R1" s="1931"/>
      <c r="S1" s="1932"/>
      <c r="T1" s="1930" t="str">
        <f>'Служебный АСУТП'!I6</f>
        <v>ЗАСТАВА</v>
      </c>
      <c r="U1" s="1931"/>
      <c r="V1" s="1931"/>
      <c r="W1" s="1932"/>
    </row>
    <row r="2" spans="1:23" ht="31.5" customHeight="1" x14ac:dyDescent="0.25">
      <c r="B2" s="41" t="s">
        <v>37</v>
      </c>
      <c r="C2" s="1940" t="s">
        <v>35</v>
      </c>
      <c r="D2" s="434" t="s">
        <v>204</v>
      </c>
      <c r="E2" s="438" t="s">
        <v>93</v>
      </c>
      <c r="F2" s="438" t="s">
        <v>205</v>
      </c>
      <c r="G2" s="1933" t="s">
        <v>38</v>
      </c>
      <c r="H2" s="547" t="s">
        <v>204</v>
      </c>
      <c r="I2" s="548" t="s">
        <v>93</v>
      </c>
      <c r="J2" s="548" t="s">
        <v>205</v>
      </c>
      <c r="K2" s="1933" t="s">
        <v>38</v>
      </c>
      <c r="L2" s="547" t="s">
        <v>204</v>
      </c>
      <c r="M2" s="548" t="s">
        <v>93</v>
      </c>
      <c r="N2" s="548" t="s">
        <v>205</v>
      </c>
      <c r="O2" s="1933" t="s">
        <v>38</v>
      </c>
      <c r="P2" s="547" t="s">
        <v>204</v>
      </c>
      <c r="Q2" s="548" t="s">
        <v>93</v>
      </c>
      <c r="R2" s="548" t="s">
        <v>205</v>
      </c>
      <c r="S2" s="1933" t="s">
        <v>38</v>
      </c>
      <c r="T2" s="547" t="s">
        <v>204</v>
      </c>
      <c r="U2" s="548" t="s">
        <v>93</v>
      </c>
      <c r="V2" s="548" t="s">
        <v>205</v>
      </c>
      <c r="W2" s="1933" t="s">
        <v>38</v>
      </c>
    </row>
    <row r="3" spans="1:23" ht="16.5" thickBot="1" x14ac:dyDescent="0.3">
      <c r="A3" s="12" t="s">
        <v>36</v>
      </c>
      <c r="B3" s="42">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c r="L3" s="37">
        <f>INDEX(ТрЗ_ОП!$P$11:$P$102,MATCH(L2,ТрЗ_ОП!$O$11:$O$102,0))</f>
        <v>0</v>
      </c>
      <c r="M3" s="37">
        <f>INDEX(ТрЗ_ОП!$P$11:$P$102,MATCH(M2,ТрЗ_ОП!$O$11:$O$102,0))</f>
        <v>0</v>
      </c>
      <c r="N3" s="37">
        <f>INDEX(ТрЗ_ОП!$P$11:$P$102,MATCH(N2,ТрЗ_ОП!$O$11:$O$102,0))</f>
        <v>0</v>
      </c>
      <c r="O3" s="1976"/>
      <c r="P3" s="37">
        <f>INDEX(ТрЗ_ОП!$P$11:$P$102,MATCH(P2,ТрЗ_ОП!$O$11:$O$102,0))</f>
        <v>0</v>
      </c>
      <c r="Q3" s="37">
        <f>INDEX(ТрЗ_ОП!$P$11:$P$102,MATCH(Q2,ТрЗ_ОП!$O$11:$O$102,0))</f>
        <v>0</v>
      </c>
      <c r="R3" s="37">
        <f>INDEX(ТрЗ_ОП!$P$11:$P$102,MATCH(R2,ТрЗ_ОП!$O$11:$O$102,0))</f>
        <v>0</v>
      </c>
      <c r="S3" s="1976"/>
      <c r="T3" s="37">
        <f>INDEX(ТрЗ_ОП!$P$11:$P$102,MATCH(T2,ТрЗ_ОП!$O$11:$O$102,0))</f>
        <v>0</v>
      </c>
      <c r="U3" s="37">
        <f>INDEX(ТрЗ_ОП!$P$11:$P$102,MATCH(U2,ТрЗ_ОП!$O$11:$O$102,0))</f>
        <v>0</v>
      </c>
      <c r="V3" s="37">
        <f>INDEX(ТрЗ_ОП!$P$11:$P$102,MATCH(V2,ТрЗ_ОП!$O$11:$O$102,0))</f>
        <v>0</v>
      </c>
      <c r="W3" s="1976"/>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81"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42"/>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75"/>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42"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42"/>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42"/>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2"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42"/>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42"/>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9"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38"/>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38"/>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38"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38"/>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38"/>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38"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38"/>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38"/>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38"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38"/>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38"/>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38"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38"/>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38"/>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38"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38"/>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38"/>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38"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38"/>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36"/>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42"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42"/>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42"/>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42"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42"/>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42"/>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35"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35"/>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35"/>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35"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35"/>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35"/>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35"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35"/>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35"/>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35"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35"/>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35"/>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35"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35"/>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35"/>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35"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35"/>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35"/>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35"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35"/>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35"/>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45"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45"/>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45"/>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35"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35"/>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35"/>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35"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35"/>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35"/>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35"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35"/>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35"/>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35"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35"/>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35"/>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35"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35"/>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35"/>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44"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44"/>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44"/>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42"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42"/>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42"/>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73"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73"/>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73"/>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73"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73"/>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73"/>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73"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73"/>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73"/>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73"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73"/>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73"/>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922"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922"/>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74"/>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30" t="str">
        <f>'Служебный АСУТП'!S2</f>
        <v>Базис.WorkPlace</v>
      </c>
      <c r="E1" s="1931"/>
      <c r="F1" s="1931"/>
      <c r="G1" s="1932"/>
      <c r="H1" s="1979" t="str">
        <f>'Служебный АСУТП'!S3</f>
        <v>Termidesk VDI</v>
      </c>
      <c r="I1" s="1934"/>
      <c r="J1" s="1934"/>
      <c r="K1" s="1934"/>
      <c r="L1" s="1934" t="str">
        <f>'Служебный АСУТП'!S4</f>
        <v>Space VDI</v>
      </c>
      <c r="M1" s="1934"/>
      <c r="N1" s="1934"/>
      <c r="O1" s="1934"/>
      <c r="P1" s="1934" t="str">
        <f>'Служебный АСУТП'!S5</f>
        <v>Горизонт-ВС VDI</v>
      </c>
      <c r="Q1" s="1934"/>
      <c r="R1" s="1934"/>
      <c r="S1" s="1934"/>
      <c r="T1" s="1934" t="str">
        <f>'Служебный АСУТП'!S6</f>
        <v>РУСТЭК.VDI</v>
      </c>
      <c r="U1" s="1934"/>
      <c r="V1" s="1934"/>
      <c r="W1" s="1934"/>
    </row>
    <row r="2" spans="1:23" ht="15.75" x14ac:dyDescent="0.25">
      <c r="B2" s="41" t="s">
        <v>37</v>
      </c>
      <c r="C2" s="1940" t="s">
        <v>35</v>
      </c>
      <c r="D2" s="684" t="s">
        <v>580</v>
      </c>
      <c r="E2" s="645" t="s">
        <v>578</v>
      </c>
      <c r="F2" s="645" t="s">
        <v>579</v>
      </c>
      <c r="G2" s="1933" t="s">
        <v>38</v>
      </c>
      <c r="H2" s="684" t="s">
        <v>580</v>
      </c>
      <c r="I2" s="645" t="s">
        <v>578</v>
      </c>
      <c r="J2" s="645" t="s">
        <v>579</v>
      </c>
      <c r="K2" s="1933" t="s">
        <v>38</v>
      </c>
      <c r="L2" s="684" t="s">
        <v>580</v>
      </c>
      <c r="M2" s="645" t="s">
        <v>578</v>
      </c>
      <c r="N2" s="645" t="s">
        <v>579</v>
      </c>
      <c r="O2" s="1933" t="s">
        <v>38</v>
      </c>
      <c r="P2" s="684" t="s">
        <v>580</v>
      </c>
      <c r="Q2" s="645" t="s">
        <v>578</v>
      </c>
      <c r="R2" s="645" t="s">
        <v>579</v>
      </c>
      <c r="S2" s="1933" t="s">
        <v>38</v>
      </c>
      <c r="T2" s="684" t="s">
        <v>580</v>
      </c>
      <c r="U2" s="645" t="s">
        <v>578</v>
      </c>
      <c r="V2" s="645" t="s">
        <v>579</v>
      </c>
      <c r="W2" s="1933" t="s">
        <v>38</v>
      </c>
    </row>
    <row r="3" spans="1:23"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c r="P3" s="37">
        <f>INDEX(ТрЗ_ОП!$P$11:$P$102,MATCH(P2,ТрЗ_ОП!$O$11:$O$102,0))</f>
        <v>0</v>
      </c>
      <c r="Q3" s="37">
        <f>INDEX(ТрЗ_ОП!$P$11:$P$102,MATCH(Q2,ТрЗ_ОП!$O$11:$O$102,0))</f>
        <v>0</v>
      </c>
      <c r="R3" s="37">
        <f>INDEX(ТрЗ_ОП!$P$11:$P$102,MATCH(R2,ТрЗ_ОП!$O$11:$O$102,0))</f>
        <v>0</v>
      </c>
      <c r="S3" s="1933"/>
      <c r="T3" s="37">
        <f>INDEX(ТрЗ_ОП!$P$11:$P$102,MATCH(T2,ТрЗ_ОП!$O$11:$O$102,0))</f>
        <v>0</v>
      </c>
      <c r="U3" s="37">
        <f>INDEX(ТрЗ_ОП!$P$11:$P$102,MATCH(U2,ТрЗ_ОП!$O$11:$O$102,0))</f>
        <v>0</v>
      </c>
      <c r="V3" s="37">
        <f>INDEX(ТрЗ_ОП!$P$11:$P$102,MATCH(V2,ТрЗ_ОП!$O$11:$O$102,0))</f>
        <v>0</v>
      </c>
      <c r="W3" s="1933"/>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2"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42"/>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75"/>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42"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42"/>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42"/>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42"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42"/>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42"/>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39"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38"/>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38"/>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38"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38"/>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38"/>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38"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38"/>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38"/>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38"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38"/>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38"/>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38"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38"/>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38"/>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38"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38"/>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38"/>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38"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38"/>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36"/>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922"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922"/>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922"/>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922"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922"/>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922"/>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73"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73"/>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73"/>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73"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73"/>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73"/>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73"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73"/>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73"/>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73"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73"/>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73"/>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73"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73"/>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73"/>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73"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73"/>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73"/>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73"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73"/>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73"/>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73"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73"/>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73"/>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88"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88"/>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88"/>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73"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73"/>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73"/>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73"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73"/>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73"/>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73"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73"/>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73"/>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73"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73"/>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73"/>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89"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89"/>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89"/>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922"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922"/>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922"/>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73"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73"/>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73"/>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73"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73"/>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73"/>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73"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73"/>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73"/>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73"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73"/>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73"/>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922"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922"/>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74"/>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30" t="str">
        <f>'Служебный АСУТП'!T2</f>
        <v xml:space="preserve">PGSQL Pro </v>
      </c>
      <c r="E1" s="1931"/>
      <c r="F1" s="1931"/>
      <c r="G1" s="1932"/>
      <c r="H1" s="1930" t="str">
        <f>'Служебный АСУТП'!T3</f>
        <v xml:space="preserve">СУБД ЛИНТЕР БАСТИОН </v>
      </c>
      <c r="I1" s="1931"/>
      <c r="J1" s="1931"/>
      <c r="K1" s="1932"/>
    </row>
    <row r="2" spans="1:11" ht="15.75" x14ac:dyDescent="0.25">
      <c r="B2" s="41" t="s">
        <v>37</v>
      </c>
      <c r="C2" s="1940" t="s">
        <v>35</v>
      </c>
      <c r="D2" s="439" t="s">
        <v>618</v>
      </c>
      <c r="E2" s="718" t="s">
        <v>618</v>
      </c>
      <c r="F2" s="718" t="s">
        <v>618</v>
      </c>
      <c r="G2" s="1933" t="s">
        <v>38</v>
      </c>
      <c r="H2" s="718" t="s">
        <v>618</v>
      </c>
      <c r="I2" s="718" t="s">
        <v>618</v>
      </c>
      <c r="J2" s="718" t="s">
        <v>618</v>
      </c>
      <c r="K2" s="1933" t="s">
        <v>38</v>
      </c>
    </row>
    <row r="3" spans="1:11"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row>
    <row r="4" spans="1:11" ht="16.5" thickBot="1" x14ac:dyDescent="0.3">
      <c r="A4" s="326" t="s">
        <v>448</v>
      </c>
      <c r="B4" s="327"/>
      <c r="C4" s="327"/>
      <c r="D4" s="327"/>
      <c r="E4" s="327"/>
      <c r="F4" s="327"/>
      <c r="G4" s="327"/>
      <c r="H4" s="327"/>
      <c r="I4" s="327"/>
      <c r="J4" s="327"/>
      <c r="K4" s="327"/>
    </row>
    <row r="5" spans="1:11" x14ac:dyDescent="0.25">
      <c r="A5" s="1942" t="s">
        <v>0</v>
      </c>
      <c r="B5" s="1723" t="s">
        <v>32</v>
      </c>
      <c r="C5" s="1724"/>
      <c r="D5" s="1725">
        <v>1</v>
      </c>
      <c r="E5" s="1725">
        <v>0</v>
      </c>
      <c r="F5" s="1725">
        <v>0</v>
      </c>
      <c r="G5" s="1727">
        <f xml:space="preserve"> SUM(D5:F5) + $C5</f>
        <v>1</v>
      </c>
      <c r="H5" s="1725">
        <v>1</v>
      </c>
      <c r="I5" s="1725">
        <v>0</v>
      </c>
      <c r="J5" s="1725">
        <v>0</v>
      </c>
      <c r="K5" s="1727">
        <f t="shared" ref="K5:K10" si="0" xml:space="preserve"> SUM(H5:J5) + $C5</f>
        <v>1</v>
      </c>
    </row>
    <row r="6" spans="1:11" x14ac:dyDescent="0.25">
      <c r="A6" s="1942"/>
      <c r="B6" s="19" t="s">
        <v>33</v>
      </c>
      <c r="C6" s="22"/>
      <c r="D6" s="11">
        <v>0.5</v>
      </c>
      <c r="E6" s="11">
        <v>0</v>
      </c>
      <c r="F6" s="11">
        <v>0</v>
      </c>
      <c r="G6" s="21">
        <f xml:space="preserve"> SUM(D6:F6) + $C6</f>
        <v>0.5</v>
      </c>
      <c r="H6" s="813">
        <v>0.5</v>
      </c>
      <c r="I6" s="813">
        <v>0</v>
      </c>
      <c r="J6" s="813">
        <v>0</v>
      </c>
      <c r="K6" s="21">
        <f t="shared" si="0"/>
        <v>0.5</v>
      </c>
    </row>
    <row r="7" spans="1:11" x14ac:dyDescent="0.25">
      <c r="A7" s="1975"/>
      <c r="B7" s="19" t="s">
        <v>34</v>
      </c>
      <c r="C7" s="22"/>
      <c r="D7" s="11">
        <v>1</v>
      </c>
      <c r="E7" s="11">
        <v>0</v>
      </c>
      <c r="F7" s="11">
        <v>0</v>
      </c>
      <c r="G7" s="21">
        <f xml:space="preserve"> SUM(D7:F7) + $C7</f>
        <v>1</v>
      </c>
      <c r="H7" s="813">
        <v>1</v>
      </c>
      <c r="I7" s="813">
        <v>0</v>
      </c>
      <c r="J7" s="813">
        <v>0</v>
      </c>
      <c r="K7" s="21">
        <f t="shared" si="0"/>
        <v>1</v>
      </c>
    </row>
    <row r="8" spans="1:11" x14ac:dyDescent="0.25">
      <c r="A8" s="1942" t="s">
        <v>449</v>
      </c>
      <c r="B8" s="1723" t="s">
        <v>32</v>
      </c>
      <c r="C8" s="1724"/>
      <c r="D8" s="1725">
        <v>1</v>
      </c>
      <c r="E8" s="1737">
        <v>0</v>
      </c>
      <c r="F8" s="1737">
        <v>0</v>
      </c>
      <c r="G8" s="1730">
        <f xml:space="preserve"> SUM(D8:F8) + $C8</f>
        <v>1</v>
      </c>
      <c r="H8" s="1725">
        <v>1</v>
      </c>
      <c r="I8" s="1737">
        <v>0</v>
      </c>
      <c r="J8" s="1737">
        <v>0</v>
      </c>
      <c r="K8" s="1730">
        <f t="shared" si="0"/>
        <v>1</v>
      </c>
    </row>
    <row r="9" spans="1:11" x14ac:dyDescent="0.25">
      <c r="A9" s="1942"/>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42"/>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42" t="s">
        <v>2</v>
      </c>
      <c r="B12" s="1723" t="s">
        <v>32</v>
      </c>
      <c r="C12" s="1724"/>
      <c r="D12" s="1725">
        <v>4</v>
      </c>
      <c r="E12" s="1725">
        <v>0</v>
      </c>
      <c r="F12" s="1725">
        <v>0</v>
      </c>
      <c r="G12" s="1727">
        <f t="shared" si="1"/>
        <v>4</v>
      </c>
      <c r="H12" s="1725">
        <v>4</v>
      </c>
      <c r="I12" s="1725">
        <v>0</v>
      </c>
      <c r="J12" s="1725">
        <v>0</v>
      </c>
      <c r="K12" s="1727">
        <f xml:space="preserve"> SUM(H12:J12) + $C12</f>
        <v>4</v>
      </c>
    </row>
    <row r="13" spans="1:11" x14ac:dyDescent="0.25">
      <c r="A13" s="1942"/>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42"/>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39" t="s">
        <v>4</v>
      </c>
      <c r="B16" s="1731" t="s">
        <v>32</v>
      </c>
      <c r="C16" s="1724"/>
      <c r="D16" s="1755">
        <v>0</v>
      </c>
      <c r="E16" s="1755">
        <v>0</v>
      </c>
      <c r="F16" s="1756">
        <v>0</v>
      </c>
      <c r="G16" s="1727">
        <f t="shared" si="1"/>
        <v>0</v>
      </c>
      <c r="H16" s="1755">
        <v>0</v>
      </c>
      <c r="I16" s="1755">
        <v>0</v>
      </c>
      <c r="J16" s="1756">
        <v>0</v>
      </c>
      <c r="K16" s="1727">
        <f t="shared" ref="K16:K36" si="2" xml:space="preserve"> SUM(H16:J16) + $C16</f>
        <v>0</v>
      </c>
    </row>
    <row r="17" spans="1:11" x14ac:dyDescent="0.25">
      <c r="A17" s="1938"/>
      <c r="B17" s="18" t="s">
        <v>33</v>
      </c>
      <c r="C17" s="22"/>
      <c r="D17" s="533">
        <v>0</v>
      </c>
      <c r="E17" s="15">
        <v>0</v>
      </c>
      <c r="F17" s="33">
        <v>0</v>
      </c>
      <c r="G17" s="21">
        <f t="shared" si="1"/>
        <v>0</v>
      </c>
      <c r="H17" s="918">
        <v>0</v>
      </c>
      <c r="I17" s="814">
        <v>0</v>
      </c>
      <c r="J17" s="819">
        <v>0</v>
      </c>
      <c r="K17" s="21">
        <f t="shared" si="2"/>
        <v>0</v>
      </c>
    </row>
    <row r="18" spans="1:11" x14ac:dyDescent="0.25">
      <c r="A18" s="1938"/>
      <c r="B18" s="18" t="s">
        <v>34</v>
      </c>
      <c r="C18" s="22"/>
      <c r="D18" s="533">
        <v>0</v>
      </c>
      <c r="E18" s="15">
        <v>0</v>
      </c>
      <c r="F18" s="33">
        <v>0</v>
      </c>
      <c r="G18" s="21">
        <f t="shared" si="1"/>
        <v>0</v>
      </c>
      <c r="H18" s="918">
        <v>0</v>
      </c>
      <c r="I18" s="814">
        <v>0</v>
      </c>
      <c r="J18" s="819">
        <v>0</v>
      </c>
      <c r="K18" s="21">
        <f t="shared" si="2"/>
        <v>0</v>
      </c>
    </row>
    <row r="19" spans="1:11" x14ac:dyDescent="0.25">
      <c r="A19" s="1938" t="s">
        <v>5</v>
      </c>
      <c r="B19" s="1728" t="s">
        <v>32</v>
      </c>
      <c r="C19" s="1729"/>
      <c r="D19" s="1735">
        <v>1</v>
      </c>
      <c r="E19" s="1736">
        <v>0</v>
      </c>
      <c r="F19" s="1738">
        <v>0</v>
      </c>
      <c r="G19" s="1730">
        <f t="shared" si="1"/>
        <v>1</v>
      </c>
      <c r="H19" s="1735">
        <v>1</v>
      </c>
      <c r="I19" s="1736">
        <v>0</v>
      </c>
      <c r="J19" s="1738">
        <v>0</v>
      </c>
      <c r="K19" s="1730">
        <f t="shared" si="2"/>
        <v>1</v>
      </c>
    </row>
    <row r="20" spans="1:11" x14ac:dyDescent="0.25">
      <c r="A20" s="1938"/>
      <c r="B20" s="19" t="s">
        <v>33</v>
      </c>
      <c r="C20" s="22"/>
      <c r="D20" s="38">
        <v>0.5</v>
      </c>
      <c r="E20" s="15">
        <v>0</v>
      </c>
      <c r="F20" s="33">
        <v>0</v>
      </c>
      <c r="G20" s="21">
        <f t="shared" si="1"/>
        <v>0.5</v>
      </c>
      <c r="H20" s="821">
        <v>0.5</v>
      </c>
      <c r="I20" s="814">
        <v>0</v>
      </c>
      <c r="J20" s="819">
        <v>0</v>
      </c>
      <c r="K20" s="21">
        <f t="shared" si="2"/>
        <v>0.5</v>
      </c>
    </row>
    <row r="21" spans="1:11" x14ac:dyDescent="0.25">
      <c r="A21" s="1938"/>
      <c r="B21" s="19" t="s">
        <v>34</v>
      </c>
      <c r="C21" s="22"/>
      <c r="D21" s="821">
        <v>0.5</v>
      </c>
      <c r="E21" s="15">
        <v>0</v>
      </c>
      <c r="F21" s="33">
        <v>0</v>
      </c>
      <c r="G21" s="21">
        <f t="shared" si="1"/>
        <v>0.5</v>
      </c>
      <c r="H21" s="821">
        <v>0.5</v>
      </c>
      <c r="I21" s="814">
        <v>0</v>
      </c>
      <c r="J21" s="819">
        <v>0</v>
      </c>
      <c r="K21" s="21">
        <f t="shared" si="2"/>
        <v>0.5</v>
      </c>
    </row>
    <row r="22" spans="1:11" x14ac:dyDescent="0.25">
      <c r="A22" s="1938" t="s">
        <v>6</v>
      </c>
      <c r="B22" s="1728" t="s">
        <v>32</v>
      </c>
      <c r="C22" s="1729"/>
      <c r="D22" s="1737">
        <v>4</v>
      </c>
      <c r="E22" s="1737">
        <v>0</v>
      </c>
      <c r="F22" s="1737">
        <v>0</v>
      </c>
      <c r="G22" s="1730">
        <f t="shared" si="1"/>
        <v>4</v>
      </c>
      <c r="H22" s="1737">
        <v>4</v>
      </c>
      <c r="I22" s="1737">
        <v>0</v>
      </c>
      <c r="J22" s="1737">
        <v>0</v>
      </c>
      <c r="K22" s="1730">
        <f t="shared" si="2"/>
        <v>4</v>
      </c>
    </row>
    <row r="23" spans="1:11" x14ac:dyDescent="0.25">
      <c r="A23" s="1938"/>
      <c r="B23" s="19" t="s">
        <v>33</v>
      </c>
      <c r="C23" s="22"/>
      <c r="D23" s="11">
        <v>1</v>
      </c>
      <c r="E23" s="186">
        <v>0</v>
      </c>
      <c r="F23" s="11">
        <v>0</v>
      </c>
      <c r="G23" s="21">
        <f t="shared" si="1"/>
        <v>1</v>
      </c>
      <c r="H23" s="813">
        <v>1</v>
      </c>
      <c r="I23" s="634">
        <v>0</v>
      </c>
      <c r="J23" s="813">
        <v>0</v>
      </c>
      <c r="K23" s="21">
        <f t="shared" si="2"/>
        <v>1</v>
      </c>
    </row>
    <row r="24" spans="1:11" x14ac:dyDescent="0.25">
      <c r="A24" s="1938"/>
      <c r="B24" s="19" t="s">
        <v>34</v>
      </c>
      <c r="C24" s="22"/>
      <c r="D24" s="11">
        <v>2</v>
      </c>
      <c r="E24" s="186">
        <v>0</v>
      </c>
      <c r="F24" s="11">
        <v>0</v>
      </c>
      <c r="G24" s="21">
        <f t="shared" si="1"/>
        <v>2</v>
      </c>
      <c r="H24" s="813">
        <v>2</v>
      </c>
      <c r="I24" s="634">
        <v>0</v>
      </c>
      <c r="J24" s="813">
        <v>0</v>
      </c>
      <c r="K24" s="21">
        <f t="shared" si="2"/>
        <v>2</v>
      </c>
    </row>
    <row r="25" spans="1:11" x14ac:dyDescent="0.25">
      <c r="A25" s="1938" t="s">
        <v>7</v>
      </c>
      <c r="B25" s="1728" t="s">
        <v>32</v>
      </c>
      <c r="C25" s="1729"/>
      <c r="D25" s="1735">
        <v>0</v>
      </c>
      <c r="E25" s="1736">
        <v>0</v>
      </c>
      <c r="F25" s="1738">
        <v>0</v>
      </c>
      <c r="G25" s="1730">
        <f t="shared" si="1"/>
        <v>0</v>
      </c>
      <c r="H25" s="1735">
        <v>0</v>
      </c>
      <c r="I25" s="1736">
        <v>0</v>
      </c>
      <c r="J25" s="1738">
        <v>0</v>
      </c>
      <c r="K25" s="1730">
        <f t="shared" si="2"/>
        <v>0</v>
      </c>
    </row>
    <row r="26" spans="1:11" x14ac:dyDescent="0.25">
      <c r="A26" s="1938"/>
      <c r="B26" s="19" t="s">
        <v>33</v>
      </c>
      <c r="C26" s="22"/>
      <c r="D26" s="38">
        <v>0</v>
      </c>
      <c r="E26" s="15">
        <v>0</v>
      </c>
      <c r="F26" s="33">
        <v>0</v>
      </c>
      <c r="G26" s="21">
        <f t="shared" si="1"/>
        <v>0</v>
      </c>
      <c r="H26" s="821">
        <v>0</v>
      </c>
      <c r="I26" s="814">
        <v>0</v>
      </c>
      <c r="J26" s="819">
        <v>0</v>
      </c>
      <c r="K26" s="21">
        <f t="shared" si="2"/>
        <v>0</v>
      </c>
    </row>
    <row r="27" spans="1:11" x14ac:dyDescent="0.25">
      <c r="A27" s="1938"/>
      <c r="B27" s="19" t="s">
        <v>34</v>
      </c>
      <c r="C27" s="22"/>
      <c r="D27" s="38">
        <v>0</v>
      </c>
      <c r="E27" s="15">
        <v>0</v>
      </c>
      <c r="F27" s="33">
        <v>0</v>
      </c>
      <c r="G27" s="21">
        <f t="shared" si="1"/>
        <v>0</v>
      </c>
      <c r="H27" s="821">
        <v>0</v>
      </c>
      <c r="I27" s="814">
        <v>0</v>
      </c>
      <c r="J27" s="819">
        <v>0</v>
      </c>
      <c r="K27" s="21">
        <f t="shared" si="2"/>
        <v>0</v>
      </c>
    </row>
    <row r="28" spans="1:11" x14ac:dyDescent="0.25">
      <c r="A28" s="1938" t="s">
        <v>8</v>
      </c>
      <c r="B28" s="1728" t="s">
        <v>32</v>
      </c>
      <c r="C28" s="1729"/>
      <c r="D28" s="1735">
        <v>2</v>
      </c>
      <c r="E28" s="1736">
        <v>0</v>
      </c>
      <c r="F28" s="1738">
        <v>0</v>
      </c>
      <c r="G28" s="1730">
        <f t="shared" si="1"/>
        <v>2</v>
      </c>
      <c r="H28" s="1735">
        <v>2</v>
      </c>
      <c r="I28" s="1736">
        <v>0</v>
      </c>
      <c r="J28" s="1738">
        <v>0</v>
      </c>
      <c r="K28" s="1730">
        <f t="shared" si="2"/>
        <v>2</v>
      </c>
    </row>
    <row r="29" spans="1:11" x14ac:dyDescent="0.25">
      <c r="A29" s="1938"/>
      <c r="B29" s="19" t="s">
        <v>33</v>
      </c>
      <c r="C29" s="22"/>
      <c r="D29" s="38">
        <v>0.5</v>
      </c>
      <c r="E29" s="15">
        <v>0</v>
      </c>
      <c r="F29" s="33">
        <v>0</v>
      </c>
      <c r="G29" s="21">
        <f t="shared" si="1"/>
        <v>0.5</v>
      </c>
      <c r="H29" s="821">
        <v>0.5</v>
      </c>
      <c r="I29" s="814">
        <v>0</v>
      </c>
      <c r="J29" s="819">
        <v>0</v>
      </c>
      <c r="K29" s="21">
        <f t="shared" si="2"/>
        <v>0.5</v>
      </c>
    </row>
    <row r="30" spans="1:11" x14ac:dyDescent="0.25">
      <c r="A30" s="1938"/>
      <c r="B30" s="19" t="s">
        <v>34</v>
      </c>
      <c r="C30" s="22"/>
      <c r="D30" s="38">
        <v>1.5</v>
      </c>
      <c r="E30" s="15">
        <v>0</v>
      </c>
      <c r="F30" s="33">
        <v>0</v>
      </c>
      <c r="G30" s="21">
        <f t="shared" si="1"/>
        <v>1.5</v>
      </c>
      <c r="H30" s="821">
        <v>1.5</v>
      </c>
      <c r="I30" s="814">
        <v>0</v>
      </c>
      <c r="J30" s="819">
        <v>0</v>
      </c>
      <c r="K30" s="21">
        <f t="shared" si="2"/>
        <v>1.5</v>
      </c>
    </row>
    <row r="31" spans="1:11" x14ac:dyDescent="0.25">
      <c r="A31" s="2323" t="s">
        <v>9</v>
      </c>
      <c r="B31" s="1728" t="s">
        <v>32</v>
      </c>
      <c r="C31" s="1729"/>
      <c r="D31" s="1735">
        <v>0</v>
      </c>
      <c r="E31" s="1736">
        <v>0</v>
      </c>
      <c r="F31" s="1736">
        <v>0</v>
      </c>
      <c r="G31" s="1730">
        <f t="shared" si="1"/>
        <v>0</v>
      </c>
      <c r="H31" s="1735">
        <v>0</v>
      </c>
      <c r="I31" s="1736">
        <v>0</v>
      </c>
      <c r="J31" s="1736">
        <v>0</v>
      </c>
      <c r="K31" s="1730">
        <f t="shared" si="2"/>
        <v>0</v>
      </c>
    </row>
    <row r="32" spans="1:11" x14ac:dyDescent="0.25">
      <c r="A32" s="2323"/>
      <c r="B32" s="19" t="s">
        <v>33</v>
      </c>
      <c r="C32" s="22"/>
      <c r="D32" s="523">
        <v>0</v>
      </c>
      <c r="E32" s="15">
        <v>0</v>
      </c>
      <c r="F32" s="15">
        <v>0</v>
      </c>
      <c r="G32" s="21">
        <f t="shared" si="1"/>
        <v>0</v>
      </c>
      <c r="H32" s="837">
        <v>0</v>
      </c>
      <c r="I32" s="814">
        <v>0</v>
      </c>
      <c r="J32" s="814">
        <v>0</v>
      </c>
      <c r="K32" s="21">
        <f t="shared" si="2"/>
        <v>0</v>
      </c>
    </row>
    <row r="33" spans="1:11" x14ac:dyDescent="0.25">
      <c r="A33" s="2323"/>
      <c r="B33" s="19" t="s">
        <v>34</v>
      </c>
      <c r="C33" s="22"/>
      <c r="D33" s="523">
        <v>0</v>
      </c>
      <c r="E33" s="15">
        <v>0</v>
      </c>
      <c r="F33" s="15">
        <v>0</v>
      </c>
      <c r="G33" s="21">
        <f t="shared" si="1"/>
        <v>0</v>
      </c>
      <c r="H33" s="837">
        <v>0</v>
      </c>
      <c r="I33" s="814">
        <v>0</v>
      </c>
      <c r="J33" s="814">
        <v>0</v>
      </c>
      <c r="K33" s="21">
        <f t="shared" si="2"/>
        <v>0</v>
      </c>
    </row>
    <row r="34" spans="1:11" x14ac:dyDescent="0.25">
      <c r="A34" s="1938" t="s">
        <v>10</v>
      </c>
      <c r="B34" s="1728" t="s">
        <v>32</v>
      </c>
      <c r="C34" s="1729"/>
      <c r="D34" s="1735">
        <v>0</v>
      </c>
      <c r="E34" s="1736">
        <v>0</v>
      </c>
      <c r="F34" s="1736">
        <v>0</v>
      </c>
      <c r="G34" s="1730">
        <f t="shared" si="1"/>
        <v>0</v>
      </c>
      <c r="H34" s="1735">
        <v>0</v>
      </c>
      <c r="I34" s="1736">
        <v>0</v>
      </c>
      <c r="J34" s="1736">
        <v>0</v>
      </c>
      <c r="K34" s="1730">
        <f t="shared" si="2"/>
        <v>0</v>
      </c>
    </row>
    <row r="35" spans="1:11" x14ac:dyDescent="0.25">
      <c r="A35" s="1938"/>
      <c r="B35" s="19" t="s">
        <v>33</v>
      </c>
      <c r="C35" s="22"/>
      <c r="D35" s="523">
        <v>0.5</v>
      </c>
      <c r="E35" s="15">
        <v>0</v>
      </c>
      <c r="F35" s="15">
        <v>0</v>
      </c>
      <c r="G35" s="21">
        <f t="shared" si="1"/>
        <v>0.5</v>
      </c>
      <c r="H35" s="837">
        <v>0.5</v>
      </c>
      <c r="I35" s="814">
        <v>0</v>
      </c>
      <c r="J35" s="814">
        <v>0</v>
      </c>
      <c r="K35" s="21">
        <f t="shared" si="2"/>
        <v>0.5</v>
      </c>
    </row>
    <row r="36" spans="1:11" ht="15.75" thickBot="1" x14ac:dyDescent="0.3">
      <c r="A36" s="1936"/>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42" t="s">
        <v>12</v>
      </c>
      <c r="B38" s="1723" t="s">
        <v>32</v>
      </c>
      <c r="C38" s="1724"/>
      <c r="D38" s="1725">
        <v>6</v>
      </c>
      <c r="E38" s="1725">
        <v>0</v>
      </c>
      <c r="F38" s="1725">
        <v>0</v>
      </c>
      <c r="G38" s="1727">
        <f t="shared" si="1"/>
        <v>6</v>
      </c>
      <c r="H38" s="1725">
        <v>6</v>
      </c>
      <c r="I38" s="1725">
        <v>0</v>
      </c>
      <c r="J38" s="1725">
        <v>0</v>
      </c>
      <c r="K38" s="1727">
        <f xml:space="preserve"> SUM(H38:J38) + $C38</f>
        <v>6</v>
      </c>
    </row>
    <row r="39" spans="1:11" x14ac:dyDescent="0.25">
      <c r="A39" s="1942"/>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42"/>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42" t="s">
        <v>14</v>
      </c>
      <c r="B42" s="1723" t="s">
        <v>32</v>
      </c>
      <c r="C42" s="1724"/>
      <c r="D42" s="1735">
        <v>1</v>
      </c>
      <c r="E42" s="1736">
        <v>0</v>
      </c>
      <c r="F42" s="1738">
        <v>0</v>
      </c>
      <c r="G42" s="1727">
        <f t="shared" si="1"/>
        <v>1</v>
      </c>
      <c r="H42" s="1735">
        <v>1</v>
      </c>
      <c r="I42" s="1736">
        <v>0</v>
      </c>
      <c r="J42" s="1738">
        <v>0</v>
      </c>
      <c r="K42" s="1727">
        <f t="shared" ref="K42:K86" si="3" xml:space="preserve"> SUM(H42:J42) + $C42</f>
        <v>1</v>
      </c>
    </row>
    <row r="43" spans="1:11" x14ac:dyDescent="0.25">
      <c r="A43" s="1942"/>
      <c r="B43" s="19" t="s">
        <v>33</v>
      </c>
      <c r="C43" s="22"/>
      <c r="D43" s="821">
        <v>0.5</v>
      </c>
      <c r="E43" s="15">
        <v>0</v>
      </c>
      <c r="F43" s="33">
        <v>0</v>
      </c>
      <c r="G43" s="21">
        <f t="shared" si="1"/>
        <v>0.5</v>
      </c>
      <c r="H43" s="821">
        <v>0.5</v>
      </c>
      <c r="I43" s="814">
        <v>0</v>
      </c>
      <c r="J43" s="819">
        <v>0</v>
      </c>
      <c r="K43" s="21">
        <f t="shared" si="3"/>
        <v>0.5</v>
      </c>
    </row>
    <row r="44" spans="1:11" x14ac:dyDescent="0.25">
      <c r="A44" s="1942"/>
      <c r="B44" s="19" t="s">
        <v>34</v>
      </c>
      <c r="C44" s="22"/>
      <c r="D44" s="821">
        <v>0.5</v>
      </c>
      <c r="E44" s="15">
        <v>0</v>
      </c>
      <c r="F44" s="33">
        <v>0</v>
      </c>
      <c r="G44" s="21">
        <f t="shared" si="1"/>
        <v>0.5</v>
      </c>
      <c r="H44" s="821">
        <v>0.5</v>
      </c>
      <c r="I44" s="814">
        <v>0</v>
      </c>
      <c r="J44" s="819">
        <v>0</v>
      </c>
      <c r="K44" s="21">
        <f t="shared" si="3"/>
        <v>0.5</v>
      </c>
    </row>
    <row r="45" spans="1:11" x14ac:dyDescent="0.25">
      <c r="A45" s="1935" t="s">
        <v>15</v>
      </c>
      <c r="B45" s="1728" t="s">
        <v>32</v>
      </c>
      <c r="C45" s="1729"/>
      <c r="D45" s="1735">
        <v>16</v>
      </c>
      <c r="E45" s="1736">
        <v>0</v>
      </c>
      <c r="F45" s="1736">
        <v>0</v>
      </c>
      <c r="G45" s="1730">
        <f t="shared" si="1"/>
        <v>16</v>
      </c>
      <c r="H45" s="1735">
        <v>16</v>
      </c>
      <c r="I45" s="1736">
        <v>0</v>
      </c>
      <c r="J45" s="1736">
        <v>0</v>
      </c>
      <c r="K45" s="1730">
        <f t="shared" si="3"/>
        <v>16</v>
      </c>
    </row>
    <row r="46" spans="1:11" x14ac:dyDescent="0.25">
      <c r="A46" s="1935"/>
      <c r="B46" s="19" t="s">
        <v>33</v>
      </c>
      <c r="C46" s="22"/>
      <c r="D46" s="38">
        <v>8</v>
      </c>
      <c r="E46" s="15">
        <v>0</v>
      </c>
      <c r="F46" s="15">
        <v>0</v>
      </c>
      <c r="G46" s="21">
        <f t="shared" si="1"/>
        <v>8</v>
      </c>
      <c r="H46" s="821">
        <v>8</v>
      </c>
      <c r="I46" s="814">
        <v>0</v>
      </c>
      <c r="J46" s="814">
        <v>0</v>
      </c>
      <c r="K46" s="21">
        <f t="shared" si="3"/>
        <v>8</v>
      </c>
    </row>
    <row r="47" spans="1:11" x14ac:dyDescent="0.25">
      <c r="A47" s="1935"/>
      <c r="B47" s="19" t="s">
        <v>34</v>
      </c>
      <c r="C47" s="22"/>
      <c r="D47" s="38">
        <v>12</v>
      </c>
      <c r="E47" s="15">
        <v>0</v>
      </c>
      <c r="F47" s="15">
        <v>0</v>
      </c>
      <c r="G47" s="21">
        <f t="shared" si="1"/>
        <v>12</v>
      </c>
      <c r="H47" s="821">
        <v>12</v>
      </c>
      <c r="I47" s="814">
        <v>0</v>
      </c>
      <c r="J47" s="814">
        <v>0</v>
      </c>
      <c r="K47" s="21">
        <f t="shared" si="3"/>
        <v>12</v>
      </c>
    </row>
    <row r="48" spans="1:11" x14ac:dyDescent="0.25">
      <c r="A48" s="1935" t="s">
        <v>16</v>
      </c>
      <c r="B48" s="1728" t="s">
        <v>32</v>
      </c>
      <c r="C48" s="1729"/>
      <c r="D48" s="1736">
        <v>0</v>
      </c>
      <c r="E48" s="1736">
        <v>0</v>
      </c>
      <c r="F48" s="1738">
        <v>0</v>
      </c>
      <c r="G48" s="1730">
        <f t="shared" si="1"/>
        <v>0</v>
      </c>
      <c r="H48" s="1736">
        <v>0</v>
      </c>
      <c r="I48" s="1736">
        <v>0</v>
      </c>
      <c r="J48" s="1738">
        <v>0</v>
      </c>
      <c r="K48" s="1730">
        <f t="shared" si="3"/>
        <v>0</v>
      </c>
    </row>
    <row r="49" spans="1:11" x14ac:dyDescent="0.25">
      <c r="A49" s="1935"/>
      <c r="B49" s="19" t="s">
        <v>33</v>
      </c>
      <c r="C49" s="22"/>
      <c r="D49" s="15">
        <v>0</v>
      </c>
      <c r="E49" s="15">
        <v>0</v>
      </c>
      <c r="F49" s="33">
        <v>0</v>
      </c>
      <c r="G49" s="21">
        <f t="shared" si="1"/>
        <v>0</v>
      </c>
      <c r="H49" s="814">
        <v>0</v>
      </c>
      <c r="I49" s="814">
        <v>0</v>
      </c>
      <c r="J49" s="819">
        <v>0</v>
      </c>
      <c r="K49" s="21">
        <f t="shared" si="3"/>
        <v>0</v>
      </c>
    </row>
    <row r="50" spans="1:11" x14ac:dyDescent="0.25">
      <c r="A50" s="1935"/>
      <c r="B50" s="19" t="s">
        <v>34</v>
      </c>
      <c r="C50" s="22"/>
      <c r="D50" s="15">
        <v>0</v>
      </c>
      <c r="E50" s="15">
        <v>0</v>
      </c>
      <c r="F50" s="33">
        <v>0</v>
      </c>
      <c r="G50" s="21">
        <f t="shared" si="1"/>
        <v>0</v>
      </c>
      <c r="H50" s="814">
        <v>0</v>
      </c>
      <c r="I50" s="814">
        <v>0</v>
      </c>
      <c r="J50" s="819">
        <v>0</v>
      </c>
      <c r="K50" s="21">
        <f t="shared" si="3"/>
        <v>0</v>
      </c>
    </row>
    <row r="51" spans="1:11" x14ac:dyDescent="0.25">
      <c r="A51" s="1935" t="s">
        <v>17</v>
      </c>
      <c r="B51" s="1728" t="s">
        <v>32</v>
      </c>
      <c r="C51" s="1729"/>
      <c r="D51" s="1736">
        <v>0</v>
      </c>
      <c r="E51" s="1736">
        <v>0</v>
      </c>
      <c r="F51" s="1736">
        <v>0</v>
      </c>
      <c r="G51" s="1730">
        <f t="shared" si="1"/>
        <v>0</v>
      </c>
      <c r="H51" s="1736">
        <v>0</v>
      </c>
      <c r="I51" s="1736">
        <v>0</v>
      </c>
      <c r="J51" s="1736">
        <v>0</v>
      </c>
      <c r="K51" s="1730">
        <f t="shared" si="3"/>
        <v>0</v>
      </c>
    </row>
    <row r="52" spans="1:11" x14ac:dyDescent="0.25">
      <c r="A52" s="1935"/>
      <c r="B52" s="19" t="s">
        <v>33</v>
      </c>
      <c r="C52" s="22"/>
      <c r="D52" s="15">
        <v>0</v>
      </c>
      <c r="E52" s="15">
        <v>0</v>
      </c>
      <c r="F52" s="15">
        <v>0</v>
      </c>
      <c r="G52" s="21">
        <f t="shared" si="1"/>
        <v>0</v>
      </c>
      <c r="H52" s="814">
        <v>0</v>
      </c>
      <c r="I52" s="814">
        <v>0</v>
      </c>
      <c r="J52" s="814">
        <v>0</v>
      </c>
      <c r="K52" s="21">
        <f t="shared" si="3"/>
        <v>0</v>
      </c>
    </row>
    <row r="53" spans="1:11" x14ac:dyDescent="0.25">
      <c r="A53" s="1935"/>
      <c r="B53" s="19" t="s">
        <v>34</v>
      </c>
      <c r="C53" s="22"/>
      <c r="D53" s="15">
        <v>0</v>
      </c>
      <c r="E53" s="15">
        <v>0</v>
      </c>
      <c r="F53" s="15">
        <v>0</v>
      </c>
      <c r="G53" s="21">
        <f t="shared" si="1"/>
        <v>0</v>
      </c>
      <c r="H53" s="814">
        <v>0</v>
      </c>
      <c r="I53" s="814">
        <v>0</v>
      </c>
      <c r="J53" s="814">
        <v>0</v>
      </c>
      <c r="K53" s="21">
        <f t="shared" si="3"/>
        <v>0</v>
      </c>
    </row>
    <row r="54" spans="1:11" x14ac:dyDescent="0.25">
      <c r="A54" s="1935" t="s">
        <v>18</v>
      </c>
      <c r="B54" s="1728" t="s">
        <v>32</v>
      </c>
      <c r="C54" s="1729"/>
      <c r="D54" s="1736">
        <v>0</v>
      </c>
      <c r="E54" s="1736">
        <v>0</v>
      </c>
      <c r="F54" s="1736">
        <v>0</v>
      </c>
      <c r="G54" s="1730">
        <f t="shared" si="1"/>
        <v>0</v>
      </c>
      <c r="H54" s="1736">
        <v>0</v>
      </c>
      <c r="I54" s="1736">
        <v>0</v>
      </c>
      <c r="J54" s="1736">
        <v>0</v>
      </c>
      <c r="K54" s="1730">
        <f t="shared" si="3"/>
        <v>0</v>
      </c>
    </row>
    <row r="55" spans="1:11" x14ac:dyDescent="0.25">
      <c r="A55" s="1935"/>
      <c r="B55" s="19" t="s">
        <v>33</v>
      </c>
      <c r="C55" s="22"/>
      <c r="D55" s="15">
        <v>0</v>
      </c>
      <c r="E55" s="15">
        <v>0</v>
      </c>
      <c r="F55" s="15">
        <v>0</v>
      </c>
      <c r="G55" s="21">
        <f t="shared" si="1"/>
        <v>0</v>
      </c>
      <c r="H55" s="814">
        <v>0</v>
      </c>
      <c r="I55" s="814">
        <v>0</v>
      </c>
      <c r="J55" s="814">
        <v>0</v>
      </c>
      <c r="K55" s="21">
        <f t="shared" si="3"/>
        <v>0</v>
      </c>
    </row>
    <row r="56" spans="1:11" x14ac:dyDescent="0.25">
      <c r="A56" s="1935"/>
      <c r="B56" s="19" t="s">
        <v>34</v>
      </c>
      <c r="C56" s="22"/>
      <c r="D56" s="15">
        <v>0</v>
      </c>
      <c r="E56" s="15">
        <v>0</v>
      </c>
      <c r="F56" s="15">
        <v>0</v>
      </c>
      <c r="G56" s="21">
        <f t="shared" si="1"/>
        <v>0</v>
      </c>
      <c r="H56" s="814">
        <v>0</v>
      </c>
      <c r="I56" s="814">
        <v>0</v>
      </c>
      <c r="J56" s="814">
        <v>0</v>
      </c>
      <c r="K56" s="21">
        <f t="shared" si="3"/>
        <v>0</v>
      </c>
    </row>
    <row r="57" spans="1:11" x14ac:dyDescent="0.25">
      <c r="A57" s="1935" t="s">
        <v>19</v>
      </c>
      <c r="B57" s="1728" t="s">
        <v>32</v>
      </c>
      <c r="C57" s="1729"/>
      <c r="D57" s="1735">
        <v>0.5</v>
      </c>
      <c r="E57" s="1736">
        <v>0</v>
      </c>
      <c r="F57" s="1736">
        <v>0</v>
      </c>
      <c r="G57" s="1730">
        <f t="shared" si="1"/>
        <v>0.5</v>
      </c>
      <c r="H57" s="1735">
        <v>0.5</v>
      </c>
      <c r="I57" s="1736">
        <v>0</v>
      </c>
      <c r="J57" s="1736">
        <v>0</v>
      </c>
      <c r="K57" s="1730">
        <f t="shared" si="3"/>
        <v>0.5</v>
      </c>
    </row>
    <row r="58" spans="1:11" x14ac:dyDescent="0.25">
      <c r="A58" s="1935"/>
      <c r="B58" s="19" t="s">
        <v>33</v>
      </c>
      <c r="C58" s="22"/>
      <c r="D58" s="38">
        <v>1</v>
      </c>
      <c r="E58" s="15">
        <v>0</v>
      </c>
      <c r="F58" s="15">
        <v>0</v>
      </c>
      <c r="G58" s="21">
        <f t="shared" si="1"/>
        <v>1</v>
      </c>
      <c r="H58" s="821">
        <v>1</v>
      </c>
      <c r="I58" s="814">
        <v>0</v>
      </c>
      <c r="J58" s="814">
        <v>0</v>
      </c>
      <c r="K58" s="21">
        <f t="shared" si="3"/>
        <v>1</v>
      </c>
    </row>
    <row r="59" spans="1:11" x14ac:dyDescent="0.25">
      <c r="A59" s="1935"/>
      <c r="B59" s="19" t="s">
        <v>34</v>
      </c>
      <c r="C59" s="22"/>
      <c r="D59" s="38">
        <v>2</v>
      </c>
      <c r="E59" s="15">
        <v>0</v>
      </c>
      <c r="F59" s="15">
        <v>0</v>
      </c>
      <c r="G59" s="21">
        <f t="shared" si="1"/>
        <v>2</v>
      </c>
      <c r="H59" s="821">
        <v>2</v>
      </c>
      <c r="I59" s="814">
        <v>0</v>
      </c>
      <c r="J59" s="814">
        <v>0</v>
      </c>
      <c r="K59" s="21">
        <f t="shared" si="3"/>
        <v>2</v>
      </c>
    </row>
    <row r="60" spans="1:11" x14ac:dyDescent="0.25">
      <c r="A60" s="1935" t="s">
        <v>20</v>
      </c>
      <c r="B60" s="1728" t="s">
        <v>32</v>
      </c>
      <c r="C60" s="1729"/>
      <c r="D60" s="1735">
        <v>8</v>
      </c>
      <c r="E60" s="1736">
        <v>0</v>
      </c>
      <c r="F60" s="1738">
        <v>0</v>
      </c>
      <c r="G60" s="1730">
        <f t="shared" si="1"/>
        <v>8</v>
      </c>
      <c r="H60" s="1735">
        <v>8</v>
      </c>
      <c r="I60" s="1736">
        <v>0</v>
      </c>
      <c r="J60" s="1738">
        <v>0</v>
      </c>
      <c r="K60" s="1730">
        <f t="shared" si="3"/>
        <v>8</v>
      </c>
    </row>
    <row r="61" spans="1:11" x14ac:dyDescent="0.25">
      <c r="A61" s="1935"/>
      <c r="B61" s="19" t="s">
        <v>33</v>
      </c>
      <c r="C61" s="22"/>
      <c r="D61" s="38">
        <v>2</v>
      </c>
      <c r="E61" s="15">
        <v>0</v>
      </c>
      <c r="F61" s="33">
        <v>0</v>
      </c>
      <c r="G61" s="21">
        <f t="shared" si="1"/>
        <v>2</v>
      </c>
      <c r="H61" s="821">
        <v>2</v>
      </c>
      <c r="I61" s="814">
        <v>0</v>
      </c>
      <c r="J61" s="819">
        <v>0</v>
      </c>
      <c r="K61" s="21">
        <f t="shared" si="3"/>
        <v>2</v>
      </c>
    </row>
    <row r="62" spans="1:11" x14ac:dyDescent="0.25">
      <c r="A62" s="1935"/>
      <c r="B62" s="19" t="s">
        <v>34</v>
      </c>
      <c r="C62" s="22"/>
      <c r="D62" s="38">
        <v>4</v>
      </c>
      <c r="E62" s="15">
        <v>0</v>
      </c>
      <c r="F62" s="33">
        <v>0</v>
      </c>
      <c r="G62" s="21">
        <f t="shared" si="1"/>
        <v>4</v>
      </c>
      <c r="H62" s="821">
        <v>4</v>
      </c>
      <c r="I62" s="814">
        <v>0</v>
      </c>
      <c r="J62" s="819">
        <v>0</v>
      </c>
      <c r="K62" s="21">
        <f t="shared" si="3"/>
        <v>4</v>
      </c>
    </row>
    <row r="63" spans="1:11" x14ac:dyDescent="0.25">
      <c r="A63" s="1935" t="s">
        <v>451</v>
      </c>
      <c r="B63" s="1728" t="s">
        <v>32</v>
      </c>
      <c r="C63" s="1729"/>
      <c r="D63" s="1736">
        <v>0</v>
      </c>
      <c r="E63" s="1736">
        <v>0</v>
      </c>
      <c r="F63" s="1736">
        <v>0</v>
      </c>
      <c r="G63" s="1730">
        <f t="shared" si="1"/>
        <v>0</v>
      </c>
      <c r="H63" s="1736">
        <v>0</v>
      </c>
      <c r="I63" s="1736">
        <v>0</v>
      </c>
      <c r="J63" s="1736">
        <v>0</v>
      </c>
      <c r="K63" s="1730">
        <f t="shared" si="3"/>
        <v>0</v>
      </c>
    </row>
    <row r="64" spans="1:11" x14ac:dyDescent="0.25">
      <c r="A64" s="1935"/>
      <c r="B64" s="19" t="s">
        <v>33</v>
      </c>
      <c r="C64" s="22"/>
      <c r="D64" s="15">
        <v>0</v>
      </c>
      <c r="E64" s="15">
        <v>0</v>
      </c>
      <c r="F64" s="15">
        <v>0</v>
      </c>
      <c r="G64" s="21">
        <f t="shared" si="1"/>
        <v>0</v>
      </c>
      <c r="H64" s="814">
        <v>0</v>
      </c>
      <c r="I64" s="814">
        <v>0</v>
      </c>
      <c r="J64" s="814">
        <v>0</v>
      </c>
      <c r="K64" s="21">
        <f t="shared" si="3"/>
        <v>0</v>
      </c>
    </row>
    <row r="65" spans="1:11" x14ac:dyDescent="0.25">
      <c r="A65" s="1935"/>
      <c r="B65" s="19" t="s">
        <v>34</v>
      </c>
      <c r="C65" s="22"/>
      <c r="D65" s="15">
        <v>0</v>
      </c>
      <c r="E65" s="15">
        <v>0</v>
      </c>
      <c r="F65" s="15">
        <v>0</v>
      </c>
      <c r="G65" s="21">
        <f t="shared" si="1"/>
        <v>0</v>
      </c>
      <c r="H65" s="814">
        <v>0</v>
      </c>
      <c r="I65" s="814">
        <v>0</v>
      </c>
      <c r="J65" s="814">
        <v>0</v>
      </c>
      <c r="K65" s="21">
        <f t="shared" si="3"/>
        <v>0</v>
      </c>
    </row>
    <row r="66" spans="1:11" x14ac:dyDescent="0.25">
      <c r="A66" s="1935" t="s">
        <v>452</v>
      </c>
      <c r="B66" s="1728" t="s">
        <v>32</v>
      </c>
      <c r="C66" s="1729"/>
      <c r="D66" s="1736">
        <v>0</v>
      </c>
      <c r="E66" s="1736">
        <v>0</v>
      </c>
      <c r="F66" s="1736">
        <v>0</v>
      </c>
      <c r="G66" s="1730">
        <f t="shared" si="1"/>
        <v>0</v>
      </c>
      <c r="H66" s="1736">
        <v>0</v>
      </c>
      <c r="I66" s="1736">
        <v>0</v>
      </c>
      <c r="J66" s="1736">
        <v>0</v>
      </c>
      <c r="K66" s="1730">
        <f t="shared" si="3"/>
        <v>0</v>
      </c>
    </row>
    <row r="67" spans="1:11" x14ac:dyDescent="0.25">
      <c r="A67" s="1935"/>
      <c r="B67" s="19" t="s">
        <v>33</v>
      </c>
      <c r="C67" s="22"/>
      <c r="D67" s="15">
        <v>0</v>
      </c>
      <c r="E67" s="15">
        <v>0</v>
      </c>
      <c r="F67" s="15">
        <v>0</v>
      </c>
      <c r="G67" s="21">
        <f t="shared" si="1"/>
        <v>0</v>
      </c>
      <c r="H67" s="814">
        <v>0</v>
      </c>
      <c r="I67" s="814">
        <v>0</v>
      </c>
      <c r="J67" s="814">
        <v>0</v>
      </c>
      <c r="K67" s="21">
        <f t="shared" si="3"/>
        <v>0</v>
      </c>
    </row>
    <row r="68" spans="1:11" x14ac:dyDescent="0.25">
      <c r="A68" s="1935"/>
      <c r="B68" s="19" t="s">
        <v>34</v>
      </c>
      <c r="C68" s="22"/>
      <c r="D68" s="15">
        <v>0</v>
      </c>
      <c r="E68" s="15">
        <v>0</v>
      </c>
      <c r="F68" s="15">
        <v>0</v>
      </c>
      <c r="G68" s="21">
        <f t="shared" si="1"/>
        <v>0</v>
      </c>
      <c r="H68" s="814">
        <v>0</v>
      </c>
      <c r="I68" s="814">
        <v>0</v>
      </c>
      <c r="J68" s="814">
        <v>0</v>
      </c>
      <c r="K68" s="21">
        <f t="shared" si="3"/>
        <v>0</v>
      </c>
    </row>
    <row r="69" spans="1:11" x14ac:dyDescent="0.25">
      <c r="A69" s="1945" t="s">
        <v>533</v>
      </c>
      <c r="B69" s="1728" t="s">
        <v>32</v>
      </c>
      <c r="C69" s="1729"/>
      <c r="D69" s="1736">
        <v>0</v>
      </c>
      <c r="E69" s="1736">
        <v>0</v>
      </c>
      <c r="F69" s="1736">
        <v>0</v>
      </c>
      <c r="G69" s="1730">
        <f t="shared" si="1"/>
        <v>0</v>
      </c>
      <c r="H69" s="1736">
        <v>0</v>
      </c>
      <c r="I69" s="1736">
        <v>0</v>
      </c>
      <c r="J69" s="1736">
        <v>0</v>
      </c>
      <c r="K69" s="1730">
        <f t="shared" si="3"/>
        <v>0</v>
      </c>
    </row>
    <row r="70" spans="1:11" x14ac:dyDescent="0.25">
      <c r="A70" s="1945"/>
      <c r="B70" s="19" t="s">
        <v>33</v>
      </c>
      <c r="C70" s="22"/>
      <c r="D70" s="15">
        <v>0</v>
      </c>
      <c r="E70" s="15">
        <v>0</v>
      </c>
      <c r="F70" s="15">
        <v>0</v>
      </c>
      <c r="G70" s="21">
        <f t="shared" si="1"/>
        <v>0</v>
      </c>
      <c r="H70" s="814">
        <v>0</v>
      </c>
      <c r="I70" s="814">
        <v>0</v>
      </c>
      <c r="J70" s="814">
        <v>0</v>
      </c>
      <c r="K70" s="21">
        <f t="shared" si="3"/>
        <v>0</v>
      </c>
    </row>
    <row r="71" spans="1:11" x14ac:dyDescent="0.25">
      <c r="A71" s="1945"/>
      <c r="B71" s="19" t="s">
        <v>34</v>
      </c>
      <c r="C71" s="22"/>
      <c r="D71" s="15">
        <v>0</v>
      </c>
      <c r="E71" s="15">
        <v>0</v>
      </c>
      <c r="F71" s="15">
        <v>0</v>
      </c>
      <c r="G71" s="21">
        <f t="shared" si="1"/>
        <v>0</v>
      </c>
      <c r="H71" s="814">
        <v>0</v>
      </c>
      <c r="I71" s="814">
        <v>0</v>
      </c>
      <c r="J71" s="814">
        <v>0</v>
      </c>
      <c r="K71" s="21">
        <f t="shared" si="3"/>
        <v>0</v>
      </c>
    </row>
    <row r="72" spans="1:11" x14ac:dyDescent="0.25">
      <c r="A72" s="1935" t="s">
        <v>534</v>
      </c>
      <c r="B72" s="1728" t="s">
        <v>32</v>
      </c>
      <c r="C72" s="1729"/>
      <c r="D72" s="1736">
        <v>0</v>
      </c>
      <c r="E72" s="1736">
        <v>0</v>
      </c>
      <c r="F72" s="1736">
        <v>0</v>
      </c>
      <c r="G72" s="1730">
        <f t="shared" si="1"/>
        <v>0</v>
      </c>
      <c r="H72" s="1736">
        <v>0</v>
      </c>
      <c r="I72" s="1736">
        <v>0</v>
      </c>
      <c r="J72" s="1736">
        <v>0</v>
      </c>
      <c r="K72" s="1730">
        <f t="shared" si="3"/>
        <v>0</v>
      </c>
    </row>
    <row r="73" spans="1:11" x14ac:dyDescent="0.25">
      <c r="A73" s="1935"/>
      <c r="B73" s="19" t="s">
        <v>33</v>
      </c>
      <c r="C73" s="22"/>
      <c r="D73" s="15">
        <v>0</v>
      </c>
      <c r="E73" s="15">
        <v>0</v>
      </c>
      <c r="F73" s="15">
        <v>0</v>
      </c>
      <c r="G73" s="21">
        <f t="shared" si="1"/>
        <v>0</v>
      </c>
      <c r="H73" s="814">
        <v>0</v>
      </c>
      <c r="I73" s="814">
        <v>0</v>
      </c>
      <c r="J73" s="814">
        <v>0</v>
      </c>
      <c r="K73" s="21">
        <f t="shared" si="3"/>
        <v>0</v>
      </c>
    </row>
    <row r="74" spans="1:11" x14ac:dyDescent="0.25">
      <c r="A74" s="1935"/>
      <c r="B74" s="19" t="s">
        <v>34</v>
      </c>
      <c r="C74" s="22"/>
      <c r="D74" s="15">
        <v>0</v>
      </c>
      <c r="E74" s="15">
        <v>0</v>
      </c>
      <c r="F74" s="15">
        <v>0</v>
      </c>
      <c r="G74" s="21">
        <f t="shared" si="1"/>
        <v>0</v>
      </c>
      <c r="H74" s="814">
        <v>0</v>
      </c>
      <c r="I74" s="814">
        <v>0</v>
      </c>
      <c r="J74" s="814">
        <v>0</v>
      </c>
      <c r="K74" s="21">
        <f t="shared" si="3"/>
        <v>0</v>
      </c>
    </row>
    <row r="75" spans="1:11" x14ac:dyDescent="0.25">
      <c r="A75" s="1935" t="s">
        <v>21</v>
      </c>
      <c r="B75" s="1728" t="s">
        <v>32</v>
      </c>
      <c r="C75" s="1729"/>
      <c r="D75" s="1735" t="s">
        <v>90</v>
      </c>
      <c r="E75" s="1735" t="s">
        <v>90</v>
      </c>
      <c r="F75" s="1735" t="s">
        <v>90</v>
      </c>
      <c r="G75" s="1730">
        <f t="shared" si="1"/>
        <v>0</v>
      </c>
      <c r="H75" s="1735" t="s">
        <v>90</v>
      </c>
      <c r="I75" s="1735" t="s">
        <v>90</v>
      </c>
      <c r="J75" s="1735" t="s">
        <v>90</v>
      </c>
      <c r="K75" s="1730">
        <f t="shared" si="3"/>
        <v>0</v>
      </c>
    </row>
    <row r="76" spans="1:11" x14ac:dyDescent="0.25">
      <c r="A76" s="1935"/>
      <c r="B76" s="19" t="s">
        <v>33</v>
      </c>
      <c r="C76" s="22"/>
      <c r="D76" s="38" t="s">
        <v>90</v>
      </c>
      <c r="E76" s="38" t="s">
        <v>90</v>
      </c>
      <c r="F76" s="38" t="s">
        <v>90</v>
      </c>
      <c r="G76" s="21">
        <f t="shared" si="1"/>
        <v>0</v>
      </c>
      <c r="H76" s="821" t="s">
        <v>90</v>
      </c>
      <c r="I76" s="821" t="s">
        <v>90</v>
      </c>
      <c r="J76" s="821" t="s">
        <v>90</v>
      </c>
      <c r="K76" s="21">
        <f t="shared" si="3"/>
        <v>0</v>
      </c>
    </row>
    <row r="77" spans="1:11" x14ac:dyDescent="0.25">
      <c r="A77" s="1935"/>
      <c r="B77" s="13" t="s">
        <v>34</v>
      </c>
      <c r="C77" s="34"/>
      <c r="D77" s="38" t="s">
        <v>90</v>
      </c>
      <c r="E77" s="38" t="s">
        <v>90</v>
      </c>
      <c r="F77" s="38" t="s">
        <v>90</v>
      </c>
      <c r="G77" s="21">
        <f t="shared" si="1"/>
        <v>0</v>
      </c>
      <c r="H77" s="821" t="s">
        <v>90</v>
      </c>
      <c r="I77" s="821" t="s">
        <v>90</v>
      </c>
      <c r="J77" s="821" t="s">
        <v>90</v>
      </c>
      <c r="K77" s="21">
        <f t="shared" si="3"/>
        <v>0</v>
      </c>
    </row>
    <row r="78" spans="1:11" x14ac:dyDescent="0.25">
      <c r="A78" s="1935" t="s">
        <v>181</v>
      </c>
      <c r="B78" s="1728" t="s">
        <v>32</v>
      </c>
      <c r="C78" s="1757"/>
      <c r="D78" s="1736">
        <v>0</v>
      </c>
      <c r="E78" s="1736">
        <v>0</v>
      </c>
      <c r="F78" s="1736">
        <v>0</v>
      </c>
      <c r="G78" s="1730">
        <f t="shared" si="1"/>
        <v>0</v>
      </c>
      <c r="H78" s="1736">
        <v>0</v>
      </c>
      <c r="I78" s="1736">
        <v>0</v>
      </c>
      <c r="J78" s="1736">
        <v>0</v>
      </c>
      <c r="K78" s="1730">
        <f t="shared" si="3"/>
        <v>0</v>
      </c>
    </row>
    <row r="79" spans="1:11" x14ac:dyDescent="0.25">
      <c r="A79" s="1935"/>
      <c r="B79" s="19" t="s">
        <v>33</v>
      </c>
      <c r="C79" s="198"/>
      <c r="D79" s="15">
        <v>0</v>
      </c>
      <c r="E79" s="15">
        <v>0</v>
      </c>
      <c r="F79" s="15">
        <v>0</v>
      </c>
      <c r="G79" s="21">
        <f t="shared" si="1"/>
        <v>0</v>
      </c>
      <c r="H79" s="814">
        <v>0</v>
      </c>
      <c r="I79" s="814">
        <v>0</v>
      </c>
      <c r="J79" s="814">
        <v>0</v>
      </c>
      <c r="K79" s="21">
        <f t="shared" si="3"/>
        <v>0</v>
      </c>
    </row>
    <row r="80" spans="1:11" x14ac:dyDescent="0.25">
      <c r="A80" s="1935"/>
      <c r="B80" s="19" t="s">
        <v>34</v>
      </c>
      <c r="C80" s="198"/>
      <c r="D80" s="15">
        <v>0</v>
      </c>
      <c r="E80" s="15">
        <v>0</v>
      </c>
      <c r="F80" s="15">
        <v>0</v>
      </c>
      <c r="G80" s="21">
        <f t="shared" si="1"/>
        <v>0</v>
      </c>
      <c r="H80" s="814">
        <v>0</v>
      </c>
      <c r="I80" s="814">
        <v>0</v>
      </c>
      <c r="J80" s="814">
        <v>0</v>
      </c>
      <c r="K80" s="21">
        <f t="shared" si="3"/>
        <v>0</v>
      </c>
    </row>
    <row r="81" spans="1:11" x14ac:dyDescent="0.25">
      <c r="A81" s="1935" t="s">
        <v>182</v>
      </c>
      <c r="B81" s="1728" t="s">
        <v>32</v>
      </c>
      <c r="C81" s="1757"/>
      <c r="D81" s="1736">
        <v>0</v>
      </c>
      <c r="E81" s="1736">
        <v>0</v>
      </c>
      <c r="F81" s="1736">
        <v>0</v>
      </c>
      <c r="G81" s="1730">
        <f t="shared" si="1"/>
        <v>0</v>
      </c>
      <c r="H81" s="1736">
        <v>0</v>
      </c>
      <c r="I81" s="1736">
        <v>0</v>
      </c>
      <c r="J81" s="1736">
        <v>0</v>
      </c>
      <c r="K81" s="1730">
        <f t="shared" si="3"/>
        <v>0</v>
      </c>
    </row>
    <row r="82" spans="1:11" x14ac:dyDescent="0.25">
      <c r="A82" s="1935"/>
      <c r="B82" s="19" t="s">
        <v>33</v>
      </c>
      <c r="C82" s="198"/>
      <c r="D82" s="15">
        <v>0</v>
      </c>
      <c r="E82" s="15">
        <v>0</v>
      </c>
      <c r="F82" s="15">
        <v>0</v>
      </c>
      <c r="G82" s="21">
        <f t="shared" si="1"/>
        <v>0</v>
      </c>
      <c r="H82" s="814">
        <v>0</v>
      </c>
      <c r="I82" s="814">
        <v>0</v>
      </c>
      <c r="J82" s="814">
        <v>0</v>
      </c>
      <c r="K82" s="21">
        <f t="shared" si="3"/>
        <v>0</v>
      </c>
    </row>
    <row r="83" spans="1:11" x14ac:dyDescent="0.25">
      <c r="A83" s="1935"/>
      <c r="B83" s="19" t="s">
        <v>34</v>
      </c>
      <c r="C83" s="198"/>
      <c r="D83" s="15">
        <v>0</v>
      </c>
      <c r="E83" s="15">
        <v>0</v>
      </c>
      <c r="F83" s="15">
        <v>0</v>
      </c>
      <c r="G83" s="21">
        <f t="shared" si="1"/>
        <v>0</v>
      </c>
      <c r="H83" s="814">
        <v>0</v>
      </c>
      <c r="I83" s="814">
        <v>0</v>
      </c>
      <c r="J83" s="814">
        <v>0</v>
      </c>
      <c r="K83" s="21">
        <f t="shared" si="3"/>
        <v>0</v>
      </c>
    </row>
    <row r="84" spans="1:11" x14ac:dyDescent="0.25">
      <c r="A84" s="1944" t="s">
        <v>183</v>
      </c>
      <c r="B84" s="1728" t="s">
        <v>32</v>
      </c>
      <c r="C84" s="1757"/>
      <c r="D84" s="1736">
        <v>0</v>
      </c>
      <c r="E84" s="1736">
        <v>0</v>
      </c>
      <c r="F84" s="1736">
        <v>0</v>
      </c>
      <c r="G84" s="1730">
        <f t="shared" si="1"/>
        <v>0</v>
      </c>
      <c r="H84" s="1736">
        <v>0</v>
      </c>
      <c r="I84" s="1736">
        <v>0</v>
      </c>
      <c r="J84" s="1736">
        <v>0</v>
      </c>
      <c r="K84" s="1730">
        <f t="shared" si="3"/>
        <v>0</v>
      </c>
    </row>
    <row r="85" spans="1:11" x14ac:dyDescent="0.25">
      <c r="A85" s="1944"/>
      <c r="B85" s="19" t="s">
        <v>33</v>
      </c>
      <c r="C85" s="198"/>
      <c r="D85" s="15">
        <v>0</v>
      </c>
      <c r="E85" s="15">
        <v>0</v>
      </c>
      <c r="F85" s="15">
        <v>0</v>
      </c>
      <c r="G85" s="21">
        <f t="shared" si="1"/>
        <v>0</v>
      </c>
      <c r="H85" s="814">
        <v>0</v>
      </c>
      <c r="I85" s="814">
        <v>0</v>
      </c>
      <c r="J85" s="814">
        <v>0</v>
      </c>
      <c r="K85" s="21">
        <f t="shared" si="3"/>
        <v>0</v>
      </c>
    </row>
    <row r="86" spans="1:11" ht="15.75" thickBot="1" x14ac:dyDescent="0.3">
      <c r="A86" s="1944"/>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42" t="s">
        <v>23</v>
      </c>
      <c r="B88" s="1723" t="s">
        <v>32</v>
      </c>
      <c r="C88" s="1724"/>
      <c r="D88" s="1758">
        <v>0</v>
      </c>
      <c r="E88" s="1758">
        <v>0</v>
      </c>
      <c r="F88" s="1759">
        <v>0</v>
      </c>
      <c r="G88" s="1727">
        <f t="shared" si="1"/>
        <v>0</v>
      </c>
      <c r="H88" s="1758">
        <v>0</v>
      </c>
      <c r="I88" s="1758">
        <v>0</v>
      </c>
      <c r="J88" s="1759">
        <v>0</v>
      </c>
      <c r="K88" s="1727">
        <f t="shared" ref="K88:K93" si="4" xml:space="preserve"> SUM(H88:J88) + $C88</f>
        <v>0</v>
      </c>
    </row>
    <row r="89" spans="1:11" x14ac:dyDescent="0.25">
      <c r="A89" s="1942"/>
      <c r="B89" s="19" t="s">
        <v>33</v>
      </c>
      <c r="C89" s="22"/>
      <c r="D89" s="541">
        <v>0</v>
      </c>
      <c r="E89" s="479">
        <v>0</v>
      </c>
      <c r="F89" s="525">
        <v>0</v>
      </c>
      <c r="G89" s="21">
        <f t="shared" si="1"/>
        <v>0</v>
      </c>
      <c r="H89" s="541">
        <v>0</v>
      </c>
      <c r="I89" s="479">
        <v>0</v>
      </c>
      <c r="J89" s="525">
        <v>0</v>
      </c>
      <c r="K89" s="21">
        <f t="shared" si="4"/>
        <v>0</v>
      </c>
    </row>
    <row r="90" spans="1:11" x14ac:dyDescent="0.25">
      <c r="A90" s="1942"/>
      <c r="B90" s="19" t="s">
        <v>34</v>
      </c>
      <c r="C90" s="22"/>
      <c r="D90" s="411">
        <v>0</v>
      </c>
      <c r="E90" s="15">
        <v>0</v>
      </c>
      <c r="F90" s="193">
        <v>0</v>
      </c>
      <c r="G90" s="21">
        <f t="shared" si="1"/>
        <v>0</v>
      </c>
      <c r="H90" s="830">
        <v>0</v>
      </c>
      <c r="I90" s="814">
        <v>0</v>
      </c>
      <c r="J90" s="824">
        <v>0</v>
      </c>
      <c r="K90" s="21">
        <f t="shared" si="4"/>
        <v>0</v>
      </c>
    </row>
    <row r="91" spans="1:11" x14ac:dyDescent="0.25">
      <c r="A91" s="1935" t="s">
        <v>24</v>
      </c>
      <c r="B91" s="1728" t="s">
        <v>32</v>
      </c>
      <c r="C91" s="1729"/>
      <c r="D91" s="1740">
        <v>4</v>
      </c>
      <c r="E91" s="1736">
        <v>0</v>
      </c>
      <c r="F91" s="1741">
        <v>0</v>
      </c>
      <c r="G91" s="1730">
        <f t="shared" si="1"/>
        <v>4</v>
      </c>
      <c r="H91" s="1740">
        <v>4</v>
      </c>
      <c r="I91" s="1736">
        <v>0</v>
      </c>
      <c r="J91" s="1741">
        <v>0</v>
      </c>
      <c r="K91" s="1730">
        <f t="shared" si="4"/>
        <v>4</v>
      </c>
    </row>
    <row r="92" spans="1:11" x14ac:dyDescent="0.25">
      <c r="A92" s="1935"/>
      <c r="B92" s="19" t="s">
        <v>33</v>
      </c>
      <c r="C92" s="22"/>
      <c r="D92" s="190">
        <v>1</v>
      </c>
      <c r="E92" s="15">
        <v>0</v>
      </c>
      <c r="F92" s="193">
        <v>0</v>
      </c>
      <c r="G92" s="21">
        <f t="shared" si="1"/>
        <v>1</v>
      </c>
      <c r="H92" s="823">
        <v>1</v>
      </c>
      <c r="I92" s="814">
        <v>0</v>
      </c>
      <c r="J92" s="824">
        <v>0</v>
      </c>
      <c r="K92" s="21">
        <f t="shared" si="4"/>
        <v>1</v>
      </c>
    </row>
    <row r="93" spans="1:11" x14ac:dyDescent="0.25">
      <c r="A93" s="1935"/>
      <c r="B93" s="19" t="s">
        <v>34</v>
      </c>
      <c r="C93" s="22"/>
      <c r="D93" s="190">
        <v>2</v>
      </c>
      <c r="E93" s="15">
        <v>0</v>
      </c>
      <c r="F93" s="193">
        <v>0</v>
      </c>
      <c r="G93" s="21">
        <f t="shared" si="1"/>
        <v>2</v>
      </c>
      <c r="H93" s="823">
        <v>2</v>
      </c>
      <c r="I93" s="814">
        <v>0</v>
      </c>
      <c r="J93" s="824">
        <v>0</v>
      </c>
      <c r="K93" s="21">
        <f t="shared" si="4"/>
        <v>2</v>
      </c>
    </row>
    <row r="94" spans="1:11" x14ac:dyDescent="0.25">
      <c r="A94" s="1935" t="s">
        <v>25</v>
      </c>
      <c r="B94" s="1728" t="s">
        <v>32</v>
      </c>
      <c r="C94" s="1729"/>
      <c r="D94" s="1740">
        <v>2</v>
      </c>
      <c r="E94" s="1736">
        <v>0</v>
      </c>
      <c r="F94" s="1741">
        <v>0</v>
      </c>
      <c r="G94" s="1730">
        <f t="shared" ref="G94:G105" si="5" xml:space="preserve"> SUM(D94:F94) + $C94</f>
        <v>2</v>
      </c>
      <c r="H94" s="1740">
        <v>2</v>
      </c>
      <c r="I94" s="1736">
        <v>0</v>
      </c>
      <c r="J94" s="1741">
        <v>0</v>
      </c>
      <c r="K94" s="1730">
        <f t="shared" ref="K94:K105" si="6" xml:space="preserve"> SUM(H94:J94) + $C94</f>
        <v>2</v>
      </c>
    </row>
    <row r="95" spans="1:11" x14ac:dyDescent="0.25">
      <c r="A95" s="1935"/>
      <c r="B95" s="19" t="s">
        <v>33</v>
      </c>
      <c r="C95" s="22"/>
      <c r="D95" s="190">
        <v>1</v>
      </c>
      <c r="E95" s="15">
        <v>0</v>
      </c>
      <c r="F95" s="193">
        <v>0</v>
      </c>
      <c r="G95" s="21">
        <f t="shared" si="5"/>
        <v>1</v>
      </c>
      <c r="H95" s="823">
        <v>1</v>
      </c>
      <c r="I95" s="814">
        <v>0</v>
      </c>
      <c r="J95" s="824">
        <v>0</v>
      </c>
      <c r="K95" s="21">
        <f t="shared" si="6"/>
        <v>1</v>
      </c>
    </row>
    <row r="96" spans="1:11" x14ac:dyDescent="0.25">
      <c r="A96" s="1935"/>
      <c r="B96" s="19" t="s">
        <v>34</v>
      </c>
      <c r="C96" s="22"/>
      <c r="D96" s="190">
        <v>2</v>
      </c>
      <c r="E96" s="15">
        <v>0</v>
      </c>
      <c r="F96" s="193">
        <v>0</v>
      </c>
      <c r="G96" s="21">
        <f t="shared" si="5"/>
        <v>2</v>
      </c>
      <c r="H96" s="823">
        <v>2</v>
      </c>
      <c r="I96" s="814">
        <v>0</v>
      </c>
      <c r="J96" s="824">
        <v>0</v>
      </c>
      <c r="K96" s="21">
        <f t="shared" si="6"/>
        <v>2</v>
      </c>
    </row>
    <row r="97" spans="1:11" x14ac:dyDescent="0.25">
      <c r="A97" s="1935" t="s">
        <v>26</v>
      </c>
      <c r="B97" s="1728" t="s">
        <v>32</v>
      </c>
      <c r="C97" s="1729"/>
      <c r="D97" s="1740">
        <v>6</v>
      </c>
      <c r="E97" s="1735">
        <v>0</v>
      </c>
      <c r="F97" s="1745">
        <v>0</v>
      </c>
      <c r="G97" s="1730">
        <f t="shared" si="5"/>
        <v>6</v>
      </c>
      <c r="H97" s="1740">
        <v>6</v>
      </c>
      <c r="I97" s="1735">
        <v>0</v>
      </c>
      <c r="J97" s="1745">
        <v>0</v>
      </c>
      <c r="K97" s="1730">
        <f t="shared" si="6"/>
        <v>6</v>
      </c>
    </row>
    <row r="98" spans="1:11" x14ac:dyDescent="0.25">
      <c r="A98" s="1935"/>
      <c r="B98" s="19" t="s">
        <v>33</v>
      </c>
      <c r="C98" s="22"/>
      <c r="D98" s="542">
        <v>2</v>
      </c>
      <c r="E98" s="38">
        <v>0</v>
      </c>
      <c r="F98" s="16">
        <v>0</v>
      </c>
      <c r="G98" s="21">
        <f t="shared" si="5"/>
        <v>2</v>
      </c>
      <c r="H98" s="838">
        <v>2</v>
      </c>
      <c r="I98" s="821">
        <v>0</v>
      </c>
      <c r="J98" s="815">
        <v>0</v>
      </c>
      <c r="K98" s="21">
        <f t="shared" si="6"/>
        <v>2</v>
      </c>
    </row>
    <row r="99" spans="1:11" x14ac:dyDescent="0.25">
      <c r="A99" s="1935"/>
      <c r="B99" s="19" t="s">
        <v>34</v>
      </c>
      <c r="C99" s="22"/>
      <c r="D99" s="542">
        <v>4</v>
      </c>
      <c r="E99" s="38">
        <v>0</v>
      </c>
      <c r="F99" s="16">
        <v>0</v>
      </c>
      <c r="G99" s="21">
        <f t="shared" si="5"/>
        <v>4</v>
      </c>
      <c r="H99" s="838">
        <v>4</v>
      </c>
      <c r="I99" s="821">
        <v>0</v>
      </c>
      <c r="J99" s="815">
        <v>0</v>
      </c>
      <c r="K99" s="21">
        <f t="shared" si="6"/>
        <v>4</v>
      </c>
    </row>
    <row r="100" spans="1:11" x14ac:dyDescent="0.25">
      <c r="A100" s="1935" t="s">
        <v>27</v>
      </c>
      <c r="B100" s="1728" t="s">
        <v>32</v>
      </c>
      <c r="C100" s="1729"/>
      <c r="D100" s="1740">
        <v>4</v>
      </c>
      <c r="E100" s="1735">
        <v>0</v>
      </c>
      <c r="F100" s="1745">
        <v>0</v>
      </c>
      <c r="G100" s="1730">
        <f t="shared" si="5"/>
        <v>4</v>
      </c>
      <c r="H100" s="1740">
        <v>4</v>
      </c>
      <c r="I100" s="1735">
        <v>0</v>
      </c>
      <c r="J100" s="1745">
        <v>0</v>
      </c>
      <c r="K100" s="1730">
        <f t="shared" si="6"/>
        <v>4</v>
      </c>
    </row>
    <row r="101" spans="1:11" x14ac:dyDescent="0.25">
      <c r="A101" s="1935"/>
      <c r="B101" s="19" t="s">
        <v>33</v>
      </c>
      <c r="C101" s="22"/>
      <c r="D101" s="542">
        <v>2</v>
      </c>
      <c r="E101" s="38">
        <v>0</v>
      </c>
      <c r="F101" s="16">
        <v>0</v>
      </c>
      <c r="G101" s="21">
        <f t="shared" si="5"/>
        <v>2</v>
      </c>
      <c r="H101" s="838">
        <v>2</v>
      </c>
      <c r="I101" s="821">
        <v>0</v>
      </c>
      <c r="J101" s="815">
        <v>0</v>
      </c>
      <c r="K101" s="21">
        <f t="shared" si="6"/>
        <v>2</v>
      </c>
    </row>
    <row r="102" spans="1:11" x14ac:dyDescent="0.25">
      <c r="A102" s="1935"/>
      <c r="B102" s="19" t="s">
        <v>34</v>
      </c>
      <c r="C102" s="22"/>
      <c r="D102" s="542">
        <v>4</v>
      </c>
      <c r="E102" s="38">
        <v>0</v>
      </c>
      <c r="F102" s="16">
        <v>0</v>
      </c>
      <c r="G102" s="21">
        <f t="shared" si="5"/>
        <v>4</v>
      </c>
      <c r="H102" s="838">
        <v>4</v>
      </c>
      <c r="I102" s="821">
        <v>0</v>
      </c>
      <c r="J102" s="815">
        <v>0</v>
      </c>
      <c r="K102" s="21">
        <f t="shared" si="6"/>
        <v>4</v>
      </c>
    </row>
    <row r="103" spans="1:11" x14ac:dyDescent="0.25">
      <c r="A103" s="1942" t="s">
        <v>28</v>
      </c>
      <c r="B103" s="1728" t="s">
        <v>32</v>
      </c>
      <c r="C103" s="1729"/>
      <c r="D103" s="1740">
        <v>2</v>
      </c>
      <c r="E103" s="1735">
        <v>0</v>
      </c>
      <c r="F103" s="1745">
        <v>0</v>
      </c>
      <c r="G103" s="1730">
        <f t="shared" si="5"/>
        <v>2</v>
      </c>
      <c r="H103" s="1740">
        <v>2</v>
      </c>
      <c r="I103" s="1735">
        <v>0</v>
      </c>
      <c r="J103" s="1745">
        <v>0</v>
      </c>
      <c r="K103" s="1730">
        <f t="shared" si="6"/>
        <v>2</v>
      </c>
    </row>
    <row r="104" spans="1:11" x14ac:dyDescent="0.25">
      <c r="A104" s="1942"/>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43"/>
      <c r="B105" s="20" t="s">
        <v>34</v>
      </c>
      <c r="C105" s="23"/>
      <c r="D105" s="196">
        <v>1</v>
      </c>
      <c r="E105" s="408">
        <v>0</v>
      </c>
      <c r="F105" s="17">
        <v>0</v>
      </c>
      <c r="G105" s="24">
        <f t="shared" si="5"/>
        <v>1</v>
      </c>
      <c r="H105" s="826">
        <v>1</v>
      </c>
      <c r="I105" s="829">
        <v>0</v>
      </c>
      <c r="J105" s="816">
        <v>0</v>
      </c>
      <c r="K105" s="24">
        <f t="shared" si="6"/>
        <v>1</v>
      </c>
    </row>
    <row r="107" spans="1:11" ht="15.75" x14ac:dyDescent="0.25">
      <c r="A107" s="1691" t="s">
        <v>1706</v>
      </c>
      <c r="B107" s="1691" t="s">
        <v>1707</v>
      </c>
      <c r="C107" s="1748"/>
      <c r="D107" s="1696"/>
      <c r="E107" s="1748" t="s">
        <v>1708</v>
      </c>
    </row>
    <row r="108" spans="1:11" ht="60" x14ac:dyDescent="0.25">
      <c r="A108" s="1692" t="s">
        <v>618</v>
      </c>
      <c r="B108" s="1692" t="s">
        <v>1818</v>
      </c>
      <c r="C108" s="1748"/>
      <c r="D108" s="1748"/>
      <c r="E108" s="1748"/>
    </row>
    <row r="109" spans="1:11" ht="60" x14ac:dyDescent="0.25">
      <c r="A109" s="1692" t="s">
        <v>618</v>
      </c>
      <c r="B109" s="1692" t="s">
        <v>1818</v>
      </c>
      <c r="C109" s="1748"/>
      <c r="D109" s="1748"/>
      <c r="E109" s="1748"/>
    </row>
    <row r="110" spans="1:11" ht="60" x14ac:dyDescent="0.25">
      <c r="A110" s="1692" t="s">
        <v>618</v>
      </c>
      <c r="B110" s="1692" t="s">
        <v>1818</v>
      </c>
      <c r="C110" s="1748"/>
      <c r="D110" s="1748"/>
      <c r="E110" s="1748"/>
    </row>
    <row r="111" spans="1:11" x14ac:dyDescent="0.25">
      <c r="A111" s="1748"/>
      <c r="B111" s="1748"/>
      <c r="C111" s="1748"/>
      <c r="D111" s="1748"/>
      <c r="E111" s="1748"/>
    </row>
    <row r="112" spans="1:11" x14ac:dyDescent="0.25">
      <c r="A112" s="1693" t="s">
        <v>89</v>
      </c>
      <c r="B112" s="1748" t="s">
        <v>1708</v>
      </c>
      <c r="C112" s="1748"/>
      <c r="D112" s="1748"/>
      <c r="E112" s="1748"/>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30" t="str">
        <f>'Служебный АСУТП'!AG2</f>
        <v>Windows Security Options</v>
      </c>
      <c r="E1" s="1931"/>
      <c r="F1" s="1931"/>
      <c r="G1" s="1932"/>
      <c r="H1" s="1930" t="str">
        <f>'Служебный АСУТП'!AG3</f>
        <v>Linux Security Options</v>
      </c>
      <c r="I1" s="1931"/>
      <c r="J1" s="1931"/>
      <c r="K1" s="1932"/>
      <c r="L1" s="1930" t="str">
        <f>'Служебный АСУТП'!AG4</f>
        <v>Astra Linux</v>
      </c>
      <c r="M1" s="1931"/>
      <c r="N1" s="1931"/>
      <c r="O1" s="1932"/>
      <c r="P1" s="1930" t="str">
        <f>'Служебный АСУТП'!AG5</f>
        <v>РЕД ОС</v>
      </c>
      <c r="Q1" s="1931"/>
      <c r="R1" s="1931"/>
      <c r="S1" s="1932"/>
    </row>
    <row r="2" spans="1:19" ht="15.75" x14ac:dyDescent="0.25">
      <c r="B2" s="41" t="s">
        <v>37</v>
      </c>
      <c r="C2" s="1940" t="s">
        <v>35</v>
      </c>
      <c r="D2" s="718" t="s">
        <v>616</v>
      </c>
      <c r="E2" s="718" t="s">
        <v>616</v>
      </c>
      <c r="F2" s="718" t="s">
        <v>616</v>
      </c>
      <c r="G2" s="1933" t="s">
        <v>38</v>
      </c>
      <c r="H2" s="718" t="s">
        <v>616</v>
      </c>
      <c r="I2" s="718" t="s">
        <v>616</v>
      </c>
      <c r="J2" s="718" t="s">
        <v>616</v>
      </c>
      <c r="K2" s="1933" t="s">
        <v>38</v>
      </c>
      <c r="L2" s="718" t="s">
        <v>616</v>
      </c>
      <c r="M2" s="718" t="s">
        <v>616</v>
      </c>
      <c r="N2" s="718" t="s">
        <v>616</v>
      </c>
      <c r="O2" s="1933" t="s">
        <v>38</v>
      </c>
      <c r="P2" s="718" t="s">
        <v>616</v>
      </c>
      <c r="Q2" s="718" t="s">
        <v>616</v>
      </c>
      <c r="R2" s="718" t="s">
        <v>616</v>
      </c>
      <c r="S2" s="1933" t="s">
        <v>38</v>
      </c>
    </row>
    <row r="3" spans="1:19" ht="16.5" thickBot="1" x14ac:dyDescent="0.3">
      <c r="A3" s="12" t="s">
        <v>36</v>
      </c>
      <c r="B3" s="768">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c r="P3" s="37">
        <f>INDEX(ТрЗ_ОП!$P$11:$P$102,MATCH(P2,ТрЗ_ОП!$O$11:$O$102,0))</f>
        <v>0</v>
      </c>
      <c r="Q3" s="37">
        <f>INDEX(ТрЗ_ОП!$P$11:$P$102,MATCH(Q2,ТрЗ_ОП!$O$11:$O$102,0))</f>
        <v>0</v>
      </c>
      <c r="R3" s="37">
        <f>INDEX(ТрЗ_ОП!$P$11:$P$102,MATCH(R2,ТрЗ_ОП!$O$11:$O$102,0))</f>
        <v>0</v>
      </c>
      <c r="S3" s="1933"/>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42" t="s">
        <v>0</v>
      </c>
      <c r="B5" s="1764" t="s">
        <v>32</v>
      </c>
      <c r="C5" s="1765"/>
      <c r="D5" s="1766">
        <v>1</v>
      </c>
      <c r="E5" s="1766">
        <v>0</v>
      </c>
      <c r="F5" s="1766">
        <v>0</v>
      </c>
      <c r="G5" s="1767">
        <f xml:space="preserve"> SUM(D5:F5) + $C5</f>
        <v>1</v>
      </c>
      <c r="H5" s="1766">
        <v>1</v>
      </c>
      <c r="I5" s="1766">
        <v>0</v>
      </c>
      <c r="J5" s="1766">
        <v>0</v>
      </c>
      <c r="K5" s="1767">
        <f t="shared" ref="K5:K10" si="0" xml:space="preserve"> SUM(H5:J5) + $C5</f>
        <v>1</v>
      </c>
      <c r="L5" s="1766">
        <v>1</v>
      </c>
      <c r="M5" s="1766">
        <v>0</v>
      </c>
      <c r="N5" s="1766">
        <v>0</v>
      </c>
      <c r="O5" s="1767">
        <f t="shared" ref="O5:O10" si="1" xml:space="preserve"> SUM(L5:N5) + $C5</f>
        <v>1</v>
      </c>
      <c r="P5" s="1766">
        <v>1</v>
      </c>
      <c r="Q5" s="1766">
        <v>0</v>
      </c>
      <c r="R5" s="1766">
        <v>0</v>
      </c>
      <c r="S5" s="1767">
        <f t="shared" ref="S5:S10" si="2" xml:space="preserve"> SUM(P5:R5) + $C5</f>
        <v>1</v>
      </c>
    </row>
    <row r="6" spans="1:19" x14ac:dyDescent="0.25">
      <c r="A6" s="1942"/>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75"/>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42" t="s">
        <v>449</v>
      </c>
      <c r="B8" s="1764" t="s">
        <v>32</v>
      </c>
      <c r="C8" s="1765"/>
      <c r="D8" s="1766">
        <v>1</v>
      </c>
      <c r="E8" s="1768">
        <v>0</v>
      </c>
      <c r="F8" s="1768">
        <v>0</v>
      </c>
      <c r="G8" s="1769">
        <f xml:space="preserve"> SUM(D8:F8) + $C8</f>
        <v>1</v>
      </c>
      <c r="H8" s="1766">
        <v>1</v>
      </c>
      <c r="I8" s="1768">
        <v>0</v>
      </c>
      <c r="J8" s="1768">
        <v>0</v>
      </c>
      <c r="K8" s="1769">
        <f t="shared" si="0"/>
        <v>1</v>
      </c>
      <c r="L8" s="1766">
        <v>1</v>
      </c>
      <c r="M8" s="1768">
        <v>0</v>
      </c>
      <c r="N8" s="1768">
        <v>0</v>
      </c>
      <c r="O8" s="1769">
        <f t="shared" si="1"/>
        <v>1</v>
      </c>
      <c r="P8" s="1766">
        <v>1</v>
      </c>
      <c r="Q8" s="1768">
        <v>0</v>
      </c>
      <c r="R8" s="1768">
        <v>0</v>
      </c>
      <c r="S8" s="1769">
        <f t="shared" si="2"/>
        <v>1</v>
      </c>
    </row>
    <row r="9" spans="1:19" x14ac:dyDescent="0.25">
      <c r="A9" s="1942"/>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42"/>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2" t="s">
        <v>2</v>
      </c>
      <c r="B12" s="1764" t="s">
        <v>32</v>
      </c>
      <c r="C12" s="1765"/>
      <c r="D12" s="1766">
        <v>4</v>
      </c>
      <c r="E12" s="1766">
        <v>0</v>
      </c>
      <c r="F12" s="1766">
        <v>0</v>
      </c>
      <c r="G12" s="1767">
        <f t="shared" si="3"/>
        <v>4</v>
      </c>
      <c r="H12" s="1766">
        <v>4</v>
      </c>
      <c r="I12" s="1766">
        <v>0</v>
      </c>
      <c r="J12" s="1766">
        <v>0</v>
      </c>
      <c r="K12" s="1767">
        <f xml:space="preserve"> SUM(H12:J12) + $C12</f>
        <v>4</v>
      </c>
      <c r="L12" s="1766">
        <v>4</v>
      </c>
      <c r="M12" s="1766">
        <v>0</v>
      </c>
      <c r="N12" s="1766">
        <v>0</v>
      </c>
      <c r="O12" s="1767">
        <f xml:space="preserve"> SUM(L12:N12) + $C12</f>
        <v>4</v>
      </c>
      <c r="P12" s="1766">
        <v>4</v>
      </c>
      <c r="Q12" s="1766">
        <v>0</v>
      </c>
      <c r="R12" s="1766">
        <v>0</v>
      </c>
      <c r="S12" s="1767">
        <f xml:space="preserve"> SUM(P12:R12) + $C12</f>
        <v>4</v>
      </c>
    </row>
    <row r="13" spans="1:19" x14ac:dyDescent="0.25">
      <c r="A13" s="1942"/>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42"/>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9" t="s">
        <v>4</v>
      </c>
      <c r="B16" s="1770" t="s">
        <v>32</v>
      </c>
      <c r="C16" s="1765"/>
      <c r="D16" s="1771">
        <v>0</v>
      </c>
      <c r="E16" s="1771">
        <v>0</v>
      </c>
      <c r="F16" s="1772">
        <v>0</v>
      </c>
      <c r="G16" s="1767">
        <f t="shared" si="3"/>
        <v>0</v>
      </c>
      <c r="H16" s="1771">
        <v>0</v>
      </c>
      <c r="I16" s="1771">
        <v>0</v>
      </c>
      <c r="J16" s="1772">
        <v>0</v>
      </c>
      <c r="K16" s="1767">
        <f t="shared" ref="K16:K36" si="4" xml:space="preserve"> SUM(H16:J16) + $C16</f>
        <v>0</v>
      </c>
      <c r="L16" s="1771">
        <v>0</v>
      </c>
      <c r="M16" s="1771">
        <v>0</v>
      </c>
      <c r="N16" s="1772">
        <v>0</v>
      </c>
      <c r="O16" s="1767">
        <f t="shared" ref="O16:O36" si="5" xml:space="preserve"> SUM(L16:N16) + $C16</f>
        <v>0</v>
      </c>
      <c r="P16" s="1771">
        <v>0</v>
      </c>
      <c r="Q16" s="1771">
        <v>0</v>
      </c>
      <c r="R16" s="1772">
        <v>0</v>
      </c>
      <c r="S16" s="1767">
        <f t="shared" ref="S16:S36" si="6" xml:space="preserve"> SUM(P16:R16) + $C16</f>
        <v>0</v>
      </c>
    </row>
    <row r="17" spans="1:19" x14ac:dyDescent="0.25">
      <c r="A17" s="1938"/>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38"/>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38" t="s">
        <v>5</v>
      </c>
      <c r="B19" s="1773" t="s">
        <v>32</v>
      </c>
      <c r="C19" s="1774"/>
      <c r="D19" s="1775">
        <v>1</v>
      </c>
      <c r="E19" s="1776">
        <v>0</v>
      </c>
      <c r="F19" s="1777">
        <v>0</v>
      </c>
      <c r="G19" s="1769">
        <f t="shared" si="3"/>
        <v>1</v>
      </c>
      <c r="H19" s="1775">
        <v>2</v>
      </c>
      <c r="I19" s="1776">
        <v>0</v>
      </c>
      <c r="J19" s="1777">
        <v>0</v>
      </c>
      <c r="K19" s="1769">
        <f t="shared" si="4"/>
        <v>2</v>
      </c>
      <c r="L19" s="1775">
        <v>2</v>
      </c>
      <c r="M19" s="1776">
        <v>0</v>
      </c>
      <c r="N19" s="1777">
        <v>0</v>
      </c>
      <c r="O19" s="1769">
        <f t="shared" si="5"/>
        <v>2</v>
      </c>
      <c r="P19" s="1775">
        <v>4</v>
      </c>
      <c r="Q19" s="1776">
        <v>0</v>
      </c>
      <c r="R19" s="1777">
        <v>0</v>
      </c>
      <c r="S19" s="1769">
        <f t="shared" si="6"/>
        <v>4</v>
      </c>
    </row>
    <row r="20" spans="1:19" x14ac:dyDescent="0.25">
      <c r="A20" s="1938"/>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38"/>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38" t="s">
        <v>6</v>
      </c>
      <c r="B22" s="1773" t="s">
        <v>32</v>
      </c>
      <c r="C22" s="1774"/>
      <c r="D22" s="1768">
        <v>4</v>
      </c>
      <c r="E22" s="1768">
        <v>0</v>
      </c>
      <c r="F22" s="1768">
        <v>0</v>
      </c>
      <c r="G22" s="1769">
        <f t="shared" si="3"/>
        <v>4</v>
      </c>
      <c r="H22" s="1768">
        <v>4</v>
      </c>
      <c r="I22" s="1768">
        <v>0</v>
      </c>
      <c r="J22" s="1768">
        <v>0</v>
      </c>
      <c r="K22" s="1769">
        <f t="shared" si="4"/>
        <v>4</v>
      </c>
      <c r="L22" s="1768">
        <v>4</v>
      </c>
      <c r="M22" s="1768">
        <v>0</v>
      </c>
      <c r="N22" s="1768">
        <v>0</v>
      </c>
      <c r="O22" s="1769">
        <f t="shared" si="5"/>
        <v>4</v>
      </c>
      <c r="P22" s="1768">
        <v>4</v>
      </c>
      <c r="Q22" s="1768">
        <v>0</v>
      </c>
      <c r="R22" s="1768">
        <v>0</v>
      </c>
      <c r="S22" s="1769">
        <f t="shared" si="6"/>
        <v>4</v>
      </c>
    </row>
    <row r="23" spans="1:19" x14ac:dyDescent="0.25">
      <c r="A23" s="1938"/>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38"/>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38" t="s">
        <v>7</v>
      </c>
      <c r="B25" s="1773" t="s">
        <v>32</v>
      </c>
      <c r="C25" s="1774"/>
      <c r="D25" s="1775">
        <v>0</v>
      </c>
      <c r="E25" s="1776">
        <v>0</v>
      </c>
      <c r="F25" s="1777">
        <v>0</v>
      </c>
      <c r="G25" s="1769">
        <f t="shared" si="3"/>
        <v>0</v>
      </c>
      <c r="H25" s="1775">
        <v>0</v>
      </c>
      <c r="I25" s="1776">
        <v>0</v>
      </c>
      <c r="J25" s="1777">
        <v>0</v>
      </c>
      <c r="K25" s="1769">
        <f t="shared" si="4"/>
        <v>0</v>
      </c>
      <c r="L25" s="1775">
        <v>0</v>
      </c>
      <c r="M25" s="1776">
        <v>0</v>
      </c>
      <c r="N25" s="1777">
        <v>0</v>
      </c>
      <c r="O25" s="1769">
        <f t="shared" si="5"/>
        <v>0</v>
      </c>
      <c r="P25" s="1775">
        <v>0</v>
      </c>
      <c r="Q25" s="1776">
        <v>0</v>
      </c>
      <c r="R25" s="1777">
        <v>0</v>
      </c>
      <c r="S25" s="1769">
        <f t="shared" si="6"/>
        <v>0</v>
      </c>
    </row>
    <row r="26" spans="1:19" x14ac:dyDescent="0.25">
      <c r="A26" s="1938"/>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38"/>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38" t="s">
        <v>8</v>
      </c>
      <c r="B28" s="1773" t="s">
        <v>32</v>
      </c>
      <c r="C28" s="1774"/>
      <c r="D28" s="1775">
        <v>2</v>
      </c>
      <c r="E28" s="1776">
        <v>0</v>
      </c>
      <c r="F28" s="1777">
        <v>0</v>
      </c>
      <c r="G28" s="1769">
        <f t="shared" si="3"/>
        <v>2</v>
      </c>
      <c r="H28" s="1775">
        <v>2</v>
      </c>
      <c r="I28" s="1776">
        <v>0</v>
      </c>
      <c r="J28" s="1777">
        <v>0</v>
      </c>
      <c r="K28" s="1769">
        <f t="shared" si="4"/>
        <v>2</v>
      </c>
      <c r="L28" s="1775">
        <v>4</v>
      </c>
      <c r="M28" s="1776">
        <v>0</v>
      </c>
      <c r="N28" s="1777">
        <v>0</v>
      </c>
      <c r="O28" s="1769">
        <f t="shared" si="5"/>
        <v>4</v>
      </c>
      <c r="P28" s="1775">
        <v>4</v>
      </c>
      <c r="Q28" s="1776">
        <v>0</v>
      </c>
      <c r="R28" s="1777">
        <v>0</v>
      </c>
      <c r="S28" s="1769">
        <f t="shared" si="6"/>
        <v>4</v>
      </c>
    </row>
    <row r="29" spans="1:19" x14ac:dyDescent="0.25">
      <c r="A29" s="1938"/>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38"/>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23" t="s">
        <v>9</v>
      </c>
      <c r="B31" s="1773" t="s">
        <v>32</v>
      </c>
      <c r="C31" s="1774"/>
      <c r="D31" s="1775">
        <v>0</v>
      </c>
      <c r="E31" s="1776">
        <v>0</v>
      </c>
      <c r="F31" s="1776">
        <v>0</v>
      </c>
      <c r="G31" s="1769">
        <f t="shared" si="3"/>
        <v>0</v>
      </c>
      <c r="H31" s="1775">
        <v>0</v>
      </c>
      <c r="I31" s="1776">
        <v>0</v>
      </c>
      <c r="J31" s="1776">
        <v>0</v>
      </c>
      <c r="K31" s="1769">
        <f t="shared" si="4"/>
        <v>0</v>
      </c>
      <c r="L31" s="1775">
        <v>0</v>
      </c>
      <c r="M31" s="1776">
        <v>0</v>
      </c>
      <c r="N31" s="1776">
        <v>0</v>
      </c>
      <c r="O31" s="1769">
        <f t="shared" si="5"/>
        <v>0</v>
      </c>
      <c r="P31" s="1775">
        <v>0</v>
      </c>
      <c r="Q31" s="1776">
        <v>0</v>
      </c>
      <c r="R31" s="1776">
        <v>0</v>
      </c>
      <c r="S31" s="1769">
        <f t="shared" si="6"/>
        <v>0</v>
      </c>
    </row>
    <row r="32" spans="1:19" x14ac:dyDescent="0.25">
      <c r="A32" s="2323"/>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23"/>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38" t="s">
        <v>10</v>
      </c>
      <c r="B34" s="1773" t="s">
        <v>32</v>
      </c>
      <c r="C34" s="1774"/>
      <c r="D34" s="1775">
        <v>0</v>
      </c>
      <c r="E34" s="1776">
        <v>0</v>
      </c>
      <c r="F34" s="1776">
        <v>0</v>
      </c>
      <c r="G34" s="1769">
        <f t="shared" si="3"/>
        <v>0</v>
      </c>
      <c r="H34" s="1775">
        <v>0</v>
      </c>
      <c r="I34" s="1776">
        <v>0</v>
      </c>
      <c r="J34" s="1776">
        <v>0</v>
      </c>
      <c r="K34" s="1769">
        <f t="shared" si="4"/>
        <v>0</v>
      </c>
      <c r="L34" s="1775">
        <v>0</v>
      </c>
      <c r="M34" s="1776">
        <v>0</v>
      </c>
      <c r="N34" s="1776">
        <v>0</v>
      </c>
      <c r="O34" s="1769">
        <f t="shared" si="5"/>
        <v>0</v>
      </c>
      <c r="P34" s="1775">
        <v>0</v>
      </c>
      <c r="Q34" s="1776">
        <v>0</v>
      </c>
      <c r="R34" s="1776">
        <v>0</v>
      </c>
      <c r="S34" s="1769">
        <f t="shared" si="6"/>
        <v>0</v>
      </c>
    </row>
    <row r="35" spans="1:19" x14ac:dyDescent="0.25">
      <c r="A35" s="1938"/>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36"/>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2" t="s">
        <v>12</v>
      </c>
      <c r="B38" s="1764" t="s">
        <v>32</v>
      </c>
      <c r="C38" s="1765"/>
      <c r="D38" s="1766">
        <v>4</v>
      </c>
      <c r="E38" s="1766">
        <v>0</v>
      </c>
      <c r="F38" s="1766">
        <v>0</v>
      </c>
      <c r="G38" s="1767">
        <f t="shared" si="3"/>
        <v>4</v>
      </c>
      <c r="H38" s="1766">
        <v>4</v>
      </c>
      <c r="I38" s="1766">
        <v>0</v>
      </c>
      <c r="J38" s="1766">
        <v>0</v>
      </c>
      <c r="K38" s="1767">
        <f xml:space="preserve"> SUM(H38:J38) + $C38</f>
        <v>4</v>
      </c>
      <c r="L38" s="1766">
        <v>8</v>
      </c>
      <c r="M38" s="1766">
        <v>0</v>
      </c>
      <c r="N38" s="1766">
        <v>0</v>
      </c>
      <c r="O38" s="1767">
        <f xml:space="preserve"> SUM(L38:N38) + $C38</f>
        <v>8</v>
      </c>
      <c r="P38" s="1766">
        <v>8</v>
      </c>
      <c r="Q38" s="1766">
        <v>0</v>
      </c>
      <c r="R38" s="1766">
        <v>0</v>
      </c>
      <c r="S38" s="1767">
        <f xml:space="preserve"> SUM(P38:R38) + $C38</f>
        <v>8</v>
      </c>
    </row>
    <row r="39" spans="1:19" x14ac:dyDescent="0.25">
      <c r="A39" s="1942"/>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42"/>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2" t="s">
        <v>14</v>
      </c>
      <c r="B42" s="1764" t="s">
        <v>32</v>
      </c>
      <c r="C42" s="1765"/>
      <c r="D42" s="1775">
        <v>0.5</v>
      </c>
      <c r="E42" s="1776">
        <v>0</v>
      </c>
      <c r="F42" s="1777">
        <v>0</v>
      </c>
      <c r="G42" s="1767">
        <f t="shared" si="3"/>
        <v>0.5</v>
      </c>
      <c r="H42" s="1775">
        <v>0.5</v>
      </c>
      <c r="I42" s="1776">
        <v>0</v>
      </c>
      <c r="J42" s="1777">
        <v>0</v>
      </c>
      <c r="K42" s="1767">
        <f t="shared" ref="K42:K86" si="7" xml:space="preserve"> SUM(H42:J42) + $C42</f>
        <v>0.5</v>
      </c>
      <c r="L42" s="1775">
        <v>2</v>
      </c>
      <c r="M42" s="1776">
        <v>0</v>
      </c>
      <c r="N42" s="1777">
        <v>0</v>
      </c>
      <c r="O42" s="1767">
        <f t="shared" ref="O42:O86" si="8" xml:space="preserve"> SUM(L42:N42) + $C42</f>
        <v>2</v>
      </c>
      <c r="P42" s="1775">
        <v>4</v>
      </c>
      <c r="Q42" s="1776">
        <v>0</v>
      </c>
      <c r="R42" s="1777">
        <v>0</v>
      </c>
      <c r="S42" s="1767">
        <f t="shared" ref="S42:S86" si="9" xml:space="preserve"> SUM(P42:R42) + $C42</f>
        <v>4</v>
      </c>
    </row>
    <row r="43" spans="1:19" x14ac:dyDescent="0.25">
      <c r="A43" s="1942"/>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42"/>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35" t="s">
        <v>15</v>
      </c>
      <c r="B45" s="1773" t="s">
        <v>32</v>
      </c>
      <c r="C45" s="1774"/>
      <c r="D45" s="1775">
        <v>4</v>
      </c>
      <c r="E45" s="1776">
        <v>0</v>
      </c>
      <c r="F45" s="1776">
        <v>0</v>
      </c>
      <c r="G45" s="1769">
        <f t="shared" si="3"/>
        <v>4</v>
      </c>
      <c r="H45" s="1775">
        <v>4</v>
      </c>
      <c r="I45" s="1776">
        <v>0</v>
      </c>
      <c r="J45" s="1776">
        <v>0</v>
      </c>
      <c r="K45" s="1769">
        <f t="shared" si="7"/>
        <v>4</v>
      </c>
      <c r="L45" s="1775">
        <v>20</v>
      </c>
      <c r="M45" s="1776">
        <v>0</v>
      </c>
      <c r="N45" s="1776">
        <v>0</v>
      </c>
      <c r="O45" s="1769">
        <f t="shared" si="8"/>
        <v>20</v>
      </c>
      <c r="P45" s="1775">
        <v>20</v>
      </c>
      <c r="Q45" s="1776">
        <v>0</v>
      </c>
      <c r="R45" s="1776">
        <v>0</v>
      </c>
      <c r="S45" s="1769">
        <f t="shared" si="9"/>
        <v>20</v>
      </c>
    </row>
    <row r="46" spans="1:19" x14ac:dyDescent="0.25">
      <c r="A46" s="1935"/>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35"/>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35" t="s">
        <v>16</v>
      </c>
      <c r="B48" s="1773" t="s">
        <v>32</v>
      </c>
      <c r="C48" s="1774"/>
      <c r="D48" s="1776">
        <v>0</v>
      </c>
      <c r="E48" s="1776">
        <v>0</v>
      </c>
      <c r="F48" s="1777">
        <v>0</v>
      </c>
      <c r="G48" s="1769">
        <f t="shared" si="3"/>
        <v>0</v>
      </c>
      <c r="H48" s="1776">
        <v>0</v>
      </c>
      <c r="I48" s="1776">
        <v>0</v>
      </c>
      <c r="J48" s="1777">
        <v>0</v>
      </c>
      <c r="K48" s="1769">
        <f t="shared" si="7"/>
        <v>0</v>
      </c>
      <c r="L48" s="1776">
        <v>0</v>
      </c>
      <c r="M48" s="1776">
        <v>0</v>
      </c>
      <c r="N48" s="1777">
        <v>0</v>
      </c>
      <c r="O48" s="1769">
        <f t="shared" si="8"/>
        <v>0</v>
      </c>
      <c r="P48" s="1776">
        <v>0</v>
      </c>
      <c r="Q48" s="1776">
        <v>0</v>
      </c>
      <c r="R48" s="1777">
        <v>0</v>
      </c>
      <c r="S48" s="1769">
        <f t="shared" si="9"/>
        <v>0</v>
      </c>
    </row>
    <row r="49" spans="1:19" x14ac:dyDescent="0.25">
      <c r="A49" s="1935"/>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35"/>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35" t="s">
        <v>17</v>
      </c>
      <c r="B51" s="1773" t="s">
        <v>32</v>
      </c>
      <c r="C51" s="1774"/>
      <c r="D51" s="1776">
        <v>0</v>
      </c>
      <c r="E51" s="1776">
        <v>0</v>
      </c>
      <c r="F51" s="1776">
        <v>0</v>
      </c>
      <c r="G51" s="1769">
        <f t="shared" si="3"/>
        <v>0</v>
      </c>
      <c r="H51" s="1776">
        <v>0</v>
      </c>
      <c r="I51" s="1776">
        <v>0</v>
      </c>
      <c r="J51" s="1776">
        <v>0</v>
      </c>
      <c r="K51" s="1769">
        <f t="shared" si="7"/>
        <v>0</v>
      </c>
      <c r="L51" s="1776">
        <v>0</v>
      </c>
      <c r="M51" s="1776">
        <v>0</v>
      </c>
      <c r="N51" s="1776">
        <v>0</v>
      </c>
      <c r="O51" s="1769">
        <f t="shared" si="8"/>
        <v>0</v>
      </c>
      <c r="P51" s="1776">
        <v>0</v>
      </c>
      <c r="Q51" s="1776">
        <v>0</v>
      </c>
      <c r="R51" s="1776">
        <v>0</v>
      </c>
      <c r="S51" s="1769">
        <f t="shared" si="9"/>
        <v>0</v>
      </c>
    </row>
    <row r="52" spans="1:19" x14ac:dyDescent="0.25">
      <c r="A52" s="1935"/>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35"/>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35" t="s">
        <v>18</v>
      </c>
      <c r="B54" s="1773" t="s">
        <v>32</v>
      </c>
      <c r="C54" s="1774"/>
      <c r="D54" s="1776">
        <v>0</v>
      </c>
      <c r="E54" s="1776">
        <v>0</v>
      </c>
      <c r="F54" s="1776">
        <v>0</v>
      </c>
      <c r="G54" s="1769">
        <f t="shared" si="3"/>
        <v>0</v>
      </c>
      <c r="H54" s="1776">
        <v>0</v>
      </c>
      <c r="I54" s="1776">
        <v>0</v>
      </c>
      <c r="J54" s="1776">
        <v>0</v>
      </c>
      <c r="K54" s="1769">
        <f t="shared" si="7"/>
        <v>0</v>
      </c>
      <c r="L54" s="1776">
        <v>0</v>
      </c>
      <c r="M54" s="1776">
        <v>0</v>
      </c>
      <c r="N54" s="1776">
        <v>0</v>
      </c>
      <c r="O54" s="1769">
        <f t="shared" si="8"/>
        <v>0</v>
      </c>
      <c r="P54" s="1776">
        <v>0</v>
      </c>
      <c r="Q54" s="1776">
        <v>0</v>
      </c>
      <c r="R54" s="1776">
        <v>0</v>
      </c>
      <c r="S54" s="1769">
        <f t="shared" si="9"/>
        <v>0</v>
      </c>
    </row>
    <row r="55" spans="1:19" x14ac:dyDescent="0.25">
      <c r="A55" s="1935"/>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35"/>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35" t="s">
        <v>19</v>
      </c>
      <c r="B57" s="1773" t="s">
        <v>32</v>
      </c>
      <c r="C57" s="1774"/>
      <c r="D57" s="1775">
        <v>0.5</v>
      </c>
      <c r="E57" s="1776">
        <v>0</v>
      </c>
      <c r="F57" s="1776">
        <v>0</v>
      </c>
      <c r="G57" s="1769">
        <f t="shared" si="3"/>
        <v>0.5</v>
      </c>
      <c r="H57" s="1775">
        <v>0.5</v>
      </c>
      <c r="I57" s="1776">
        <v>0</v>
      </c>
      <c r="J57" s="1776">
        <v>0</v>
      </c>
      <c r="K57" s="1769">
        <f t="shared" si="7"/>
        <v>0.5</v>
      </c>
      <c r="L57" s="1775">
        <v>0.5</v>
      </c>
      <c r="M57" s="1776">
        <v>0</v>
      </c>
      <c r="N57" s="1776">
        <v>0</v>
      </c>
      <c r="O57" s="1769">
        <f t="shared" si="8"/>
        <v>0.5</v>
      </c>
      <c r="P57" s="1775">
        <v>0.5</v>
      </c>
      <c r="Q57" s="1776">
        <v>0</v>
      </c>
      <c r="R57" s="1776">
        <v>0</v>
      </c>
      <c r="S57" s="1769">
        <f t="shared" si="9"/>
        <v>0.5</v>
      </c>
    </row>
    <row r="58" spans="1:19" x14ac:dyDescent="0.25">
      <c r="A58" s="1935"/>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35"/>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35" t="s">
        <v>20</v>
      </c>
      <c r="B60" s="1773" t="s">
        <v>32</v>
      </c>
      <c r="C60" s="1774"/>
      <c r="D60" s="1775">
        <v>8</v>
      </c>
      <c r="E60" s="1776">
        <v>0</v>
      </c>
      <c r="F60" s="1777">
        <v>0</v>
      </c>
      <c r="G60" s="1769">
        <f t="shared" si="3"/>
        <v>8</v>
      </c>
      <c r="H60" s="1775">
        <v>8</v>
      </c>
      <c r="I60" s="1776">
        <v>0</v>
      </c>
      <c r="J60" s="1777">
        <v>0</v>
      </c>
      <c r="K60" s="1769">
        <f t="shared" si="7"/>
        <v>8</v>
      </c>
      <c r="L60" s="1775">
        <v>10</v>
      </c>
      <c r="M60" s="1776">
        <v>0</v>
      </c>
      <c r="N60" s="1777">
        <v>0</v>
      </c>
      <c r="O60" s="1769">
        <f t="shared" si="8"/>
        <v>10</v>
      </c>
      <c r="P60" s="1775">
        <v>10</v>
      </c>
      <c r="Q60" s="1776">
        <v>0</v>
      </c>
      <c r="R60" s="1777">
        <v>0</v>
      </c>
      <c r="S60" s="1769">
        <f t="shared" si="9"/>
        <v>10</v>
      </c>
    </row>
    <row r="61" spans="1:19" x14ac:dyDescent="0.25">
      <c r="A61" s="1935"/>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35"/>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35" t="s">
        <v>451</v>
      </c>
      <c r="B63" s="1773" t="s">
        <v>32</v>
      </c>
      <c r="C63" s="1774"/>
      <c r="D63" s="1776">
        <v>0</v>
      </c>
      <c r="E63" s="1776">
        <v>0</v>
      </c>
      <c r="F63" s="1776">
        <v>0</v>
      </c>
      <c r="G63" s="1769">
        <f t="shared" si="3"/>
        <v>0</v>
      </c>
      <c r="H63" s="1776">
        <v>0</v>
      </c>
      <c r="I63" s="1776">
        <v>0</v>
      </c>
      <c r="J63" s="1776">
        <v>0</v>
      </c>
      <c r="K63" s="1769">
        <f t="shared" si="7"/>
        <v>0</v>
      </c>
      <c r="L63" s="1776">
        <v>0</v>
      </c>
      <c r="M63" s="1776">
        <v>0</v>
      </c>
      <c r="N63" s="1776">
        <v>0</v>
      </c>
      <c r="O63" s="1769">
        <f t="shared" si="8"/>
        <v>0</v>
      </c>
      <c r="P63" s="1776">
        <v>0</v>
      </c>
      <c r="Q63" s="1776">
        <v>0</v>
      </c>
      <c r="R63" s="1776">
        <v>0</v>
      </c>
      <c r="S63" s="1769">
        <f t="shared" si="9"/>
        <v>0</v>
      </c>
    </row>
    <row r="64" spans="1:19" x14ac:dyDescent="0.25">
      <c r="A64" s="1935"/>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35"/>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35" t="s">
        <v>452</v>
      </c>
      <c r="B66" s="1773" t="s">
        <v>32</v>
      </c>
      <c r="C66" s="1774"/>
      <c r="D66" s="1776">
        <v>0</v>
      </c>
      <c r="E66" s="1776">
        <v>0</v>
      </c>
      <c r="F66" s="1776">
        <v>0</v>
      </c>
      <c r="G66" s="1769">
        <f t="shared" si="3"/>
        <v>0</v>
      </c>
      <c r="H66" s="1776">
        <v>0</v>
      </c>
      <c r="I66" s="1776">
        <v>0</v>
      </c>
      <c r="J66" s="1776">
        <v>0</v>
      </c>
      <c r="K66" s="1769">
        <f t="shared" si="7"/>
        <v>0</v>
      </c>
      <c r="L66" s="1776">
        <v>0</v>
      </c>
      <c r="M66" s="1776">
        <v>0</v>
      </c>
      <c r="N66" s="1776">
        <v>0</v>
      </c>
      <c r="O66" s="1769">
        <f t="shared" si="8"/>
        <v>0</v>
      </c>
      <c r="P66" s="1776">
        <v>0</v>
      </c>
      <c r="Q66" s="1776">
        <v>0</v>
      </c>
      <c r="R66" s="1776">
        <v>0</v>
      </c>
      <c r="S66" s="1769">
        <f t="shared" si="9"/>
        <v>0</v>
      </c>
    </row>
    <row r="67" spans="1:19" x14ac:dyDescent="0.25">
      <c r="A67" s="1935"/>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35"/>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45" t="s">
        <v>533</v>
      </c>
      <c r="B69" s="1773" t="s">
        <v>32</v>
      </c>
      <c r="C69" s="1774"/>
      <c r="D69" s="1776">
        <v>0</v>
      </c>
      <c r="E69" s="1776">
        <v>0</v>
      </c>
      <c r="F69" s="1776">
        <v>0</v>
      </c>
      <c r="G69" s="1769">
        <f t="shared" si="3"/>
        <v>0</v>
      </c>
      <c r="H69" s="1776">
        <v>0</v>
      </c>
      <c r="I69" s="1776">
        <v>0</v>
      </c>
      <c r="J69" s="1776">
        <v>0</v>
      </c>
      <c r="K69" s="1769">
        <f t="shared" si="7"/>
        <v>0</v>
      </c>
      <c r="L69" s="1776">
        <v>0</v>
      </c>
      <c r="M69" s="1776">
        <v>0</v>
      </c>
      <c r="N69" s="1776">
        <v>0</v>
      </c>
      <c r="O69" s="1769">
        <f t="shared" si="8"/>
        <v>0</v>
      </c>
      <c r="P69" s="1776">
        <v>0</v>
      </c>
      <c r="Q69" s="1776">
        <v>0</v>
      </c>
      <c r="R69" s="1776">
        <v>0</v>
      </c>
      <c r="S69" s="1769">
        <f t="shared" si="9"/>
        <v>0</v>
      </c>
    </row>
    <row r="70" spans="1:19" x14ac:dyDescent="0.25">
      <c r="A70" s="1945"/>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45"/>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35" t="s">
        <v>534</v>
      </c>
      <c r="B72" s="1773" t="s">
        <v>32</v>
      </c>
      <c r="C72" s="1774"/>
      <c r="D72" s="1776">
        <v>0</v>
      </c>
      <c r="E72" s="1776">
        <v>0</v>
      </c>
      <c r="F72" s="1776">
        <v>0</v>
      </c>
      <c r="G72" s="1769">
        <f t="shared" si="3"/>
        <v>0</v>
      </c>
      <c r="H72" s="1776">
        <v>0</v>
      </c>
      <c r="I72" s="1776">
        <v>0</v>
      </c>
      <c r="J72" s="1776">
        <v>0</v>
      </c>
      <c r="K72" s="1769">
        <f t="shared" si="7"/>
        <v>0</v>
      </c>
      <c r="L72" s="1776">
        <v>0</v>
      </c>
      <c r="M72" s="1776">
        <v>0</v>
      </c>
      <c r="N72" s="1776">
        <v>0</v>
      </c>
      <c r="O72" s="1769">
        <f t="shared" si="8"/>
        <v>0</v>
      </c>
      <c r="P72" s="1776">
        <v>0</v>
      </c>
      <c r="Q72" s="1776">
        <v>0</v>
      </c>
      <c r="R72" s="1776">
        <v>0</v>
      </c>
      <c r="S72" s="1769">
        <f t="shared" si="9"/>
        <v>0</v>
      </c>
    </row>
    <row r="73" spans="1:19" x14ac:dyDescent="0.25">
      <c r="A73" s="1935"/>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35"/>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35" t="s">
        <v>21</v>
      </c>
      <c r="B75" s="1773" t="s">
        <v>32</v>
      </c>
      <c r="C75" s="1774"/>
      <c r="D75" s="1775" t="s">
        <v>90</v>
      </c>
      <c r="E75" s="1775" t="s">
        <v>90</v>
      </c>
      <c r="F75" s="1775" t="s">
        <v>90</v>
      </c>
      <c r="G75" s="1769">
        <f t="shared" si="3"/>
        <v>0</v>
      </c>
      <c r="H75" s="1775" t="s">
        <v>90</v>
      </c>
      <c r="I75" s="1775" t="s">
        <v>90</v>
      </c>
      <c r="J75" s="1775" t="s">
        <v>90</v>
      </c>
      <c r="K75" s="1769">
        <f t="shared" si="7"/>
        <v>0</v>
      </c>
      <c r="L75" s="1775" t="s">
        <v>90</v>
      </c>
      <c r="M75" s="1775" t="s">
        <v>90</v>
      </c>
      <c r="N75" s="1775" t="s">
        <v>90</v>
      </c>
      <c r="O75" s="1769">
        <f t="shared" si="8"/>
        <v>0</v>
      </c>
      <c r="P75" s="1775" t="s">
        <v>90</v>
      </c>
      <c r="Q75" s="1775" t="s">
        <v>90</v>
      </c>
      <c r="R75" s="1775" t="s">
        <v>90</v>
      </c>
      <c r="S75" s="1769">
        <f t="shared" si="9"/>
        <v>0</v>
      </c>
    </row>
    <row r="76" spans="1:19" x14ac:dyDescent="0.25">
      <c r="A76" s="1935"/>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35"/>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35" t="s">
        <v>181</v>
      </c>
      <c r="B78" s="1773" t="s">
        <v>32</v>
      </c>
      <c r="C78" s="1778"/>
      <c r="D78" s="1776">
        <v>0</v>
      </c>
      <c r="E78" s="1776">
        <v>0</v>
      </c>
      <c r="F78" s="1776">
        <v>0</v>
      </c>
      <c r="G78" s="1769">
        <f t="shared" si="3"/>
        <v>0</v>
      </c>
      <c r="H78" s="1776">
        <v>0</v>
      </c>
      <c r="I78" s="1776">
        <v>0</v>
      </c>
      <c r="J78" s="1776">
        <v>0</v>
      </c>
      <c r="K78" s="1769">
        <f t="shared" si="7"/>
        <v>0</v>
      </c>
      <c r="L78" s="1776">
        <v>0</v>
      </c>
      <c r="M78" s="1776">
        <v>0</v>
      </c>
      <c r="N78" s="1776">
        <v>0</v>
      </c>
      <c r="O78" s="1769">
        <f t="shared" si="8"/>
        <v>0</v>
      </c>
      <c r="P78" s="1776">
        <v>0</v>
      </c>
      <c r="Q78" s="1776">
        <v>0</v>
      </c>
      <c r="R78" s="1776">
        <v>0</v>
      </c>
      <c r="S78" s="1769">
        <f t="shared" si="9"/>
        <v>0</v>
      </c>
    </row>
    <row r="79" spans="1:19" x14ac:dyDescent="0.25">
      <c r="A79" s="1935"/>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35"/>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35" t="s">
        <v>182</v>
      </c>
      <c r="B81" s="1773" t="s">
        <v>32</v>
      </c>
      <c r="C81" s="1778"/>
      <c r="D81" s="1776">
        <v>0</v>
      </c>
      <c r="E81" s="1776">
        <v>0</v>
      </c>
      <c r="F81" s="1776">
        <v>0</v>
      </c>
      <c r="G81" s="1769">
        <f t="shared" si="3"/>
        <v>0</v>
      </c>
      <c r="H81" s="1776">
        <v>0</v>
      </c>
      <c r="I81" s="1776">
        <v>0</v>
      </c>
      <c r="J81" s="1776">
        <v>0</v>
      </c>
      <c r="K81" s="1769">
        <f t="shared" si="7"/>
        <v>0</v>
      </c>
      <c r="L81" s="1776">
        <v>0</v>
      </c>
      <c r="M81" s="1776">
        <v>0</v>
      </c>
      <c r="N81" s="1776">
        <v>0</v>
      </c>
      <c r="O81" s="1769">
        <f t="shared" si="8"/>
        <v>0</v>
      </c>
      <c r="P81" s="1776">
        <v>0</v>
      </c>
      <c r="Q81" s="1776">
        <v>0</v>
      </c>
      <c r="R81" s="1776">
        <v>0</v>
      </c>
      <c r="S81" s="1769">
        <f t="shared" si="9"/>
        <v>0</v>
      </c>
    </row>
    <row r="82" spans="1:19" x14ac:dyDescent="0.25">
      <c r="A82" s="1935"/>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35"/>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44" t="s">
        <v>183</v>
      </c>
      <c r="B84" s="1773" t="s">
        <v>32</v>
      </c>
      <c r="C84" s="1778"/>
      <c r="D84" s="1776">
        <v>0</v>
      </c>
      <c r="E84" s="1776">
        <v>0</v>
      </c>
      <c r="F84" s="1776">
        <v>0</v>
      </c>
      <c r="G84" s="1769">
        <f t="shared" si="3"/>
        <v>0</v>
      </c>
      <c r="H84" s="1776">
        <v>0</v>
      </c>
      <c r="I84" s="1776">
        <v>0</v>
      </c>
      <c r="J84" s="1776">
        <v>0</v>
      </c>
      <c r="K84" s="1769">
        <f t="shared" si="7"/>
        <v>0</v>
      </c>
      <c r="L84" s="1776">
        <v>0</v>
      </c>
      <c r="M84" s="1776">
        <v>0</v>
      </c>
      <c r="N84" s="1776">
        <v>0</v>
      </c>
      <c r="O84" s="1769">
        <f t="shared" si="8"/>
        <v>0</v>
      </c>
      <c r="P84" s="1776">
        <v>0</v>
      </c>
      <c r="Q84" s="1776">
        <v>0</v>
      </c>
      <c r="R84" s="1776">
        <v>0</v>
      </c>
      <c r="S84" s="1769">
        <f t="shared" si="9"/>
        <v>0</v>
      </c>
    </row>
    <row r="85" spans="1:19" x14ac:dyDescent="0.25">
      <c r="A85" s="1944"/>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44"/>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42" t="s">
        <v>23</v>
      </c>
      <c r="B88" s="1764" t="s">
        <v>32</v>
      </c>
      <c r="C88" s="1765"/>
      <c r="D88" s="1779">
        <v>0</v>
      </c>
      <c r="E88" s="1779">
        <v>0</v>
      </c>
      <c r="F88" s="1780">
        <v>0</v>
      </c>
      <c r="G88" s="1767">
        <f t="shared" si="3"/>
        <v>0</v>
      </c>
      <c r="H88" s="1771">
        <v>0</v>
      </c>
      <c r="I88" s="1771">
        <v>0</v>
      </c>
      <c r="J88" s="1772">
        <v>0</v>
      </c>
      <c r="K88" s="1767">
        <f t="shared" ref="K88:K105" si="10" xml:space="preserve"> SUM(H88:J88) + $C88</f>
        <v>0</v>
      </c>
      <c r="L88" s="1771">
        <v>0</v>
      </c>
      <c r="M88" s="1771">
        <v>0</v>
      </c>
      <c r="N88" s="1772">
        <v>0</v>
      </c>
      <c r="O88" s="1767">
        <f t="shared" ref="O88:O105" si="11" xml:space="preserve"> SUM(L88:N88) + $C88</f>
        <v>0</v>
      </c>
      <c r="P88" s="1771">
        <v>0</v>
      </c>
      <c r="Q88" s="1771">
        <v>0</v>
      </c>
      <c r="R88" s="1772">
        <v>0</v>
      </c>
      <c r="S88" s="1767">
        <f t="shared" ref="S88:S105" si="12" xml:space="preserve"> SUM(P88:R88) + $C88</f>
        <v>0</v>
      </c>
    </row>
    <row r="89" spans="1:19" x14ac:dyDescent="0.25">
      <c r="A89" s="1942"/>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42"/>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35" t="s">
        <v>24</v>
      </c>
      <c r="B91" s="1773" t="s">
        <v>32</v>
      </c>
      <c r="C91" s="1774"/>
      <c r="D91" s="1781">
        <v>4</v>
      </c>
      <c r="E91" s="1776">
        <v>0</v>
      </c>
      <c r="F91" s="1782">
        <v>0</v>
      </c>
      <c r="G91" s="1769">
        <f t="shared" si="3"/>
        <v>4</v>
      </c>
      <c r="H91" s="1775">
        <v>4</v>
      </c>
      <c r="I91" s="1776">
        <v>0</v>
      </c>
      <c r="J91" s="1777">
        <v>0</v>
      </c>
      <c r="K91" s="1769">
        <f t="shared" si="10"/>
        <v>4</v>
      </c>
      <c r="L91" s="1775">
        <v>6</v>
      </c>
      <c r="M91" s="1776">
        <v>0</v>
      </c>
      <c r="N91" s="1777">
        <v>0</v>
      </c>
      <c r="O91" s="1769">
        <f t="shared" si="11"/>
        <v>6</v>
      </c>
      <c r="P91" s="1775">
        <v>6</v>
      </c>
      <c r="Q91" s="1776">
        <v>0</v>
      </c>
      <c r="R91" s="1777">
        <v>0</v>
      </c>
      <c r="S91" s="1769">
        <f t="shared" si="12"/>
        <v>6</v>
      </c>
    </row>
    <row r="92" spans="1:19" x14ac:dyDescent="0.25">
      <c r="A92" s="1935"/>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35"/>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35" t="s">
        <v>25</v>
      </c>
      <c r="B94" s="1773" t="s">
        <v>32</v>
      </c>
      <c r="C94" s="1774"/>
      <c r="D94" s="1781">
        <v>2</v>
      </c>
      <c r="E94" s="1776">
        <v>0</v>
      </c>
      <c r="F94" s="1782">
        <v>0</v>
      </c>
      <c r="G94" s="1769">
        <f t="shared" ref="G94:G105" si="13" xml:space="preserve"> SUM(D94:F94) + $C94</f>
        <v>2</v>
      </c>
      <c r="H94" s="1781">
        <v>2</v>
      </c>
      <c r="I94" s="1776">
        <v>0</v>
      </c>
      <c r="J94" s="1782">
        <v>0</v>
      </c>
      <c r="K94" s="1769">
        <f t="shared" si="10"/>
        <v>2</v>
      </c>
      <c r="L94" s="1775">
        <v>4</v>
      </c>
      <c r="M94" s="1776">
        <v>0</v>
      </c>
      <c r="N94" s="1777">
        <v>0</v>
      </c>
      <c r="O94" s="1769">
        <f t="shared" si="11"/>
        <v>4</v>
      </c>
      <c r="P94" s="1775">
        <v>4</v>
      </c>
      <c r="Q94" s="1776">
        <v>0</v>
      </c>
      <c r="R94" s="1777">
        <v>0</v>
      </c>
      <c r="S94" s="1769">
        <f t="shared" si="12"/>
        <v>4</v>
      </c>
    </row>
    <row r="95" spans="1:19" x14ac:dyDescent="0.25">
      <c r="A95" s="1935"/>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35"/>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35" t="s">
        <v>26</v>
      </c>
      <c r="B97" s="1773" t="s">
        <v>32</v>
      </c>
      <c r="C97" s="1774"/>
      <c r="D97" s="1781">
        <v>6</v>
      </c>
      <c r="E97" s="1775">
        <v>0</v>
      </c>
      <c r="F97" s="1783">
        <v>0</v>
      </c>
      <c r="G97" s="1769">
        <f t="shared" si="13"/>
        <v>6</v>
      </c>
      <c r="H97" s="1781">
        <v>6</v>
      </c>
      <c r="I97" s="1775">
        <v>0</v>
      </c>
      <c r="J97" s="1783">
        <v>0</v>
      </c>
      <c r="K97" s="1769">
        <f t="shared" si="10"/>
        <v>6</v>
      </c>
      <c r="L97" s="1781">
        <v>8</v>
      </c>
      <c r="M97" s="1775">
        <v>0</v>
      </c>
      <c r="N97" s="1783">
        <v>0</v>
      </c>
      <c r="O97" s="1769">
        <f t="shared" si="11"/>
        <v>8</v>
      </c>
      <c r="P97" s="1781">
        <v>8</v>
      </c>
      <c r="Q97" s="1775">
        <v>0</v>
      </c>
      <c r="R97" s="1783">
        <v>0</v>
      </c>
      <c r="S97" s="1769">
        <f t="shared" si="12"/>
        <v>8</v>
      </c>
    </row>
    <row r="98" spans="1:19" x14ac:dyDescent="0.25">
      <c r="A98" s="1935"/>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35"/>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35" t="s">
        <v>27</v>
      </c>
      <c r="B100" s="1773" t="s">
        <v>32</v>
      </c>
      <c r="C100" s="1774"/>
      <c r="D100" s="1781">
        <v>4</v>
      </c>
      <c r="E100" s="1775">
        <v>0</v>
      </c>
      <c r="F100" s="1783">
        <v>0</v>
      </c>
      <c r="G100" s="1769">
        <f t="shared" si="13"/>
        <v>4</v>
      </c>
      <c r="H100" s="1775">
        <v>4</v>
      </c>
      <c r="I100" s="1775">
        <v>0</v>
      </c>
      <c r="J100" s="1775">
        <v>0</v>
      </c>
      <c r="K100" s="1769">
        <f t="shared" si="10"/>
        <v>4</v>
      </c>
      <c r="L100" s="1775">
        <v>4</v>
      </c>
      <c r="M100" s="1775">
        <v>0</v>
      </c>
      <c r="N100" s="1775">
        <v>0</v>
      </c>
      <c r="O100" s="1769">
        <f t="shared" si="11"/>
        <v>4</v>
      </c>
      <c r="P100" s="1775">
        <v>4</v>
      </c>
      <c r="Q100" s="1775">
        <v>0</v>
      </c>
      <c r="R100" s="1775">
        <v>0</v>
      </c>
      <c r="S100" s="1769">
        <f t="shared" si="12"/>
        <v>4</v>
      </c>
    </row>
    <row r="101" spans="1:19" x14ac:dyDescent="0.25">
      <c r="A101" s="1935"/>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35"/>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42" t="s">
        <v>28</v>
      </c>
      <c r="B103" s="1773" t="s">
        <v>32</v>
      </c>
      <c r="C103" s="1774"/>
      <c r="D103" s="1781">
        <v>2</v>
      </c>
      <c r="E103" s="1775">
        <v>0</v>
      </c>
      <c r="F103" s="1783">
        <v>0</v>
      </c>
      <c r="G103" s="1769">
        <f t="shared" si="13"/>
        <v>2</v>
      </c>
      <c r="H103" s="1781">
        <v>2</v>
      </c>
      <c r="I103" s="1775">
        <v>0</v>
      </c>
      <c r="J103" s="1783">
        <v>0</v>
      </c>
      <c r="K103" s="1769">
        <f t="shared" si="10"/>
        <v>2</v>
      </c>
      <c r="L103" s="1781">
        <v>4</v>
      </c>
      <c r="M103" s="1775">
        <v>0</v>
      </c>
      <c r="N103" s="1783">
        <v>0</v>
      </c>
      <c r="O103" s="1769">
        <f t="shared" si="11"/>
        <v>4</v>
      </c>
      <c r="P103" s="1781">
        <v>4</v>
      </c>
      <c r="Q103" s="1775">
        <v>0</v>
      </c>
      <c r="R103" s="1783">
        <v>0</v>
      </c>
      <c r="S103" s="1769">
        <f t="shared" si="12"/>
        <v>4</v>
      </c>
    </row>
    <row r="104" spans="1:19" x14ac:dyDescent="0.25">
      <c r="A104" s="1942"/>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43"/>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1" t="s">
        <v>1706</v>
      </c>
      <c r="B107" s="1691" t="s">
        <v>1707</v>
      </c>
      <c r="C107" s="1748"/>
      <c r="D107" s="1696"/>
      <c r="E107" s="1748" t="s">
        <v>1708</v>
      </c>
    </row>
    <row r="108" spans="1:19" ht="60" x14ac:dyDescent="0.25">
      <c r="A108" s="1692" t="s">
        <v>616</v>
      </c>
      <c r="B108" s="1692" t="s">
        <v>1818</v>
      </c>
      <c r="C108" s="1748"/>
      <c r="D108" s="1748"/>
      <c r="E108" s="1748"/>
    </row>
    <row r="109" spans="1:19" ht="60" x14ac:dyDescent="0.25">
      <c r="A109" s="1692" t="s">
        <v>616</v>
      </c>
      <c r="B109" s="1692" t="s">
        <v>1818</v>
      </c>
      <c r="C109" s="1748"/>
      <c r="D109" s="1748"/>
      <c r="E109" s="1748"/>
    </row>
    <row r="110" spans="1:19" ht="60" x14ac:dyDescent="0.25">
      <c r="A110" s="1692" t="s">
        <v>616</v>
      </c>
      <c r="B110" s="1692" t="s">
        <v>1818</v>
      </c>
      <c r="C110" s="1748"/>
      <c r="D110" s="1748"/>
      <c r="E110" s="1748"/>
    </row>
    <row r="111" spans="1:19" x14ac:dyDescent="0.25">
      <c r="A111" s="1748"/>
      <c r="B111" s="1748"/>
      <c r="C111" s="1748"/>
      <c r="D111" s="1748"/>
      <c r="E111" s="1748"/>
    </row>
    <row r="112" spans="1:19" x14ac:dyDescent="0.25">
      <c r="A112" s="1693" t="s">
        <v>89</v>
      </c>
      <c r="B112" s="1748" t="s">
        <v>1708</v>
      </c>
      <c r="C112" s="1748"/>
      <c r="D112" s="1748"/>
      <c r="E112" s="1748"/>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30" t="s">
        <v>608</v>
      </c>
      <c r="E1" s="1931"/>
      <c r="F1" s="1931"/>
      <c r="G1" s="1932"/>
      <c r="H1" s="1930" t="s">
        <v>609</v>
      </c>
      <c r="I1" s="1931"/>
      <c r="J1" s="1931"/>
      <c r="K1" s="1932"/>
    </row>
    <row r="2" spans="1:11" ht="15.75" x14ac:dyDescent="0.25">
      <c r="B2" s="41" t="s">
        <v>37</v>
      </c>
      <c r="C2" s="1940" t="s">
        <v>35</v>
      </c>
      <c r="D2" s="835" t="s">
        <v>621</v>
      </c>
      <c r="E2" s="835" t="s">
        <v>617</v>
      </c>
      <c r="F2" s="835" t="s">
        <v>617</v>
      </c>
      <c r="G2" s="1933" t="s">
        <v>38</v>
      </c>
      <c r="H2" s="835" t="s">
        <v>621</v>
      </c>
      <c r="I2" s="835" t="s">
        <v>617</v>
      </c>
      <c r="J2" s="835" t="s">
        <v>617</v>
      </c>
      <c r="K2" s="1933" t="s">
        <v>38</v>
      </c>
    </row>
    <row r="3" spans="1:11" ht="16.5" thickBot="1" x14ac:dyDescent="0.3">
      <c r="A3" s="12" t="s">
        <v>36</v>
      </c>
      <c r="B3" s="768">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row>
    <row r="4" spans="1:11" ht="16.5" thickBot="1" x14ac:dyDescent="0.3">
      <c r="A4" s="326" t="s">
        <v>448</v>
      </c>
      <c r="B4" s="327"/>
      <c r="C4" s="327"/>
      <c r="D4" s="327"/>
      <c r="E4" s="327"/>
      <c r="F4" s="327"/>
      <c r="G4" s="327"/>
      <c r="H4" s="327"/>
      <c r="I4" s="327"/>
      <c r="J4" s="327"/>
      <c r="K4" s="327"/>
    </row>
    <row r="5" spans="1:11" x14ac:dyDescent="0.25">
      <c r="A5" s="1942"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42"/>
      <c r="B6" s="19" t="s">
        <v>33</v>
      </c>
      <c r="C6" s="620"/>
      <c r="D6" s="834">
        <f>1*D$3</f>
        <v>0</v>
      </c>
      <c r="E6" s="813">
        <v>0</v>
      </c>
      <c r="F6" s="813">
        <v>0</v>
      </c>
      <c r="G6" s="619">
        <f xml:space="preserve"> SUM(D6:F6) + $C6</f>
        <v>0</v>
      </c>
      <c r="H6" s="834">
        <f>1*H$3</f>
        <v>0</v>
      </c>
      <c r="I6" s="739">
        <v>0</v>
      </c>
      <c r="J6" s="739">
        <v>0</v>
      </c>
      <c r="K6" s="619">
        <f t="shared" si="0"/>
        <v>0</v>
      </c>
    </row>
    <row r="7" spans="1:11" x14ac:dyDescent="0.25">
      <c r="A7" s="1975"/>
      <c r="B7" s="19" t="s">
        <v>34</v>
      </c>
      <c r="C7" s="620"/>
      <c r="D7" s="834">
        <f>2*D$3</f>
        <v>0</v>
      </c>
      <c r="E7" s="813">
        <v>0</v>
      </c>
      <c r="F7" s="813">
        <v>0</v>
      </c>
      <c r="G7" s="619">
        <f xml:space="preserve"> SUM(D7:F7) + $C7</f>
        <v>0</v>
      </c>
      <c r="H7" s="834">
        <f>2*H$3</f>
        <v>0</v>
      </c>
      <c r="I7" s="739">
        <v>0</v>
      </c>
      <c r="J7" s="739">
        <v>0</v>
      </c>
      <c r="K7" s="619">
        <f t="shared" si="0"/>
        <v>0</v>
      </c>
    </row>
    <row r="8" spans="1:11" x14ac:dyDescent="0.25">
      <c r="A8" s="1942"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42"/>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42"/>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42"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42"/>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42"/>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39"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38"/>
      <c r="B17" s="18" t="s">
        <v>33</v>
      </c>
      <c r="C17" s="620"/>
      <c r="D17" s="767">
        <v>0</v>
      </c>
      <c r="E17" s="740">
        <v>0</v>
      </c>
      <c r="F17" s="743">
        <v>0</v>
      </c>
      <c r="G17" s="619">
        <f t="shared" si="1"/>
        <v>0</v>
      </c>
      <c r="H17" s="827">
        <v>0</v>
      </c>
      <c r="I17" s="814">
        <v>0</v>
      </c>
      <c r="J17" s="819">
        <v>0</v>
      </c>
      <c r="K17" s="619">
        <f t="shared" si="2"/>
        <v>0</v>
      </c>
    </row>
    <row r="18" spans="1:11" x14ac:dyDescent="0.25">
      <c r="A18" s="1938"/>
      <c r="B18" s="18" t="s">
        <v>34</v>
      </c>
      <c r="C18" s="620"/>
      <c r="D18" s="767">
        <v>0</v>
      </c>
      <c r="E18" s="740">
        <v>0</v>
      </c>
      <c r="F18" s="743">
        <v>0</v>
      </c>
      <c r="G18" s="619">
        <f t="shared" si="1"/>
        <v>0</v>
      </c>
      <c r="H18" s="827">
        <v>0</v>
      </c>
      <c r="I18" s="814">
        <v>0</v>
      </c>
      <c r="J18" s="819">
        <v>0</v>
      </c>
      <c r="K18" s="619">
        <f t="shared" si="2"/>
        <v>0</v>
      </c>
    </row>
    <row r="19" spans="1:11" x14ac:dyDescent="0.25">
      <c r="A19" s="1938" t="s">
        <v>5</v>
      </c>
      <c r="B19" s="19" t="s">
        <v>32</v>
      </c>
      <c r="C19" s="620"/>
      <c r="D19" s="744">
        <v>0</v>
      </c>
      <c r="E19" s="740">
        <v>0</v>
      </c>
      <c r="F19" s="743">
        <v>0</v>
      </c>
      <c r="G19" s="619">
        <f t="shared" si="1"/>
        <v>0</v>
      </c>
      <c r="H19" s="821">
        <v>0</v>
      </c>
      <c r="I19" s="814">
        <v>0</v>
      </c>
      <c r="J19" s="819">
        <v>0</v>
      </c>
      <c r="K19" s="619">
        <f t="shared" si="2"/>
        <v>0</v>
      </c>
    </row>
    <row r="20" spans="1:11" x14ac:dyDescent="0.25">
      <c r="A20" s="1938"/>
      <c r="B20" s="19" t="s">
        <v>33</v>
      </c>
      <c r="C20" s="620"/>
      <c r="D20" s="744">
        <v>0</v>
      </c>
      <c r="E20" s="740">
        <v>0</v>
      </c>
      <c r="F20" s="743">
        <v>0</v>
      </c>
      <c r="G20" s="619">
        <f t="shared" si="1"/>
        <v>0</v>
      </c>
      <c r="H20" s="821">
        <v>0</v>
      </c>
      <c r="I20" s="814">
        <v>0</v>
      </c>
      <c r="J20" s="819">
        <v>0</v>
      </c>
      <c r="K20" s="619">
        <f t="shared" si="2"/>
        <v>0</v>
      </c>
    </row>
    <row r="21" spans="1:11" x14ac:dyDescent="0.25">
      <c r="A21" s="1938"/>
      <c r="B21" s="19" t="s">
        <v>34</v>
      </c>
      <c r="C21" s="620"/>
      <c r="D21" s="744">
        <v>0</v>
      </c>
      <c r="E21" s="740">
        <v>0</v>
      </c>
      <c r="F21" s="743">
        <v>0</v>
      </c>
      <c r="G21" s="619">
        <f t="shared" si="1"/>
        <v>0</v>
      </c>
      <c r="H21" s="821">
        <v>0</v>
      </c>
      <c r="I21" s="814">
        <v>0</v>
      </c>
      <c r="J21" s="819">
        <v>0</v>
      </c>
      <c r="K21" s="619">
        <f t="shared" si="2"/>
        <v>0</v>
      </c>
    </row>
    <row r="22" spans="1:11" x14ac:dyDescent="0.25">
      <c r="A22" s="1938" t="s">
        <v>6</v>
      </c>
      <c r="B22" s="19" t="s">
        <v>32</v>
      </c>
      <c r="C22" s="620"/>
      <c r="D22" s="834">
        <f>2*D$3</f>
        <v>0</v>
      </c>
      <c r="E22" s="828">
        <v>0</v>
      </c>
      <c r="F22" s="813">
        <v>0</v>
      </c>
      <c r="G22" s="619">
        <f t="shared" si="1"/>
        <v>0</v>
      </c>
      <c r="H22" s="834">
        <f>3*H$3</f>
        <v>0</v>
      </c>
      <c r="I22" s="828">
        <v>0</v>
      </c>
      <c r="J22" s="813">
        <v>0</v>
      </c>
      <c r="K22" s="619">
        <f t="shared" si="2"/>
        <v>0</v>
      </c>
    </row>
    <row r="23" spans="1:11" x14ac:dyDescent="0.25">
      <c r="A23" s="1938"/>
      <c r="B23" s="19" t="s">
        <v>33</v>
      </c>
      <c r="C23" s="620"/>
      <c r="D23" s="834">
        <f>4*D$3</f>
        <v>0</v>
      </c>
      <c r="E23" s="828">
        <v>0</v>
      </c>
      <c r="F23" s="813">
        <v>0</v>
      </c>
      <c r="G23" s="619">
        <f t="shared" si="1"/>
        <v>0</v>
      </c>
      <c r="H23" s="834">
        <f>5*H$3</f>
        <v>0</v>
      </c>
      <c r="I23" s="828">
        <v>0</v>
      </c>
      <c r="J23" s="813">
        <v>0</v>
      </c>
      <c r="K23" s="619">
        <f t="shared" si="2"/>
        <v>0</v>
      </c>
    </row>
    <row r="24" spans="1:11" x14ac:dyDescent="0.25">
      <c r="A24" s="1938"/>
      <c r="B24" s="19" t="s">
        <v>34</v>
      </c>
      <c r="C24" s="620"/>
      <c r="D24" s="834">
        <f>6*D$3</f>
        <v>0</v>
      </c>
      <c r="E24" s="828">
        <v>0</v>
      </c>
      <c r="F24" s="813">
        <v>0</v>
      </c>
      <c r="G24" s="619">
        <f t="shared" si="1"/>
        <v>0</v>
      </c>
      <c r="H24" s="834">
        <f>7*H$3</f>
        <v>0</v>
      </c>
      <c r="I24" s="828">
        <v>0</v>
      </c>
      <c r="J24" s="813">
        <v>0</v>
      </c>
      <c r="K24" s="619">
        <f t="shared" si="2"/>
        <v>0</v>
      </c>
    </row>
    <row r="25" spans="1:11" x14ac:dyDescent="0.25">
      <c r="A25" s="1938" t="s">
        <v>7</v>
      </c>
      <c r="B25" s="19" t="s">
        <v>32</v>
      </c>
      <c r="C25" s="620"/>
      <c r="D25" s="821">
        <v>0</v>
      </c>
      <c r="E25" s="828">
        <v>0</v>
      </c>
      <c r="F25" s="819">
        <v>0</v>
      </c>
      <c r="G25" s="619">
        <f t="shared" si="1"/>
        <v>0</v>
      </c>
      <c r="H25" s="821">
        <v>0</v>
      </c>
      <c r="I25" s="828">
        <v>0</v>
      </c>
      <c r="J25" s="819">
        <v>0</v>
      </c>
      <c r="K25" s="619">
        <f t="shared" si="2"/>
        <v>0</v>
      </c>
    </row>
    <row r="26" spans="1:11" x14ac:dyDescent="0.25">
      <c r="A26" s="1938"/>
      <c r="B26" s="19" t="s">
        <v>33</v>
      </c>
      <c r="C26" s="620"/>
      <c r="D26" s="821">
        <v>0</v>
      </c>
      <c r="E26" s="828">
        <v>0</v>
      </c>
      <c r="F26" s="819">
        <v>0</v>
      </c>
      <c r="G26" s="619">
        <f t="shared" si="1"/>
        <v>0</v>
      </c>
      <c r="H26" s="821">
        <v>0</v>
      </c>
      <c r="I26" s="828">
        <v>0</v>
      </c>
      <c r="J26" s="819">
        <v>0</v>
      </c>
      <c r="K26" s="619">
        <f t="shared" si="2"/>
        <v>0</v>
      </c>
    </row>
    <row r="27" spans="1:11" x14ac:dyDescent="0.25">
      <c r="A27" s="1938"/>
      <c r="B27" s="19" t="s">
        <v>34</v>
      </c>
      <c r="C27" s="620"/>
      <c r="D27" s="821">
        <v>0</v>
      </c>
      <c r="E27" s="828">
        <v>0</v>
      </c>
      <c r="F27" s="819">
        <v>0</v>
      </c>
      <c r="G27" s="619">
        <f t="shared" si="1"/>
        <v>0</v>
      </c>
      <c r="H27" s="821">
        <v>0</v>
      </c>
      <c r="I27" s="828">
        <v>0</v>
      </c>
      <c r="J27" s="819">
        <v>0</v>
      </c>
      <c r="K27" s="619">
        <f t="shared" si="2"/>
        <v>0</v>
      </c>
    </row>
    <row r="28" spans="1:11" x14ac:dyDescent="0.25">
      <c r="A28" s="1938" t="s">
        <v>8</v>
      </c>
      <c r="B28" s="19" t="s">
        <v>32</v>
      </c>
      <c r="C28" s="620"/>
      <c r="D28" s="821">
        <v>0</v>
      </c>
      <c r="E28" s="828">
        <v>0</v>
      </c>
      <c r="F28" s="819">
        <v>0</v>
      </c>
      <c r="G28" s="619">
        <f t="shared" si="1"/>
        <v>0</v>
      </c>
      <c r="H28" s="821">
        <v>0</v>
      </c>
      <c r="I28" s="828">
        <v>0</v>
      </c>
      <c r="J28" s="819">
        <v>0</v>
      </c>
      <c r="K28" s="619">
        <f t="shared" si="2"/>
        <v>0</v>
      </c>
    </row>
    <row r="29" spans="1:11" x14ac:dyDescent="0.25">
      <c r="A29" s="1938"/>
      <c r="B29" s="19" t="s">
        <v>33</v>
      </c>
      <c r="C29" s="620"/>
      <c r="D29" s="821">
        <v>0</v>
      </c>
      <c r="E29" s="828">
        <v>0</v>
      </c>
      <c r="F29" s="819">
        <v>0</v>
      </c>
      <c r="G29" s="619">
        <f t="shared" si="1"/>
        <v>0</v>
      </c>
      <c r="H29" s="821">
        <v>0</v>
      </c>
      <c r="I29" s="828">
        <v>0</v>
      </c>
      <c r="J29" s="819">
        <v>0</v>
      </c>
      <c r="K29" s="619">
        <f t="shared" si="2"/>
        <v>0</v>
      </c>
    </row>
    <row r="30" spans="1:11" x14ac:dyDescent="0.25">
      <c r="A30" s="1938"/>
      <c r="B30" s="19" t="s">
        <v>34</v>
      </c>
      <c r="C30" s="620"/>
      <c r="D30" s="821">
        <v>0</v>
      </c>
      <c r="E30" s="828">
        <v>0</v>
      </c>
      <c r="F30" s="819">
        <v>0</v>
      </c>
      <c r="G30" s="619">
        <f t="shared" si="1"/>
        <v>0</v>
      </c>
      <c r="H30" s="821">
        <v>0</v>
      </c>
      <c r="I30" s="828">
        <v>0</v>
      </c>
      <c r="J30" s="819">
        <v>0</v>
      </c>
      <c r="K30" s="619">
        <f t="shared" si="2"/>
        <v>0</v>
      </c>
    </row>
    <row r="31" spans="1:11" x14ac:dyDescent="0.25">
      <c r="A31" s="2323" t="s">
        <v>9</v>
      </c>
      <c r="B31" s="19" t="s">
        <v>32</v>
      </c>
      <c r="C31" s="620"/>
      <c r="D31" s="837">
        <v>0</v>
      </c>
      <c r="E31" s="828">
        <v>0</v>
      </c>
      <c r="F31" s="814">
        <v>0</v>
      </c>
      <c r="G31" s="619">
        <f t="shared" si="1"/>
        <v>0</v>
      </c>
      <c r="H31" s="837">
        <v>0</v>
      </c>
      <c r="I31" s="828">
        <v>0</v>
      </c>
      <c r="J31" s="814">
        <v>0</v>
      </c>
      <c r="K31" s="619">
        <f t="shared" si="2"/>
        <v>0</v>
      </c>
    </row>
    <row r="32" spans="1:11" x14ac:dyDescent="0.25">
      <c r="A32" s="2323"/>
      <c r="B32" s="19" t="s">
        <v>33</v>
      </c>
      <c r="C32" s="620"/>
      <c r="D32" s="837">
        <v>0</v>
      </c>
      <c r="E32" s="828">
        <v>0</v>
      </c>
      <c r="F32" s="814">
        <v>0</v>
      </c>
      <c r="G32" s="619">
        <f t="shared" si="1"/>
        <v>0</v>
      </c>
      <c r="H32" s="837">
        <v>0</v>
      </c>
      <c r="I32" s="828">
        <v>0</v>
      </c>
      <c r="J32" s="814">
        <v>0</v>
      </c>
      <c r="K32" s="619">
        <f t="shared" si="2"/>
        <v>0</v>
      </c>
    </row>
    <row r="33" spans="1:11" x14ac:dyDescent="0.25">
      <c r="A33" s="2323"/>
      <c r="B33" s="19" t="s">
        <v>34</v>
      </c>
      <c r="C33" s="620"/>
      <c r="D33" s="837">
        <v>0</v>
      </c>
      <c r="E33" s="828">
        <v>0</v>
      </c>
      <c r="F33" s="814">
        <v>0</v>
      </c>
      <c r="G33" s="619">
        <f t="shared" si="1"/>
        <v>0</v>
      </c>
      <c r="H33" s="837">
        <v>0</v>
      </c>
      <c r="I33" s="828">
        <v>0</v>
      </c>
      <c r="J33" s="814">
        <v>0</v>
      </c>
      <c r="K33" s="619">
        <f t="shared" si="2"/>
        <v>0</v>
      </c>
    </row>
    <row r="34" spans="1:11" x14ac:dyDescent="0.25">
      <c r="A34" s="1938" t="s">
        <v>10</v>
      </c>
      <c r="B34" s="19" t="s">
        <v>32</v>
      </c>
      <c r="C34" s="620"/>
      <c r="D34" s="837">
        <v>0</v>
      </c>
      <c r="E34" s="828">
        <v>0</v>
      </c>
      <c r="F34" s="814">
        <v>0</v>
      </c>
      <c r="G34" s="619">
        <f t="shared" si="1"/>
        <v>0</v>
      </c>
      <c r="H34" s="837">
        <v>0</v>
      </c>
      <c r="I34" s="828">
        <v>0</v>
      </c>
      <c r="J34" s="814">
        <v>0</v>
      </c>
      <c r="K34" s="619">
        <f t="shared" si="2"/>
        <v>0</v>
      </c>
    </row>
    <row r="35" spans="1:11" x14ac:dyDescent="0.25">
      <c r="A35" s="1938"/>
      <c r="B35" s="19" t="s">
        <v>33</v>
      </c>
      <c r="C35" s="620"/>
      <c r="D35" s="837">
        <v>0</v>
      </c>
      <c r="E35" s="828">
        <v>0</v>
      </c>
      <c r="F35" s="814">
        <v>0</v>
      </c>
      <c r="G35" s="619">
        <f t="shared" si="1"/>
        <v>0</v>
      </c>
      <c r="H35" s="837">
        <v>0</v>
      </c>
      <c r="I35" s="828">
        <v>0</v>
      </c>
      <c r="J35" s="814">
        <v>0</v>
      </c>
      <c r="K35" s="619">
        <f t="shared" si="2"/>
        <v>0</v>
      </c>
    </row>
    <row r="36" spans="1:11" ht="15.75" thickBot="1" x14ac:dyDescent="0.3">
      <c r="A36" s="1936"/>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42"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42"/>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42"/>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42"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42"/>
      <c r="B43" s="19" t="s">
        <v>33</v>
      </c>
      <c r="C43" s="817"/>
      <c r="D43" s="821">
        <v>0</v>
      </c>
      <c r="E43" s="814">
        <v>0</v>
      </c>
      <c r="F43" s="819">
        <v>0</v>
      </c>
      <c r="G43" s="619">
        <f t="shared" si="1"/>
        <v>0</v>
      </c>
      <c r="H43" s="821">
        <v>0</v>
      </c>
      <c r="I43" s="814">
        <v>0</v>
      </c>
      <c r="J43" s="819">
        <v>0</v>
      </c>
      <c r="K43" s="619">
        <f t="shared" si="3"/>
        <v>0</v>
      </c>
    </row>
    <row r="44" spans="1:11" x14ac:dyDescent="0.25">
      <c r="A44" s="1942"/>
      <c r="B44" s="19" t="s">
        <v>34</v>
      </c>
      <c r="C44" s="817"/>
      <c r="D44" s="821">
        <v>0</v>
      </c>
      <c r="E44" s="814">
        <v>0</v>
      </c>
      <c r="F44" s="819">
        <v>0</v>
      </c>
      <c r="G44" s="619">
        <f t="shared" si="1"/>
        <v>0</v>
      </c>
      <c r="H44" s="821">
        <v>0</v>
      </c>
      <c r="I44" s="814">
        <v>0</v>
      </c>
      <c r="J44" s="819">
        <v>0</v>
      </c>
      <c r="K44" s="619">
        <f t="shared" si="3"/>
        <v>0</v>
      </c>
    </row>
    <row r="45" spans="1:11" x14ac:dyDescent="0.25">
      <c r="A45" s="1935" t="s">
        <v>15</v>
      </c>
      <c r="B45" s="19" t="s">
        <v>32</v>
      </c>
      <c r="C45" s="817"/>
      <c r="D45" s="821">
        <v>2</v>
      </c>
      <c r="E45" s="814">
        <v>0</v>
      </c>
      <c r="F45" s="814">
        <v>0</v>
      </c>
      <c r="G45" s="619">
        <f t="shared" si="1"/>
        <v>2</v>
      </c>
      <c r="H45" s="821">
        <v>4</v>
      </c>
      <c r="I45" s="814">
        <v>0</v>
      </c>
      <c r="J45" s="814">
        <v>0</v>
      </c>
      <c r="K45" s="619">
        <f t="shared" si="3"/>
        <v>4</v>
      </c>
    </row>
    <row r="46" spans="1:11" x14ac:dyDescent="0.25">
      <c r="A46" s="1935"/>
      <c r="B46" s="19" t="s">
        <v>33</v>
      </c>
      <c r="C46" s="817"/>
      <c r="D46" s="821">
        <v>4</v>
      </c>
      <c r="E46" s="814">
        <v>0</v>
      </c>
      <c r="F46" s="814">
        <v>0</v>
      </c>
      <c r="G46" s="619">
        <f t="shared" si="1"/>
        <v>4</v>
      </c>
      <c r="H46" s="821">
        <v>6</v>
      </c>
      <c r="I46" s="814">
        <v>0</v>
      </c>
      <c r="J46" s="814">
        <v>0</v>
      </c>
      <c r="K46" s="619">
        <f t="shared" si="3"/>
        <v>6</v>
      </c>
    </row>
    <row r="47" spans="1:11" x14ac:dyDescent="0.25">
      <c r="A47" s="1935"/>
      <c r="B47" s="19" t="s">
        <v>34</v>
      </c>
      <c r="C47" s="817"/>
      <c r="D47" s="821">
        <v>6</v>
      </c>
      <c r="E47" s="814">
        <v>0</v>
      </c>
      <c r="F47" s="814">
        <v>0</v>
      </c>
      <c r="G47" s="619">
        <f t="shared" si="1"/>
        <v>6</v>
      </c>
      <c r="H47" s="821">
        <v>8</v>
      </c>
      <c r="I47" s="814">
        <v>0</v>
      </c>
      <c r="J47" s="814">
        <v>0</v>
      </c>
      <c r="K47" s="619">
        <f t="shared" si="3"/>
        <v>8</v>
      </c>
    </row>
    <row r="48" spans="1:11" x14ac:dyDescent="0.25">
      <c r="A48" s="1935" t="s">
        <v>16</v>
      </c>
      <c r="B48" s="19" t="s">
        <v>32</v>
      </c>
      <c r="C48" s="817"/>
      <c r="D48" s="821">
        <v>0</v>
      </c>
      <c r="E48" s="814">
        <v>0</v>
      </c>
      <c r="F48" s="819">
        <v>0</v>
      </c>
      <c r="G48" s="619">
        <f t="shared" si="1"/>
        <v>0</v>
      </c>
      <c r="H48" s="814">
        <v>0</v>
      </c>
      <c r="I48" s="814">
        <v>0</v>
      </c>
      <c r="J48" s="819">
        <v>0</v>
      </c>
      <c r="K48" s="619">
        <f t="shared" si="3"/>
        <v>0</v>
      </c>
    </row>
    <row r="49" spans="1:11" x14ac:dyDescent="0.25">
      <c r="A49" s="1935"/>
      <c r="B49" s="19" t="s">
        <v>33</v>
      </c>
      <c r="C49" s="817"/>
      <c r="D49" s="821">
        <v>0</v>
      </c>
      <c r="E49" s="814">
        <v>0</v>
      </c>
      <c r="F49" s="819">
        <v>0</v>
      </c>
      <c r="G49" s="619">
        <f t="shared" si="1"/>
        <v>0</v>
      </c>
      <c r="H49" s="814">
        <v>0</v>
      </c>
      <c r="I49" s="814">
        <v>0</v>
      </c>
      <c r="J49" s="819">
        <v>0</v>
      </c>
      <c r="K49" s="619">
        <f t="shared" si="3"/>
        <v>0</v>
      </c>
    </row>
    <row r="50" spans="1:11" x14ac:dyDescent="0.25">
      <c r="A50" s="1935"/>
      <c r="B50" s="19" t="s">
        <v>34</v>
      </c>
      <c r="C50" s="817"/>
      <c r="D50" s="821">
        <v>0</v>
      </c>
      <c r="E50" s="814">
        <v>0</v>
      </c>
      <c r="F50" s="819">
        <v>0</v>
      </c>
      <c r="G50" s="619">
        <f t="shared" si="1"/>
        <v>0</v>
      </c>
      <c r="H50" s="814">
        <v>0</v>
      </c>
      <c r="I50" s="814">
        <v>0</v>
      </c>
      <c r="J50" s="819">
        <v>0</v>
      </c>
      <c r="K50" s="619">
        <f t="shared" si="3"/>
        <v>0</v>
      </c>
    </row>
    <row r="51" spans="1:11" x14ac:dyDescent="0.25">
      <c r="A51" s="1935" t="s">
        <v>17</v>
      </c>
      <c r="B51" s="19" t="s">
        <v>32</v>
      </c>
      <c r="C51" s="817"/>
      <c r="D51" s="821">
        <v>0</v>
      </c>
      <c r="E51" s="814">
        <v>0</v>
      </c>
      <c r="F51" s="814">
        <v>0</v>
      </c>
      <c r="G51" s="619">
        <f t="shared" si="1"/>
        <v>0</v>
      </c>
      <c r="H51" s="814">
        <v>0</v>
      </c>
      <c r="I51" s="814">
        <v>0</v>
      </c>
      <c r="J51" s="814">
        <v>0</v>
      </c>
      <c r="K51" s="619">
        <f t="shared" si="3"/>
        <v>0</v>
      </c>
    </row>
    <row r="52" spans="1:11" x14ac:dyDescent="0.25">
      <c r="A52" s="1935"/>
      <c r="B52" s="19" t="s">
        <v>33</v>
      </c>
      <c r="C52" s="817"/>
      <c r="D52" s="821">
        <v>0</v>
      </c>
      <c r="E52" s="814">
        <v>0</v>
      </c>
      <c r="F52" s="814">
        <v>0</v>
      </c>
      <c r="G52" s="619">
        <f t="shared" si="1"/>
        <v>0</v>
      </c>
      <c r="H52" s="814">
        <v>0</v>
      </c>
      <c r="I52" s="814">
        <v>0</v>
      </c>
      <c r="J52" s="814">
        <v>0</v>
      </c>
      <c r="K52" s="619">
        <f t="shared" si="3"/>
        <v>0</v>
      </c>
    </row>
    <row r="53" spans="1:11" x14ac:dyDescent="0.25">
      <c r="A53" s="1935"/>
      <c r="B53" s="19" t="s">
        <v>34</v>
      </c>
      <c r="C53" s="817"/>
      <c r="D53" s="821">
        <v>0</v>
      </c>
      <c r="E53" s="814">
        <v>0</v>
      </c>
      <c r="F53" s="814">
        <v>0</v>
      </c>
      <c r="G53" s="619">
        <f t="shared" si="1"/>
        <v>0</v>
      </c>
      <c r="H53" s="814">
        <v>0</v>
      </c>
      <c r="I53" s="814">
        <v>0</v>
      </c>
      <c r="J53" s="814">
        <v>0</v>
      </c>
      <c r="K53" s="619">
        <f t="shared" si="3"/>
        <v>0</v>
      </c>
    </row>
    <row r="54" spans="1:11" x14ac:dyDescent="0.25">
      <c r="A54" s="1935" t="s">
        <v>18</v>
      </c>
      <c r="B54" s="19" t="s">
        <v>32</v>
      </c>
      <c r="C54" s="817"/>
      <c r="D54" s="821">
        <v>0</v>
      </c>
      <c r="E54" s="814">
        <v>0</v>
      </c>
      <c r="F54" s="814">
        <v>0</v>
      </c>
      <c r="G54" s="619">
        <f t="shared" si="1"/>
        <v>0</v>
      </c>
      <c r="H54" s="814">
        <v>0</v>
      </c>
      <c r="I54" s="814">
        <v>0</v>
      </c>
      <c r="J54" s="814">
        <v>0</v>
      </c>
      <c r="K54" s="619">
        <f t="shared" si="3"/>
        <v>0</v>
      </c>
    </row>
    <row r="55" spans="1:11" x14ac:dyDescent="0.25">
      <c r="A55" s="1935"/>
      <c r="B55" s="19" t="s">
        <v>33</v>
      </c>
      <c r="C55" s="817"/>
      <c r="D55" s="821">
        <v>0</v>
      </c>
      <c r="E55" s="814">
        <v>0</v>
      </c>
      <c r="F55" s="814">
        <v>0</v>
      </c>
      <c r="G55" s="619">
        <f t="shared" si="1"/>
        <v>0</v>
      </c>
      <c r="H55" s="814">
        <v>0</v>
      </c>
      <c r="I55" s="814">
        <v>0</v>
      </c>
      <c r="J55" s="814">
        <v>0</v>
      </c>
      <c r="K55" s="619">
        <f t="shared" si="3"/>
        <v>0</v>
      </c>
    </row>
    <row r="56" spans="1:11" x14ac:dyDescent="0.25">
      <c r="A56" s="1935"/>
      <c r="B56" s="19" t="s">
        <v>34</v>
      </c>
      <c r="C56" s="817"/>
      <c r="D56" s="821">
        <v>0</v>
      </c>
      <c r="E56" s="814">
        <v>0</v>
      </c>
      <c r="F56" s="814">
        <v>0</v>
      </c>
      <c r="G56" s="619">
        <f t="shared" si="1"/>
        <v>0</v>
      </c>
      <c r="H56" s="814">
        <v>0</v>
      </c>
      <c r="I56" s="814">
        <v>0</v>
      </c>
      <c r="J56" s="814">
        <v>0</v>
      </c>
      <c r="K56" s="619">
        <f t="shared" si="3"/>
        <v>0</v>
      </c>
    </row>
    <row r="57" spans="1:11" x14ac:dyDescent="0.25">
      <c r="A57" s="1935" t="s">
        <v>19</v>
      </c>
      <c r="B57" s="19" t="s">
        <v>32</v>
      </c>
      <c r="C57" s="817"/>
      <c r="D57" s="821">
        <v>0</v>
      </c>
      <c r="E57" s="814">
        <v>0</v>
      </c>
      <c r="F57" s="814">
        <v>0</v>
      </c>
      <c r="G57" s="619">
        <f t="shared" si="1"/>
        <v>0</v>
      </c>
      <c r="H57" s="821">
        <v>0</v>
      </c>
      <c r="I57" s="814">
        <v>0</v>
      </c>
      <c r="J57" s="814">
        <v>0</v>
      </c>
      <c r="K57" s="619">
        <f t="shared" si="3"/>
        <v>0</v>
      </c>
    </row>
    <row r="58" spans="1:11" x14ac:dyDescent="0.25">
      <c r="A58" s="1935"/>
      <c r="B58" s="19" t="s">
        <v>33</v>
      </c>
      <c r="C58" s="817"/>
      <c r="D58" s="821">
        <v>0</v>
      </c>
      <c r="E58" s="814">
        <v>0</v>
      </c>
      <c r="F58" s="814">
        <v>0</v>
      </c>
      <c r="G58" s="619">
        <f t="shared" si="1"/>
        <v>0</v>
      </c>
      <c r="H58" s="821">
        <v>0</v>
      </c>
      <c r="I58" s="814">
        <v>0</v>
      </c>
      <c r="J58" s="814">
        <v>0</v>
      </c>
      <c r="K58" s="619">
        <f t="shared" si="3"/>
        <v>0</v>
      </c>
    </row>
    <row r="59" spans="1:11" x14ac:dyDescent="0.25">
      <c r="A59" s="1935"/>
      <c r="B59" s="19" t="s">
        <v>34</v>
      </c>
      <c r="C59" s="817"/>
      <c r="D59" s="821">
        <v>0</v>
      </c>
      <c r="E59" s="814">
        <v>0</v>
      </c>
      <c r="F59" s="814">
        <v>0</v>
      </c>
      <c r="G59" s="619">
        <f t="shared" si="1"/>
        <v>0</v>
      </c>
      <c r="H59" s="821">
        <v>0</v>
      </c>
      <c r="I59" s="814">
        <v>0</v>
      </c>
      <c r="J59" s="814">
        <v>0</v>
      </c>
      <c r="K59" s="619">
        <f t="shared" si="3"/>
        <v>0</v>
      </c>
    </row>
    <row r="60" spans="1:11" x14ac:dyDescent="0.25">
      <c r="A60" s="1935" t="s">
        <v>20</v>
      </c>
      <c r="B60" s="19" t="s">
        <v>32</v>
      </c>
      <c r="C60" s="817"/>
      <c r="D60" s="821">
        <v>8</v>
      </c>
      <c r="E60" s="814">
        <v>0</v>
      </c>
      <c r="F60" s="819">
        <v>0</v>
      </c>
      <c r="G60" s="619">
        <f t="shared" si="1"/>
        <v>8</v>
      </c>
      <c r="H60" s="821">
        <v>10</v>
      </c>
      <c r="I60" s="814">
        <v>0</v>
      </c>
      <c r="J60" s="819">
        <v>0</v>
      </c>
      <c r="K60" s="619">
        <f t="shared" si="3"/>
        <v>10</v>
      </c>
    </row>
    <row r="61" spans="1:11" x14ac:dyDescent="0.25">
      <c r="A61" s="1935"/>
      <c r="B61" s="19" t="s">
        <v>33</v>
      </c>
      <c r="C61" s="817"/>
      <c r="D61" s="821">
        <v>12</v>
      </c>
      <c r="E61" s="814">
        <v>0</v>
      </c>
      <c r="F61" s="819">
        <v>0</v>
      </c>
      <c r="G61" s="619">
        <f t="shared" si="1"/>
        <v>12</v>
      </c>
      <c r="H61" s="821">
        <v>14</v>
      </c>
      <c r="I61" s="814">
        <v>0</v>
      </c>
      <c r="J61" s="819">
        <v>0</v>
      </c>
      <c r="K61" s="619">
        <f t="shared" si="3"/>
        <v>14</v>
      </c>
    </row>
    <row r="62" spans="1:11" x14ac:dyDescent="0.25">
      <c r="A62" s="1935"/>
      <c r="B62" s="19" t="s">
        <v>34</v>
      </c>
      <c r="C62" s="817"/>
      <c r="D62" s="821">
        <v>16</v>
      </c>
      <c r="E62" s="814">
        <v>0</v>
      </c>
      <c r="F62" s="819">
        <v>0</v>
      </c>
      <c r="G62" s="619">
        <f t="shared" si="1"/>
        <v>16</v>
      </c>
      <c r="H62" s="821">
        <v>18</v>
      </c>
      <c r="I62" s="814">
        <v>0</v>
      </c>
      <c r="J62" s="819">
        <v>0</v>
      </c>
      <c r="K62" s="619">
        <f t="shared" si="3"/>
        <v>18</v>
      </c>
    </row>
    <row r="63" spans="1:11" x14ac:dyDescent="0.25">
      <c r="A63" s="1935" t="s">
        <v>451</v>
      </c>
      <c r="B63" s="19" t="s">
        <v>32</v>
      </c>
      <c r="C63" s="817"/>
      <c r="D63" s="821">
        <v>0</v>
      </c>
      <c r="E63" s="814">
        <v>0</v>
      </c>
      <c r="F63" s="814">
        <v>0</v>
      </c>
      <c r="G63" s="619">
        <f t="shared" si="1"/>
        <v>0</v>
      </c>
      <c r="H63" s="814">
        <v>0</v>
      </c>
      <c r="I63" s="814">
        <v>0</v>
      </c>
      <c r="J63" s="814">
        <v>0</v>
      </c>
      <c r="K63" s="619">
        <f t="shared" si="3"/>
        <v>0</v>
      </c>
    </row>
    <row r="64" spans="1:11" x14ac:dyDescent="0.25">
      <c r="A64" s="1935"/>
      <c r="B64" s="19" t="s">
        <v>33</v>
      </c>
      <c r="C64" s="817"/>
      <c r="D64" s="821">
        <v>0</v>
      </c>
      <c r="E64" s="814">
        <v>0</v>
      </c>
      <c r="F64" s="814">
        <v>0</v>
      </c>
      <c r="G64" s="619">
        <f t="shared" si="1"/>
        <v>0</v>
      </c>
      <c r="H64" s="814">
        <v>0</v>
      </c>
      <c r="I64" s="814">
        <v>0</v>
      </c>
      <c r="J64" s="814">
        <v>0</v>
      </c>
      <c r="K64" s="619">
        <f t="shared" si="3"/>
        <v>0</v>
      </c>
    </row>
    <row r="65" spans="1:11" x14ac:dyDescent="0.25">
      <c r="A65" s="1935"/>
      <c r="B65" s="19" t="s">
        <v>34</v>
      </c>
      <c r="C65" s="817"/>
      <c r="D65" s="821">
        <v>0</v>
      </c>
      <c r="E65" s="814">
        <v>0</v>
      </c>
      <c r="F65" s="814">
        <v>0</v>
      </c>
      <c r="G65" s="619">
        <f t="shared" si="1"/>
        <v>0</v>
      </c>
      <c r="H65" s="814">
        <v>0</v>
      </c>
      <c r="I65" s="814">
        <v>0</v>
      </c>
      <c r="J65" s="814">
        <v>0</v>
      </c>
      <c r="K65" s="619">
        <f t="shared" si="3"/>
        <v>0</v>
      </c>
    </row>
    <row r="66" spans="1:11" x14ac:dyDescent="0.25">
      <c r="A66" s="1935" t="s">
        <v>452</v>
      </c>
      <c r="B66" s="19" t="s">
        <v>32</v>
      </c>
      <c r="C66" s="817"/>
      <c r="D66" s="821">
        <v>0</v>
      </c>
      <c r="E66" s="814">
        <v>0</v>
      </c>
      <c r="F66" s="814">
        <v>0</v>
      </c>
      <c r="G66" s="619">
        <f t="shared" si="1"/>
        <v>0</v>
      </c>
      <c r="H66" s="814">
        <v>0</v>
      </c>
      <c r="I66" s="814">
        <v>0</v>
      </c>
      <c r="J66" s="814">
        <v>0</v>
      </c>
      <c r="K66" s="619">
        <f t="shared" si="3"/>
        <v>0</v>
      </c>
    </row>
    <row r="67" spans="1:11" x14ac:dyDescent="0.25">
      <c r="A67" s="1935"/>
      <c r="B67" s="19" t="s">
        <v>33</v>
      </c>
      <c r="C67" s="817"/>
      <c r="D67" s="821">
        <v>0</v>
      </c>
      <c r="E67" s="814">
        <v>0</v>
      </c>
      <c r="F67" s="814">
        <v>0</v>
      </c>
      <c r="G67" s="619">
        <f t="shared" si="1"/>
        <v>0</v>
      </c>
      <c r="H67" s="814">
        <v>0</v>
      </c>
      <c r="I67" s="814">
        <v>0</v>
      </c>
      <c r="J67" s="814">
        <v>0</v>
      </c>
      <c r="K67" s="619">
        <f t="shared" si="3"/>
        <v>0</v>
      </c>
    </row>
    <row r="68" spans="1:11" x14ac:dyDescent="0.25">
      <c r="A68" s="1935"/>
      <c r="B68" s="19" t="s">
        <v>34</v>
      </c>
      <c r="C68" s="817"/>
      <c r="D68" s="821">
        <v>0</v>
      </c>
      <c r="E68" s="814">
        <v>0</v>
      </c>
      <c r="F68" s="814">
        <v>0</v>
      </c>
      <c r="G68" s="619">
        <f t="shared" si="1"/>
        <v>0</v>
      </c>
      <c r="H68" s="814">
        <v>0</v>
      </c>
      <c r="I68" s="814">
        <v>0</v>
      </c>
      <c r="J68" s="814">
        <v>0</v>
      </c>
      <c r="K68" s="619">
        <f t="shared" si="3"/>
        <v>0</v>
      </c>
    </row>
    <row r="69" spans="1:11" x14ac:dyDescent="0.25">
      <c r="A69" s="1945" t="s">
        <v>533</v>
      </c>
      <c r="B69" s="19" t="s">
        <v>32</v>
      </c>
      <c r="C69" s="817"/>
      <c r="D69" s="821">
        <v>0</v>
      </c>
      <c r="E69" s="814">
        <v>0</v>
      </c>
      <c r="F69" s="814">
        <v>0</v>
      </c>
      <c r="G69" s="619">
        <f t="shared" si="1"/>
        <v>0</v>
      </c>
      <c r="H69" s="814">
        <v>0</v>
      </c>
      <c r="I69" s="814">
        <v>0</v>
      </c>
      <c r="J69" s="814">
        <v>0</v>
      </c>
      <c r="K69" s="619">
        <f t="shared" si="3"/>
        <v>0</v>
      </c>
    </row>
    <row r="70" spans="1:11" x14ac:dyDescent="0.25">
      <c r="A70" s="1945"/>
      <c r="B70" s="19" t="s">
        <v>33</v>
      </c>
      <c r="C70" s="817"/>
      <c r="D70" s="821">
        <v>0</v>
      </c>
      <c r="E70" s="814">
        <v>0</v>
      </c>
      <c r="F70" s="814">
        <v>0</v>
      </c>
      <c r="G70" s="619">
        <f t="shared" si="1"/>
        <v>0</v>
      </c>
      <c r="H70" s="814">
        <v>0</v>
      </c>
      <c r="I70" s="814">
        <v>0</v>
      </c>
      <c r="J70" s="814">
        <v>0</v>
      </c>
      <c r="K70" s="619">
        <f t="shared" si="3"/>
        <v>0</v>
      </c>
    </row>
    <row r="71" spans="1:11" x14ac:dyDescent="0.25">
      <c r="A71" s="1945"/>
      <c r="B71" s="19" t="s">
        <v>34</v>
      </c>
      <c r="C71" s="817"/>
      <c r="D71" s="821">
        <v>0</v>
      </c>
      <c r="E71" s="814">
        <v>0</v>
      </c>
      <c r="F71" s="814">
        <v>0</v>
      </c>
      <c r="G71" s="619">
        <f t="shared" si="1"/>
        <v>0</v>
      </c>
      <c r="H71" s="814">
        <v>0</v>
      </c>
      <c r="I71" s="814">
        <v>0</v>
      </c>
      <c r="J71" s="814">
        <v>0</v>
      </c>
      <c r="K71" s="619">
        <f t="shared" si="3"/>
        <v>0</v>
      </c>
    </row>
    <row r="72" spans="1:11" x14ac:dyDescent="0.25">
      <c r="A72" s="1935" t="s">
        <v>534</v>
      </c>
      <c r="B72" s="19" t="s">
        <v>32</v>
      </c>
      <c r="C72" s="817"/>
      <c r="D72" s="821">
        <v>0</v>
      </c>
      <c r="E72" s="814">
        <v>0</v>
      </c>
      <c r="F72" s="814">
        <v>0</v>
      </c>
      <c r="G72" s="619">
        <f t="shared" si="1"/>
        <v>0</v>
      </c>
      <c r="H72" s="814">
        <v>0</v>
      </c>
      <c r="I72" s="814">
        <v>0</v>
      </c>
      <c r="J72" s="814">
        <v>0</v>
      </c>
      <c r="K72" s="619">
        <f t="shared" si="3"/>
        <v>0</v>
      </c>
    </row>
    <row r="73" spans="1:11" x14ac:dyDescent="0.25">
      <c r="A73" s="1935"/>
      <c r="B73" s="19" t="s">
        <v>33</v>
      </c>
      <c r="C73" s="817"/>
      <c r="D73" s="821">
        <v>0</v>
      </c>
      <c r="E73" s="814">
        <v>0</v>
      </c>
      <c r="F73" s="814">
        <v>0</v>
      </c>
      <c r="G73" s="619">
        <f t="shared" si="1"/>
        <v>0</v>
      </c>
      <c r="H73" s="814">
        <v>0</v>
      </c>
      <c r="I73" s="814">
        <v>0</v>
      </c>
      <c r="J73" s="814">
        <v>0</v>
      </c>
      <c r="K73" s="619">
        <f t="shared" si="3"/>
        <v>0</v>
      </c>
    </row>
    <row r="74" spans="1:11" x14ac:dyDescent="0.25">
      <c r="A74" s="1935"/>
      <c r="B74" s="19" t="s">
        <v>34</v>
      </c>
      <c r="C74" s="817"/>
      <c r="D74" s="821">
        <v>0</v>
      </c>
      <c r="E74" s="814">
        <v>0</v>
      </c>
      <c r="F74" s="814">
        <v>0</v>
      </c>
      <c r="G74" s="619">
        <f t="shared" si="1"/>
        <v>0</v>
      </c>
      <c r="H74" s="814">
        <v>0</v>
      </c>
      <c r="I74" s="814">
        <v>0</v>
      </c>
      <c r="J74" s="814">
        <v>0</v>
      </c>
      <c r="K74" s="619">
        <f t="shared" si="3"/>
        <v>0</v>
      </c>
    </row>
    <row r="75" spans="1:11" x14ac:dyDescent="0.25">
      <c r="A75" s="1935"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35"/>
      <c r="B76" s="19" t="s">
        <v>33</v>
      </c>
      <c r="C76" s="817"/>
      <c r="D76" s="744" t="s">
        <v>90</v>
      </c>
      <c r="E76" s="744" t="s">
        <v>90</v>
      </c>
      <c r="F76" s="744" t="s">
        <v>90</v>
      </c>
      <c r="G76" s="619">
        <f t="shared" si="1"/>
        <v>0</v>
      </c>
      <c r="H76" s="744" t="s">
        <v>90</v>
      </c>
      <c r="I76" s="744" t="s">
        <v>90</v>
      </c>
      <c r="J76" s="744" t="s">
        <v>90</v>
      </c>
      <c r="K76" s="619">
        <f t="shared" si="3"/>
        <v>0</v>
      </c>
    </row>
    <row r="77" spans="1:11" x14ac:dyDescent="0.25">
      <c r="A77" s="1935"/>
      <c r="B77" s="13" t="s">
        <v>34</v>
      </c>
      <c r="C77" s="820"/>
      <c r="D77" s="744" t="s">
        <v>90</v>
      </c>
      <c r="E77" s="744" t="s">
        <v>90</v>
      </c>
      <c r="F77" s="744" t="s">
        <v>90</v>
      </c>
      <c r="G77" s="619">
        <f t="shared" si="1"/>
        <v>0</v>
      </c>
      <c r="H77" s="744" t="s">
        <v>90</v>
      </c>
      <c r="I77" s="744" t="s">
        <v>90</v>
      </c>
      <c r="J77" s="744" t="s">
        <v>90</v>
      </c>
      <c r="K77" s="619">
        <f t="shared" si="3"/>
        <v>0</v>
      </c>
    </row>
    <row r="78" spans="1:11" x14ac:dyDescent="0.25">
      <c r="A78" s="1935" t="s">
        <v>181</v>
      </c>
      <c r="B78" s="19" t="s">
        <v>32</v>
      </c>
      <c r="C78" s="817"/>
      <c r="D78" s="821">
        <v>0</v>
      </c>
      <c r="E78" s="740">
        <v>0</v>
      </c>
      <c r="F78" s="740">
        <v>0</v>
      </c>
      <c r="G78" s="619">
        <f t="shared" si="1"/>
        <v>0</v>
      </c>
      <c r="H78" s="740">
        <v>0</v>
      </c>
      <c r="I78" s="740">
        <v>0</v>
      </c>
      <c r="J78" s="740">
        <v>0</v>
      </c>
      <c r="K78" s="619">
        <f t="shared" si="3"/>
        <v>0</v>
      </c>
    </row>
    <row r="79" spans="1:11" x14ac:dyDescent="0.25">
      <c r="A79" s="1935"/>
      <c r="B79" s="19" t="s">
        <v>33</v>
      </c>
      <c r="C79" s="817"/>
      <c r="D79" s="821">
        <v>0</v>
      </c>
      <c r="E79" s="740">
        <v>0</v>
      </c>
      <c r="F79" s="740">
        <v>0</v>
      </c>
      <c r="G79" s="619">
        <f t="shared" si="1"/>
        <v>0</v>
      </c>
      <c r="H79" s="740">
        <v>0</v>
      </c>
      <c r="I79" s="740">
        <v>0</v>
      </c>
      <c r="J79" s="740">
        <v>0</v>
      </c>
      <c r="K79" s="619">
        <f t="shared" si="3"/>
        <v>0</v>
      </c>
    </row>
    <row r="80" spans="1:11" x14ac:dyDescent="0.25">
      <c r="A80" s="1935"/>
      <c r="B80" s="19" t="s">
        <v>34</v>
      </c>
      <c r="C80" s="817"/>
      <c r="D80" s="821">
        <v>0</v>
      </c>
      <c r="E80" s="740">
        <v>0</v>
      </c>
      <c r="F80" s="740">
        <v>0</v>
      </c>
      <c r="G80" s="619">
        <f t="shared" si="1"/>
        <v>0</v>
      </c>
      <c r="H80" s="740">
        <v>0</v>
      </c>
      <c r="I80" s="740">
        <v>0</v>
      </c>
      <c r="J80" s="740">
        <v>0</v>
      </c>
      <c r="K80" s="619">
        <f t="shared" si="3"/>
        <v>0</v>
      </c>
    </row>
    <row r="81" spans="1:11" x14ac:dyDescent="0.25">
      <c r="A81" s="1935" t="s">
        <v>182</v>
      </c>
      <c r="B81" s="19" t="s">
        <v>32</v>
      </c>
      <c r="C81" s="817"/>
      <c r="D81" s="821">
        <v>0</v>
      </c>
      <c r="E81" s="740">
        <v>0</v>
      </c>
      <c r="F81" s="740">
        <v>0</v>
      </c>
      <c r="G81" s="619">
        <f t="shared" si="1"/>
        <v>0</v>
      </c>
      <c r="H81" s="740">
        <v>0</v>
      </c>
      <c r="I81" s="740">
        <v>0</v>
      </c>
      <c r="J81" s="740">
        <v>0</v>
      </c>
      <c r="K81" s="619">
        <f t="shared" si="3"/>
        <v>0</v>
      </c>
    </row>
    <row r="82" spans="1:11" x14ac:dyDescent="0.25">
      <c r="A82" s="1935"/>
      <c r="B82" s="19" t="s">
        <v>33</v>
      </c>
      <c r="C82" s="817"/>
      <c r="D82" s="821">
        <v>0</v>
      </c>
      <c r="E82" s="740">
        <v>0</v>
      </c>
      <c r="F82" s="740">
        <v>0</v>
      </c>
      <c r="G82" s="619">
        <f t="shared" si="1"/>
        <v>0</v>
      </c>
      <c r="H82" s="740">
        <v>0</v>
      </c>
      <c r="I82" s="740">
        <v>0</v>
      </c>
      <c r="J82" s="740">
        <v>0</v>
      </c>
      <c r="K82" s="619">
        <f t="shared" si="3"/>
        <v>0</v>
      </c>
    </row>
    <row r="83" spans="1:11" x14ac:dyDescent="0.25">
      <c r="A83" s="1935"/>
      <c r="B83" s="19" t="s">
        <v>34</v>
      </c>
      <c r="C83" s="817"/>
      <c r="D83" s="821">
        <v>0</v>
      </c>
      <c r="E83" s="740">
        <v>0</v>
      </c>
      <c r="F83" s="740">
        <v>0</v>
      </c>
      <c r="G83" s="619">
        <f t="shared" si="1"/>
        <v>0</v>
      </c>
      <c r="H83" s="740">
        <v>0</v>
      </c>
      <c r="I83" s="740">
        <v>0</v>
      </c>
      <c r="J83" s="740">
        <v>0</v>
      </c>
      <c r="K83" s="619">
        <f t="shared" si="3"/>
        <v>0</v>
      </c>
    </row>
    <row r="84" spans="1:11" x14ac:dyDescent="0.25">
      <c r="A84" s="1944" t="s">
        <v>183</v>
      </c>
      <c r="B84" s="19" t="s">
        <v>32</v>
      </c>
      <c r="C84" s="817"/>
      <c r="D84" s="821">
        <v>0</v>
      </c>
      <c r="E84" s="740">
        <v>0</v>
      </c>
      <c r="F84" s="740">
        <v>0</v>
      </c>
      <c r="G84" s="619">
        <f t="shared" si="1"/>
        <v>0</v>
      </c>
      <c r="H84" s="740">
        <v>0</v>
      </c>
      <c r="I84" s="740">
        <v>0</v>
      </c>
      <c r="J84" s="740">
        <v>0</v>
      </c>
      <c r="K84" s="619">
        <f t="shared" si="3"/>
        <v>0</v>
      </c>
    </row>
    <row r="85" spans="1:11" x14ac:dyDescent="0.25">
      <c r="A85" s="1944"/>
      <c r="B85" s="19" t="s">
        <v>33</v>
      </c>
      <c r="C85" s="817"/>
      <c r="D85" s="821">
        <v>0</v>
      </c>
      <c r="E85" s="740">
        <v>0</v>
      </c>
      <c r="F85" s="740">
        <v>0</v>
      </c>
      <c r="G85" s="619">
        <f t="shared" si="1"/>
        <v>0</v>
      </c>
      <c r="H85" s="740">
        <v>0</v>
      </c>
      <c r="I85" s="740">
        <v>0</v>
      </c>
      <c r="J85" s="740">
        <v>0</v>
      </c>
      <c r="K85" s="619">
        <f t="shared" si="3"/>
        <v>0</v>
      </c>
    </row>
    <row r="86" spans="1:11" ht="15.75" thickBot="1" x14ac:dyDescent="0.3">
      <c r="A86" s="1944"/>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42"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42"/>
      <c r="B89" s="19" t="s">
        <v>33</v>
      </c>
      <c r="C89" s="620"/>
      <c r="D89" s="830">
        <v>0</v>
      </c>
      <c r="E89" s="827">
        <v>0</v>
      </c>
      <c r="F89" s="831">
        <v>0</v>
      </c>
      <c r="G89" s="619">
        <f t="shared" si="1"/>
        <v>0</v>
      </c>
      <c r="H89" s="830">
        <v>0</v>
      </c>
      <c r="I89" s="827">
        <v>0</v>
      </c>
      <c r="J89" s="831">
        <v>0</v>
      </c>
      <c r="K89" s="619">
        <f t="shared" si="4"/>
        <v>0</v>
      </c>
    </row>
    <row r="90" spans="1:11" x14ac:dyDescent="0.25">
      <c r="A90" s="1942"/>
      <c r="B90" s="19" t="s">
        <v>34</v>
      </c>
      <c r="C90" s="620"/>
      <c r="D90" s="830">
        <v>0</v>
      </c>
      <c r="E90" s="827">
        <v>0</v>
      </c>
      <c r="F90" s="824">
        <v>0</v>
      </c>
      <c r="G90" s="619">
        <f t="shared" si="1"/>
        <v>0</v>
      </c>
      <c r="H90" s="830">
        <v>0</v>
      </c>
      <c r="I90" s="827">
        <v>0</v>
      </c>
      <c r="J90" s="824">
        <v>0</v>
      </c>
      <c r="K90" s="619">
        <f t="shared" si="4"/>
        <v>0</v>
      </c>
    </row>
    <row r="91" spans="1:11" x14ac:dyDescent="0.25">
      <c r="A91" s="1935" t="s">
        <v>24</v>
      </c>
      <c r="B91" s="19" t="s">
        <v>32</v>
      </c>
      <c r="C91" s="620"/>
      <c r="D91" s="834">
        <f>2*D$3</f>
        <v>0</v>
      </c>
      <c r="E91" s="827">
        <v>0</v>
      </c>
      <c r="F91" s="824">
        <v>0</v>
      </c>
      <c r="G91" s="619">
        <f t="shared" si="1"/>
        <v>0</v>
      </c>
      <c r="H91" s="834">
        <f>4*H$3</f>
        <v>0</v>
      </c>
      <c r="I91" s="827">
        <v>0</v>
      </c>
      <c r="J91" s="824">
        <v>0</v>
      </c>
      <c r="K91" s="619">
        <f t="shared" si="4"/>
        <v>0</v>
      </c>
    </row>
    <row r="92" spans="1:11" x14ac:dyDescent="0.25">
      <c r="A92" s="1935"/>
      <c r="B92" s="19" t="s">
        <v>33</v>
      </c>
      <c r="C92" s="620"/>
      <c r="D92" s="834">
        <f>4*D$3</f>
        <v>0</v>
      </c>
      <c r="E92" s="827">
        <v>0</v>
      </c>
      <c r="F92" s="824">
        <v>0</v>
      </c>
      <c r="G92" s="619">
        <f t="shared" si="1"/>
        <v>0</v>
      </c>
      <c r="H92" s="834">
        <f>6*H$3</f>
        <v>0</v>
      </c>
      <c r="I92" s="827">
        <v>0</v>
      </c>
      <c r="J92" s="824">
        <v>0</v>
      </c>
      <c r="K92" s="619">
        <f t="shared" si="4"/>
        <v>0</v>
      </c>
    </row>
    <row r="93" spans="1:11" x14ac:dyDescent="0.25">
      <c r="A93" s="1935"/>
      <c r="B93" s="19" t="s">
        <v>34</v>
      </c>
      <c r="C93" s="620"/>
      <c r="D93" s="834">
        <f>8*D$3</f>
        <v>0</v>
      </c>
      <c r="E93" s="827">
        <v>0</v>
      </c>
      <c r="F93" s="824">
        <v>0</v>
      </c>
      <c r="G93" s="619">
        <f t="shared" si="1"/>
        <v>0</v>
      </c>
      <c r="H93" s="834">
        <f>10*H$3</f>
        <v>0</v>
      </c>
      <c r="I93" s="827">
        <v>0</v>
      </c>
      <c r="J93" s="824">
        <v>0</v>
      </c>
      <c r="K93" s="619">
        <f t="shared" si="4"/>
        <v>0</v>
      </c>
    </row>
    <row r="94" spans="1:11" x14ac:dyDescent="0.25">
      <c r="A94" s="1935"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35"/>
      <c r="B95" s="19" t="s">
        <v>33</v>
      </c>
      <c r="C95" s="620"/>
      <c r="D95" s="823">
        <v>0</v>
      </c>
      <c r="E95" s="814">
        <v>0</v>
      </c>
      <c r="F95" s="824">
        <v>0</v>
      </c>
      <c r="G95" s="619">
        <f t="shared" si="5"/>
        <v>0</v>
      </c>
      <c r="H95" s="823">
        <v>0</v>
      </c>
      <c r="I95" s="814">
        <v>0</v>
      </c>
      <c r="J95" s="824">
        <v>0</v>
      </c>
      <c r="K95" s="619">
        <f t="shared" si="4"/>
        <v>0</v>
      </c>
    </row>
    <row r="96" spans="1:11" x14ac:dyDescent="0.25">
      <c r="A96" s="1935"/>
      <c r="B96" s="19" t="s">
        <v>34</v>
      </c>
      <c r="C96" s="620"/>
      <c r="D96" s="823">
        <v>0</v>
      </c>
      <c r="E96" s="814">
        <v>0</v>
      </c>
      <c r="F96" s="824">
        <v>0</v>
      </c>
      <c r="G96" s="619">
        <f t="shared" si="5"/>
        <v>0</v>
      </c>
      <c r="H96" s="823">
        <v>0</v>
      </c>
      <c r="I96" s="814">
        <v>0</v>
      </c>
      <c r="J96" s="824">
        <v>0</v>
      </c>
      <c r="K96" s="619">
        <f t="shared" si="4"/>
        <v>0</v>
      </c>
    </row>
    <row r="97" spans="1:11" x14ac:dyDescent="0.25">
      <c r="A97" s="1935" t="s">
        <v>26</v>
      </c>
      <c r="B97" s="19" t="s">
        <v>32</v>
      </c>
      <c r="C97" s="620"/>
      <c r="D97" s="838">
        <v>0</v>
      </c>
      <c r="E97" s="821">
        <v>0</v>
      </c>
      <c r="F97" s="815">
        <v>0</v>
      </c>
      <c r="G97" s="619">
        <f t="shared" si="5"/>
        <v>0</v>
      </c>
      <c r="H97" s="838">
        <v>0</v>
      </c>
      <c r="I97" s="821">
        <v>0</v>
      </c>
      <c r="J97" s="815">
        <v>0</v>
      </c>
      <c r="K97" s="619">
        <f t="shared" si="4"/>
        <v>0</v>
      </c>
    </row>
    <row r="98" spans="1:11" x14ac:dyDescent="0.25">
      <c r="A98" s="1935"/>
      <c r="B98" s="19" t="s">
        <v>33</v>
      </c>
      <c r="C98" s="620"/>
      <c r="D98" s="838">
        <v>0</v>
      </c>
      <c r="E98" s="821">
        <v>0</v>
      </c>
      <c r="F98" s="815">
        <v>0</v>
      </c>
      <c r="G98" s="619">
        <f t="shared" si="5"/>
        <v>0</v>
      </c>
      <c r="H98" s="838">
        <v>0</v>
      </c>
      <c r="I98" s="821">
        <v>0</v>
      </c>
      <c r="J98" s="815">
        <v>0</v>
      </c>
      <c r="K98" s="619">
        <f t="shared" si="4"/>
        <v>0</v>
      </c>
    </row>
    <row r="99" spans="1:11" x14ac:dyDescent="0.25">
      <c r="A99" s="1935"/>
      <c r="B99" s="19" t="s">
        <v>34</v>
      </c>
      <c r="C99" s="620"/>
      <c r="D99" s="838">
        <v>0</v>
      </c>
      <c r="E99" s="821">
        <v>0</v>
      </c>
      <c r="F99" s="815">
        <v>0</v>
      </c>
      <c r="G99" s="619">
        <f t="shared" si="5"/>
        <v>0</v>
      </c>
      <c r="H99" s="838">
        <v>0</v>
      </c>
      <c r="I99" s="821">
        <v>0</v>
      </c>
      <c r="J99" s="815">
        <v>0</v>
      </c>
      <c r="K99" s="619">
        <f t="shared" si="4"/>
        <v>0</v>
      </c>
    </row>
    <row r="100" spans="1:11" x14ac:dyDescent="0.25">
      <c r="A100" s="1935" t="s">
        <v>27</v>
      </c>
      <c r="B100" s="19" t="s">
        <v>32</v>
      </c>
      <c r="C100" s="620"/>
      <c r="D100" s="838">
        <v>0</v>
      </c>
      <c r="E100" s="821">
        <v>0</v>
      </c>
      <c r="F100" s="815">
        <v>0</v>
      </c>
      <c r="G100" s="619">
        <f t="shared" si="5"/>
        <v>0</v>
      </c>
      <c r="H100" s="838">
        <v>0</v>
      </c>
      <c r="I100" s="821">
        <v>0</v>
      </c>
      <c r="J100" s="815">
        <v>0</v>
      </c>
      <c r="K100" s="619">
        <f t="shared" si="4"/>
        <v>0</v>
      </c>
    </row>
    <row r="101" spans="1:11" x14ac:dyDescent="0.25">
      <c r="A101" s="1935"/>
      <c r="B101" s="19" t="s">
        <v>33</v>
      </c>
      <c r="C101" s="620"/>
      <c r="D101" s="838">
        <v>0</v>
      </c>
      <c r="E101" s="821">
        <v>0</v>
      </c>
      <c r="F101" s="815">
        <v>0</v>
      </c>
      <c r="G101" s="619">
        <f t="shared" si="5"/>
        <v>0</v>
      </c>
      <c r="H101" s="838">
        <v>0</v>
      </c>
      <c r="I101" s="821">
        <v>0</v>
      </c>
      <c r="J101" s="815">
        <v>0</v>
      </c>
      <c r="K101" s="619">
        <f t="shared" si="4"/>
        <v>0</v>
      </c>
    </row>
    <row r="102" spans="1:11" x14ac:dyDescent="0.25">
      <c r="A102" s="1935"/>
      <c r="B102" s="19" t="s">
        <v>34</v>
      </c>
      <c r="C102" s="620"/>
      <c r="D102" s="838">
        <v>0</v>
      </c>
      <c r="E102" s="821">
        <v>0</v>
      </c>
      <c r="F102" s="815">
        <v>0</v>
      </c>
      <c r="G102" s="619">
        <f t="shared" si="5"/>
        <v>0</v>
      </c>
      <c r="H102" s="838">
        <v>0</v>
      </c>
      <c r="I102" s="821">
        <v>0</v>
      </c>
      <c r="J102" s="815">
        <v>0</v>
      </c>
      <c r="K102" s="619">
        <f t="shared" si="4"/>
        <v>0</v>
      </c>
    </row>
    <row r="103" spans="1:11" x14ac:dyDescent="0.25">
      <c r="A103" s="1922" t="s">
        <v>28</v>
      </c>
      <c r="B103" s="19" t="s">
        <v>32</v>
      </c>
      <c r="C103" s="620"/>
      <c r="D103" s="823">
        <v>0</v>
      </c>
      <c r="E103" s="821">
        <v>0</v>
      </c>
      <c r="F103" s="815">
        <v>0</v>
      </c>
      <c r="G103" s="619">
        <f t="shared" si="5"/>
        <v>0</v>
      </c>
      <c r="H103" s="823">
        <v>0</v>
      </c>
      <c r="I103" s="821">
        <v>0</v>
      </c>
      <c r="J103" s="815">
        <v>0</v>
      </c>
      <c r="K103" s="619">
        <f t="shared" si="4"/>
        <v>0</v>
      </c>
    </row>
    <row r="104" spans="1:11" x14ac:dyDescent="0.25">
      <c r="A104" s="1922"/>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74"/>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30" t="str">
        <f>'Служебный АСУТП'!U2</f>
        <v>PT Platform 187</v>
      </c>
      <c r="E1" s="1931"/>
      <c r="F1" s="1931"/>
      <c r="G1" s="1932"/>
      <c r="H1" s="1930" t="str">
        <f>'Служебный АСУТП'!U3</f>
        <v>Platform GosSOPKA (KUMA)</v>
      </c>
      <c r="I1" s="1931"/>
      <c r="J1" s="1931"/>
      <c r="K1" s="1932"/>
    </row>
    <row r="2" spans="1:11" ht="15.75" x14ac:dyDescent="0.25">
      <c r="B2" s="41" t="s">
        <v>37</v>
      </c>
      <c r="C2" s="1940" t="s">
        <v>35</v>
      </c>
      <c r="D2" s="684" t="s">
        <v>587</v>
      </c>
      <c r="E2" s="645" t="s">
        <v>588</v>
      </c>
      <c r="F2" s="645" t="s">
        <v>589</v>
      </c>
      <c r="G2" s="1933" t="s">
        <v>38</v>
      </c>
      <c r="H2" s="684" t="s">
        <v>587</v>
      </c>
      <c r="I2" s="645" t="s">
        <v>588</v>
      </c>
      <c r="J2" s="645" t="s">
        <v>589</v>
      </c>
      <c r="K2" s="1933" t="s">
        <v>38</v>
      </c>
    </row>
    <row r="3" spans="1:11"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row>
    <row r="4" spans="1:11" ht="16.5" thickBot="1" x14ac:dyDescent="0.3">
      <c r="A4" s="326" t="s">
        <v>448</v>
      </c>
      <c r="B4" s="327"/>
      <c r="C4" s="327"/>
      <c r="D4" s="327"/>
      <c r="E4" s="327"/>
      <c r="F4" s="327"/>
      <c r="G4" s="327"/>
      <c r="H4" s="327"/>
      <c r="I4" s="327"/>
      <c r="J4" s="327"/>
      <c r="K4" s="396"/>
    </row>
    <row r="5" spans="1:11" x14ac:dyDescent="0.25">
      <c r="A5" s="1942"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42"/>
      <c r="B6" s="19" t="s">
        <v>33</v>
      </c>
      <c r="C6" s="22"/>
      <c r="D6" s="11">
        <v>8</v>
      </c>
      <c r="E6" s="11">
        <v>0.5</v>
      </c>
      <c r="F6" s="11">
        <v>0</v>
      </c>
      <c r="G6" s="21">
        <f xml:space="preserve"> SUM(D6:F6) + $C6</f>
        <v>8.5</v>
      </c>
      <c r="H6" s="615">
        <v>8</v>
      </c>
      <c r="I6" s="615">
        <v>0.5</v>
      </c>
      <c r="J6" s="615">
        <v>0</v>
      </c>
      <c r="K6" s="21">
        <f t="shared" si="0"/>
        <v>8.5</v>
      </c>
    </row>
    <row r="7" spans="1:11" x14ac:dyDescent="0.25">
      <c r="A7" s="1975"/>
      <c r="B7" s="19" t="s">
        <v>34</v>
      </c>
      <c r="C7" s="22"/>
      <c r="D7" s="11">
        <v>12</v>
      </c>
      <c r="E7" s="11">
        <v>0.5</v>
      </c>
      <c r="F7" s="11">
        <v>0</v>
      </c>
      <c r="G7" s="21">
        <f xml:space="preserve"> SUM(D7:F7) + $C7</f>
        <v>12.5</v>
      </c>
      <c r="H7" s="615">
        <v>12</v>
      </c>
      <c r="I7" s="615">
        <v>0.5</v>
      </c>
      <c r="J7" s="615">
        <v>0</v>
      </c>
      <c r="K7" s="21">
        <f t="shared" si="0"/>
        <v>12.5</v>
      </c>
    </row>
    <row r="8" spans="1:11" x14ac:dyDescent="0.25">
      <c r="A8" s="1942" t="s">
        <v>449</v>
      </c>
      <c r="B8" s="404" t="s">
        <v>32</v>
      </c>
      <c r="C8" s="324"/>
      <c r="D8" s="661">
        <v>4</v>
      </c>
      <c r="E8" s="11">
        <v>0.5</v>
      </c>
      <c r="F8" s="11">
        <v>0</v>
      </c>
      <c r="G8" s="21">
        <f xml:space="preserve"> SUM(D8:F8) + $C8</f>
        <v>4.5</v>
      </c>
      <c r="H8" s="661">
        <v>4</v>
      </c>
      <c r="I8" s="615">
        <v>0.5</v>
      </c>
      <c r="J8" s="615">
        <v>0</v>
      </c>
      <c r="K8" s="21">
        <f t="shared" si="0"/>
        <v>4.5</v>
      </c>
    </row>
    <row r="9" spans="1:11" x14ac:dyDescent="0.25">
      <c r="A9" s="1942"/>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42"/>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42"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42"/>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42"/>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39"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38"/>
      <c r="B17" s="18" t="s">
        <v>33</v>
      </c>
      <c r="C17" s="22"/>
      <c r="D17" s="38">
        <v>0.25</v>
      </c>
      <c r="E17" s="15">
        <v>0</v>
      </c>
      <c r="F17" s="33">
        <v>0</v>
      </c>
      <c r="G17" s="21">
        <f t="shared" si="1"/>
        <v>0.25</v>
      </c>
      <c r="H17" s="625">
        <v>0.25</v>
      </c>
      <c r="I17" s="616">
        <v>0</v>
      </c>
      <c r="J17" s="623">
        <v>0</v>
      </c>
      <c r="K17" s="21">
        <f t="shared" si="2"/>
        <v>0.25</v>
      </c>
    </row>
    <row r="18" spans="1:11" x14ac:dyDescent="0.25">
      <c r="A18" s="1938"/>
      <c r="B18" s="18" t="s">
        <v>34</v>
      </c>
      <c r="C18" s="22"/>
      <c r="D18" s="38">
        <v>0.25</v>
      </c>
      <c r="E18" s="15">
        <v>0</v>
      </c>
      <c r="F18" s="33">
        <v>0</v>
      </c>
      <c r="G18" s="21">
        <f t="shared" si="1"/>
        <v>0.25</v>
      </c>
      <c r="H18" s="625">
        <v>0.25</v>
      </c>
      <c r="I18" s="616">
        <v>0</v>
      </c>
      <c r="J18" s="623">
        <v>0</v>
      </c>
      <c r="K18" s="21">
        <f t="shared" si="2"/>
        <v>0.25</v>
      </c>
    </row>
    <row r="19" spans="1:11" x14ac:dyDescent="0.25">
      <c r="A19" s="1938" t="s">
        <v>5</v>
      </c>
      <c r="B19" s="19" t="s">
        <v>32</v>
      </c>
      <c r="C19" s="22"/>
      <c r="D19" s="38">
        <v>2</v>
      </c>
      <c r="E19" s="15">
        <v>0</v>
      </c>
      <c r="F19" s="33">
        <v>0</v>
      </c>
      <c r="G19" s="21">
        <f t="shared" si="1"/>
        <v>2</v>
      </c>
      <c r="H19" s="625">
        <v>2</v>
      </c>
      <c r="I19" s="15">
        <v>0</v>
      </c>
      <c r="J19" s="33">
        <v>0</v>
      </c>
      <c r="K19" s="21">
        <f t="shared" si="2"/>
        <v>2</v>
      </c>
    </row>
    <row r="20" spans="1:11" x14ac:dyDescent="0.25">
      <c r="A20" s="1938"/>
      <c r="B20" s="19" t="s">
        <v>33</v>
      </c>
      <c r="C20" s="22"/>
      <c r="D20" s="38">
        <v>4</v>
      </c>
      <c r="E20" s="15">
        <v>0</v>
      </c>
      <c r="F20" s="33">
        <v>0</v>
      </c>
      <c r="G20" s="21">
        <f t="shared" si="1"/>
        <v>4</v>
      </c>
      <c r="H20" s="625">
        <v>4</v>
      </c>
      <c r="I20" s="15">
        <v>0</v>
      </c>
      <c r="J20" s="33">
        <v>0</v>
      </c>
      <c r="K20" s="21">
        <f t="shared" si="2"/>
        <v>4</v>
      </c>
    </row>
    <row r="21" spans="1:11" x14ac:dyDescent="0.25">
      <c r="A21" s="1938"/>
      <c r="B21" s="19" t="s">
        <v>34</v>
      </c>
      <c r="C21" s="22"/>
      <c r="D21" s="38">
        <v>6</v>
      </c>
      <c r="E21" s="15">
        <v>0</v>
      </c>
      <c r="F21" s="33">
        <v>0</v>
      </c>
      <c r="G21" s="21">
        <f t="shared" si="1"/>
        <v>6</v>
      </c>
      <c r="H21" s="625">
        <v>6</v>
      </c>
      <c r="I21" s="15">
        <v>0</v>
      </c>
      <c r="J21" s="33">
        <v>0</v>
      </c>
      <c r="K21" s="21">
        <f t="shared" si="2"/>
        <v>6</v>
      </c>
    </row>
    <row r="22" spans="1:11" x14ac:dyDescent="0.25">
      <c r="A22" s="1938" t="s">
        <v>6</v>
      </c>
      <c r="B22" s="19" t="s">
        <v>32</v>
      </c>
      <c r="C22" s="22"/>
      <c r="D22" s="11">
        <v>24</v>
      </c>
      <c r="E22" s="123">
        <f>2*E$3</f>
        <v>0</v>
      </c>
      <c r="F22" s="11">
        <v>0</v>
      </c>
      <c r="G22" s="21">
        <f t="shared" si="1"/>
        <v>24</v>
      </c>
      <c r="H22" s="615">
        <v>24</v>
      </c>
      <c r="I22" s="630">
        <f>2*I$3</f>
        <v>0</v>
      </c>
      <c r="J22" s="615">
        <v>0</v>
      </c>
      <c r="K22" s="21">
        <f t="shared" si="2"/>
        <v>24</v>
      </c>
    </row>
    <row r="23" spans="1:11" x14ac:dyDescent="0.25">
      <c r="A23" s="1938"/>
      <c r="B23" s="19" t="s">
        <v>33</v>
      </c>
      <c r="C23" s="22"/>
      <c r="D23" s="11">
        <v>32</v>
      </c>
      <c r="E23" s="123">
        <f>2*E$3</f>
        <v>0</v>
      </c>
      <c r="F23" s="11">
        <v>0</v>
      </c>
      <c r="G23" s="21">
        <f t="shared" si="1"/>
        <v>32</v>
      </c>
      <c r="H23" s="615">
        <v>32</v>
      </c>
      <c r="I23" s="630">
        <f>2*I$3</f>
        <v>0</v>
      </c>
      <c r="J23" s="615">
        <v>0</v>
      </c>
      <c r="K23" s="21">
        <f t="shared" si="2"/>
        <v>32</v>
      </c>
    </row>
    <row r="24" spans="1:11" x14ac:dyDescent="0.25">
      <c r="A24" s="1938"/>
      <c r="B24" s="19" t="s">
        <v>34</v>
      </c>
      <c r="C24" s="22"/>
      <c r="D24" s="11">
        <v>40</v>
      </c>
      <c r="E24" s="123">
        <f>2*E$3</f>
        <v>0</v>
      </c>
      <c r="F24" s="11">
        <v>0</v>
      </c>
      <c r="G24" s="21">
        <f t="shared" si="1"/>
        <v>40</v>
      </c>
      <c r="H24" s="615">
        <v>40</v>
      </c>
      <c r="I24" s="630">
        <f>2*I$3</f>
        <v>0</v>
      </c>
      <c r="J24" s="615">
        <v>0</v>
      </c>
      <c r="K24" s="21">
        <f t="shared" si="2"/>
        <v>40</v>
      </c>
    </row>
    <row r="25" spans="1:11" x14ac:dyDescent="0.25">
      <c r="A25" s="1938" t="s">
        <v>7</v>
      </c>
      <c r="B25" s="19" t="s">
        <v>32</v>
      </c>
      <c r="C25" s="22"/>
      <c r="D25" s="38">
        <v>4</v>
      </c>
      <c r="E25" s="15">
        <v>0</v>
      </c>
      <c r="F25" s="33">
        <v>0</v>
      </c>
      <c r="G25" s="21">
        <f t="shared" si="1"/>
        <v>4</v>
      </c>
      <c r="H25" s="38">
        <v>4</v>
      </c>
      <c r="I25" s="15">
        <v>0</v>
      </c>
      <c r="J25" s="33">
        <v>0</v>
      </c>
      <c r="K25" s="21">
        <f t="shared" si="2"/>
        <v>4</v>
      </c>
    </row>
    <row r="26" spans="1:11" x14ac:dyDescent="0.25">
      <c r="A26" s="1938"/>
      <c r="B26" s="19" t="s">
        <v>33</v>
      </c>
      <c r="C26" s="22"/>
      <c r="D26" s="38">
        <v>6</v>
      </c>
      <c r="E26" s="15">
        <v>0</v>
      </c>
      <c r="F26" s="33">
        <v>0</v>
      </c>
      <c r="G26" s="21">
        <f t="shared" si="1"/>
        <v>6</v>
      </c>
      <c r="H26" s="38">
        <v>6</v>
      </c>
      <c r="I26" s="15">
        <v>0</v>
      </c>
      <c r="J26" s="33">
        <v>0</v>
      </c>
      <c r="K26" s="21">
        <f t="shared" si="2"/>
        <v>6</v>
      </c>
    </row>
    <row r="27" spans="1:11" x14ac:dyDescent="0.25">
      <c r="A27" s="1938"/>
      <c r="B27" s="19" t="s">
        <v>34</v>
      </c>
      <c r="C27" s="22"/>
      <c r="D27" s="38">
        <v>8</v>
      </c>
      <c r="E27" s="15">
        <v>0</v>
      </c>
      <c r="F27" s="33">
        <v>0</v>
      </c>
      <c r="G27" s="21">
        <f t="shared" si="1"/>
        <v>8</v>
      </c>
      <c r="H27" s="38">
        <v>8</v>
      </c>
      <c r="I27" s="15">
        <v>0</v>
      </c>
      <c r="J27" s="33">
        <v>0</v>
      </c>
      <c r="K27" s="21">
        <f t="shared" si="2"/>
        <v>8</v>
      </c>
    </row>
    <row r="28" spans="1:11" x14ac:dyDescent="0.25">
      <c r="A28" s="1938" t="s">
        <v>8</v>
      </c>
      <c r="B28" s="19" t="s">
        <v>32</v>
      </c>
      <c r="C28" s="22"/>
      <c r="D28" s="38">
        <v>3</v>
      </c>
      <c r="E28" s="15">
        <v>0</v>
      </c>
      <c r="F28" s="33">
        <v>0</v>
      </c>
      <c r="G28" s="21">
        <f t="shared" si="1"/>
        <v>3</v>
      </c>
      <c r="H28" s="38">
        <v>3</v>
      </c>
      <c r="I28" s="15">
        <v>0</v>
      </c>
      <c r="J28" s="33">
        <v>0</v>
      </c>
      <c r="K28" s="21">
        <f t="shared" si="2"/>
        <v>3</v>
      </c>
    </row>
    <row r="29" spans="1:11" x14ac:dyDescent="0.25">
      <c r="A29" s="1938"/>
      <c r="B29" s="19" t="s">
        <v>33</v>
      </c>
      <c r="C29" s="22"/>
      <c r="D29" s="38">
        <v>4</v>
      </c>
      <c r="E29" s="15">
        <v>0</v>
      </c>
      <c r="F29" s="33">
        <v>0</v>
      </c>
      <c r="G29" s="21">
        <f t="shared" si="1"/>
        <v>4</v>
      </c>
      <c r="H29" s="38">
        <v>4</v>
      </c>
      <c r="I29" s="15">
        <v>0</v>
      </c>
      <c r="J29" s="33">
        <v>0</v>
      </c>
      <c r="K29" s="21">
        <f t="shared" si="2"/>
        <v>4</v>
      </c>
    </row>
    <row r="30" spans="1:11" x14ac:dyDescent="0.25">
      <c r="A30" s="1938"/>
      <c r="B30" s="19" t="s">
        <v>34</v>
      </c>
      <c r="C30" s="22"/>
      <c r="D30" s="38">
        <v>6</v>
      </c>
      <c r="E30" s="15">
        <v>0</v>
      </c>
      <c r="F30" s="33">
        <v>0</v>
      </c>
      <c r="G30" s="21">
        <f t="shared" si="1"/>
        <v>6</v>
      </c>
      <c r="H30" s="38">
        <v>6</v>
      </c>
      <c r="I30" s="15">
        <v>0</v>
      </c>
      <c r="J30" s="33">
        <v>0</v>
      </c>
      <c r="K30" s="21">
        <f t="shared" si="2"/>
        <v>6</v>
      </c>
    </row>
    <row r="31" spans="1:11" x14ac:dyDescent="0.25">
      <c r="A31" s="1938" t="s">
        <v>9</v>
      </c>
      <c r="B31" s="19" t="s">
        <v>32</v>
      </c>
      <c r="C31" s="22"/>
      <c r="D31" s="124">
        <f>2+(0.5*D$3)</f>
        <v>2</v>
      </c>
      <c r="E31" s="15">
        <v>0</v>
      </c>
      <c r="F31" s="15">
        <v>0</v>
      </c>
      <c r="G31" s="21">
        <f t="shared" si="1"/>
        <v>2</v>
      </c>
      <c r="H31" s="631">
        <f>2+(0.5*H$3)</f>
        <v>2</v>
      </c>
      <c r="I31" s="616">
        <v>0</v>
      </c>
      <c r="J31" s="616">
        <v>0</v>
      </c>
      <c r="K31" s="21">
        <f t="shared" si="2"/>
        <v>2</v>
      </c>
    </row>
    <row r="32" spans="1:11" x14ac:dyDescent="0.25">
      <c r="A32" s="1938"/>
      <c r="B32" s="19" t="s">
        <v>33</v>
      </c>
      <c r="C32" s="22"/>
      <c r="D32" s="124">
        <f>4+(0.5*D$3)</f>
        <v>4</v>
      </c>
      <c r="E32" s="15">
        <v>0</v>
      </c>
      <c r="F32" s="15">
        <v>0</v>
      </c>
      <c r="G32" s="21">
        <f t="shared" si="1"/>
        <v>4</v>
      </c>
      <c r="H32" s="631">
        <f>4+(0.5*H$3)</f>
        <v>4</v>
      </c>
      <c r="I32" s="616">
        <v>0</v>
      </c>
      <c r="J32" s="616">
        <v>0</v>
      </c>
      <c r="K32" s="21">
        <f t="shared" si="2"/>
        <v>4</v>
      </c>
    </row>
    <row r="33" spans="1:11" x14ac:dyDescent="0.25">
      <c r="A33" s="1938"/>
      <c r="B33" s="19" t="s">
        <v>34</v>
      </c>
      <c r="C33" s="22"/>
      <c r="D33" s="124">
        <f>6+(0.5*D$3)</f>
        <v>6</v>
      </c>
      <c r="E33" s="15">
        <v>0</v>
      </c>
      <c r="F33" s="15">
        <v>0</v>
      </c>
      <c r="G33" s="21">
        <f t="shared" si="1"/>
        <v>6</v>
      </c>
      <c r="H33" s="631">
        <f>6+(0.5*H$3)</f>
        <v>6</v>
      </c>
      <c r="I33" s="616">
        <v>0</v>
      </c>
      <c r="J33" s="616">
        <v>0</v>
      </c>
      <c r="K33" s="21">
        <f t="shared" si="2"/>
        <v>6</v>
      </c>
    </row>
    <row r="34" spans="1:11" x14ac:dyDescent="0.25">
      <c r="A34" s="1938" t="s">
        <v>10</v>
      </c>
      <c r="B34" s="19" t="s">
        <v>32</v>
      </c>
      <c r="C34" s="22"/>
      <c r="D34" s="38">
        <v>2</v>
      </c>
      <c r="E34" s="15">
        <v>0</v>
      </c>
      <c r="F34" s="15">
        <v>0</v>
      </c>
      <c r="G34" s="21">
        <f t="shared" si="1"/>
        <v>2</v>
      </c>
      <c r="H34" s="625">
        <v>2</v>
      </c>
      <c r="I34" s="616">
        <v>0</v>
      </c>
      <c r="J34" s="616">
        <v>0</v>
      </c>
      <c r="K34" s="21">
        <f t="shared" si="2"/>
        <v>2</v>
      </c>
    </row>
    <row r="35" spans="1:11" x14ac:dyDescent="0.25">
      <c r="A35" s="1938"/>
      <c r="B35" s="19" t="s">
        <v>33</v>
      </c>
      <c r="C35" s="22"/>
      <c r="D35" s="38">
        <v>4</v>
      </c>
      <c r="E35" s="15">
        <v>0</v>
      </c>
      <c r="F35" s="15">
        <v>0</v>
      </c>
      <c r="G35" s="21">
        <f t="shared" si="1"/>
        <v>4</v>
      </c>
      <c r="H35" s="625">
        <v>4</v>
      </c>
      <c r="I35" s="616">
        <v>0</v>
      </c>
      <c r="J35" s="616">
        <v>0</v>
      </c>
      <c r="K35" s="21">
        <f t="shared" si="2"/>
        <v>4</v>
      </c>
    </row>
    <row r="36" spans="1:11" ht="15.75" thickBot="1" x14ac:dyDescent="0.3">
      <c r="A36" s="1936"/>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2"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42"/>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42"/>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42"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42"/>
      <c r="B43" s="19" t="s">
        <v>33</v>
      </c>
      <c r="C43" s="22"/>
      <c r="D43" s="625">
        <v>4</v>
      </c>
      <c r="E43" s="616">
        <v>0</v>
      </c>
      <c r="F43" s="623">
        <v>0</v>
      </c>
      <c r="G43" s="21">
        <f t="shared" si="1"/>
        <v>4</v>
      </c>
      <c r="H43" s="625">
        <v>2</v>
      </c>
      <c r="I43" s="616">
        <v>0</v>
      </c>
      <c r="J43" s="623">
        <v>0</v>
      </c>
      <c r="K43" s="21">
        <f t="shared" si="3"/>
        <v>2</v>
      </c>
    </row>
    <row r="44" spans="1:11" x14ac:dyDescent="0.25">
      <c r="A44" s="1942"/>
      <c r="B44" s="19" t="s">
        <v>34</v>
      </c>
      <c r="C44" s="22"/>
      <c r="D44" s="625">
        <v>6</v>
      </c>
      <c r="E44" s="616">
        <v>0</v>
      </c>
      <c r="F44" s="623">
        <v>0</v>
      </c>
      <c r="G44" s="21">
        <f t="shared" si="1"/>
        <v>6</v>
      </c>
      <c r="H44" s="625">
        <v>3</v>
      </c>
      <c r="I44" s="616">
        <v>0</v>
      </c>
      <c r="J44" s="623">
        <v>0</v>
      </c>
      <c r="K44" s="21">
        <f t="shared" si="3"/>
        <v>3</v>
      </c>
    </row>
    <row r="45" spans="1:11" x14ac:dyDescent="0.25">
      <c r="A45" s="1935" t="s">
        <v>15</v>
      </c>
      <c r="B45" s="19" t="s">
        <v>32</v>
      </c>
      <c r="C45" s="22"/>
      <c r="D45" s="625">
        <v>16</v>
      </c>
      <c r="E45" s="15">
        <v>0</v>
      </c>
      <c r="F45" s="15">
        <v>0</v>
      </c>
      <c r="G45" s="21">
        <f t="shared" si="1"/>
        <v>16</v>
      </c>
      <c r="H45" s="625">
        <v>16</v>
      </c>
      <c r="I45" s="616">
        <v>0</v>
      </c>
      <c r="J45" s="616">
        <v>0</v>
      </c>
      <c r="K45" s="21">
        <f t="shared" si="3"/>
        <v>16</v>
      </c>
    </row>
    <row r="46" spans="1:11" x14ac:dyDescent="0.25">
      <c r="A46" s="1935"/>
      <c r="B46" s="19" t="s">
        <v>33</v>
      </c>
      <c r="C46" s="22"/>
      <c r="D46" s="625">
        <v>28</v>
      </c>
      <c r="E46" s="15">
        <v>0</v>
      </c>
      <c r="F46" s="15">
        <v>0</v>
      </c>
      <c r="G46" s="21">
        <f t="shared" si="1"/>
        <v>28</v>
      </c>
      <c r="H46" s="625">
        <v>28</v>
      </c>
      <c r="I46" s="616">
        <v>0</v>
      </c>
      <c r="J46" s="616">
        <v>0</v>
      </c>
      <c r="K46" s="21">
        <f t="shared" si="3"/>
        <v>28</v>
      </c>
    </row>
    <row r="47" spans="1:11" x14ac:dyDescent="0.25">
      <c r="A47" s="1935"/>
      <c r="B47" s="19" t="s">
        <v>34</v>
      </c>
      <c r="C47" s="22"/>
      <c r="D47" s="625">
        <v>36</v>
      </c>
      <c r="E47" s="15">
        <v>0</v>
      </c>
      <c r="F47" s="15">
        <v>0</v>
      </c>
      <c r="G47" s="21">
        <f t="shared" si="1"/>
        <v>36</v>
      </c>
      <c r="H47" s="625">
        <v>36</v>
      </c>
      <c r="I47" s="616">
        <v>0</v>
      </c>
      <c r="J47" s="616">
        <v>0</v>
      </c>
      <c r="K47" s="21">
        <f t="shared" si="3"/>
        <v>36</v>
      </c>
    </row>
    <row r="48" spans="1:11" x14ac:dyDescent="0.25">
      <c r="A48" s="1935"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35"/>
      <c r="B49" s="19" t="s">
        <v>33</v>
      </c>
      <c r="C49" s="22"/>
      <c r="D49" s="124">
        <f>1*D$3+(0.5*E$3)</f>
        <v>0</v>
      </c>
      <c r="E49" s="15">
        <v>0</v>
      </c>
      <c r="F49" s="33">
        <v>0</v>
      </c>
      <c r="G49" s="21">
        <f t="shared" si="1"/>
        <v>0</v>
      </c>
      <c r="H49" s="631">
        <f>1*H$3+(0.5*I$3)</f>
        <v>0</v>
      </c>
      <c r="I49" s="616">
        <v>0</v>
      </c>
      <c r="J49" s="623">
        <v>0</v>
      </c>
      <c r="K49" s="21">
        <f t="shared" si="3"/>
        <v>0</v>
      </c>
    </row>
    <row r="50" spans="1:11" x14ac:dyDescent="0.25">
      <c r="A50" s="1935"/>
      <c r="B50" s="19" t="s">
        <v>34</v>
      </c>
      <c r="C50" s="22"/>
      <c r="D50" s="124">
        <f>2*D$3+(0.5*E$3)</f>
        <v>0</v>
      </c>
      <c r="E50" s="15">
        <v>0</v>
      </c>
      <c r="F50" s="33">
        <v>0</v>
      </c>
      <c r="G50" s="21">
        <f t="shared" si="1"/>
        <v>0</v>
      </c>
      <c r="H50" s="631">
        <f>2*H$3+(0.5*I$3)</f>
        <v>0</v>
      </c>
      <c r="I50" s="616">
        <v>0</v>
      </c>
      <c r="J50" s="623">
        <v>0</v>
      </c>
      <c r="K50" s="21">
        <f t="shared" si="3"/>
        <v>0</v>
      </c>
    </row>
    <row r="51" spans="1:11" x14ac:dyDescent="0.25">
      <c r="A51" s="1935"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35"/>
      <c r="B52" s="19" t="s">
        <v>33</v>
      </c>
      <c r="C52" s="22"/>
      <c r="D52" s="124">
        <f>1*D$3+(0.5*E$3)</f>
        <v>0</v>
      </c>
      <c r="E52" s="15">
        <v>0</v>
      </c>
      <c r="F52" s="15">
        <v>0</v>
      </c>
      <c r="G52" s="21">
        <f t="shared" si="1"/>
        <v>0</v>
      </c>
      <c r="H52" s="631">
        <f>1*H$3+(0.5*I$3)</f>
        <v>0</v>
      </c>
      <c r="I52" s="616">
        <v>0</v>
      </c>
      <c r="J52" s="616">
        <v>0</v>
      </c>
      <c r="K52" s="21">
        <f t="shared" si="3"/>
        <v>0</v>
      </c>
    </row>
    <row r="53" spans="1:11" x14ac:dyDescent="0.25">
      <c r="A53" s="1935"/>
      <c r="B53" s="19" t="s">
        <v>34</v>
      </c>
      <c r="C53" s="22"/>
      <c r="D53" s="124">
        <f>2*D$3+(0.5*E$3)</f>
        <v>0</v>
      </c>
      <c r="E53" s="15">
        <v>0</v>
      </c>
      <c r="F53" s="15">
        <v>0</v>
      </c>
      <c r="G53" s="21">
        <f t="shared" si="1"/>
        <v>0</v>
      </c>
      <c r="H53" s="631">
        <f>2*H$3+(0.5*I$3)</f>
        <v>0</v>
      </c>
      <c r="I53" s="616">
        <v>0</v>
      </c>
      <c r="J53" s="616">
        <v>0</v>
      </c>
      <c r="K53" s="21">
        <f t="shared" si="3"/>
        <v>0</v>
      </c>
    </row>
    <row r="54" spans="1:11" x14ac:dyDescent="0.25">
      <c r="A54" s="1935" t="s">
        <v>18</v>
      </c>
      <c r="B54" s="19" t="s">
        <v>32</v>
      </c>
      <c r="C54" s="22"/>
      <c r="D54" s="124">
        <f>1*D$3</f>
        <v>0</v>
      </c>
      <c r="E54" s="15">
        <v>0</v>
      </c>
      <c r="F54" s="15">
        <v>0</v>
      </c>
      <c r="G54" s="21">
        <f t="shared" si="1"/>
        <v>0</v>
      </c>
      <c r="H54" s="631">
        <f>1*H$3</f>
        <v>0</v>
      </c>
      <c r="I54" s="616">
        <v>0</v>
      </c>
      <c r="J54" s="616">
        <v>0</v>
      </c>
      <c r="K54" s="21">
        <f t="shared" si="3"/>
        <v>0</v>
      </c>
    </row>
    <row r="55" spans="1:11" x14ac:dyDescent="0.25">
      <c r="A55" s="1935"/>
      <c r="B55" s="19" t="s">
        <v>33</v>
      </c>
      <c r="C55" s="22"/>
      <c r="D55" s="124">
        <f>1*$D$3</f>
        <v>0</v>
      </c>
      <c r="E55" s="15">
        <v>0</v>
      </c>
      <c r="F55" s="15">
        <v>0</v>
      </c>
      <c r="G55" s="21">
        <f t="shared" si="1"/>
        <v>0</v>
      </c>
      <c r="H55" s="631">
        <f>1*$D$3</f>
        <v>0</v>
      </c>
      <c r="I55" s="616">
        <v>0</v>
      </c>
      <c r="J55" s="616">
        <v>0</v>
      </c>
      <c r="K55" s="21">
        <f t="shared" si="3"/>
        <v>0</v>
      </c>
    </row>
    <row r="56" spans="1:11" x14ac:dyDescent="0.25">
      <c r="A56" s="1935"/>
      <c r="B56" s="19" t="s">
        <v>34</v>
      </c>
      <c r="C56" s="22"/>
      <c r="D56" s="124">
        <f>1*D$3</f>
        <v>0</v>
      </c>
      <c r="E56" s="15">
        <v>0</v>
      </c>
      <c r="F56" s="15">
        <v>0</v>
      </c>
      <c r="G56" s="21">
        <f t="shared" si="1"/>
        <v>0</v>
      </c>
      <c r="H56" s="631">
        <f>1*H$3</f>
        <v>0</v>
      </c>
      <c r="I56" s="616">
        <v>0</v>
      </c>
      <c r="J56" s="616">
        <v>0</v>
      </c>
      <c r="K56" s="21">
        <f t="shared" si="3"/>
        <v>0</v>
      </c>
    </row>
    <row r="57" spans="1:11" x14ac:dyDescent="0.25">
      <c r="A57" s="1935" t="s">
        <v>19</v>
      </c>
      <c r="B57" s="19" t="s">
        <v>32</v>
      </c>
      <c r="C57" s="22"/>
      <c r="D57" s="38">
        <v>2</v>
      </c>
      <c r="E57" s="15">
        <v>0</v>
      </c>
      <c r="F57" s="15">
        <v>0</v>
      </c>
      <c r="G57" s="21">
        <f t="shared" si="1"/>
        <v>2</v>
      </c>
      <c r="H57" s="38">
        <v>2</v>
      </c>
      <c r="I57" s="15">
        <v>0</v>
      </c>
      <c r="J57" s="15">
        <v>0</v>
      </c>
      <c r="K57" s="21">
        <f t="shared" si="3"/>
        <v>2</v>
      </c>
    </row>
    <row r="58" spans="1:11" x14ac:dyDescent="0.25">
      <c r="A58" s="1935"/>
      <c r="B58" s="19" t="s">
        <v>33</v>
      </c>
      <c r="C58" s="22"/>
      <c r="D58" s="38">
        <v>4</v>
      </c>
      <c r="E58" s="15">
        <v>0</v>
      </c>
      <c r="F58" s="15">
        <v>0</v>
      </c>
      <c r="G58" s="21">
        <f t="shared" si="1"/>
        <v>4</v>
      </c>
      <c r="H58" s="38">
        <v>4</v>
      </c>
      <c r="I58" s="15">
        <v>0</v>
      </c>
      <c r="J58" s="15">
        <v>0</v>
      </c>
      <c r="K58" s="21">
        <f t="shared" si="3"/>
        <v>4</v>
      </c>
    </row>
    <row r="59" spans="1:11" x14ac:dyDescent="0.25">
      <c r="A59" s="1935"/>
      <c r="B59" s="19" t="s">
        <v>34</v>
      </c>
      <c r="C59" s="22"/>
      <c r="D59" s="38">
        <v>6</v>
      </c>
      <c r="E59" s="15">
        <v>0</v>
      </c>
      <c r="F59" s="15">
        <v>0</v>
      </c>
      <c r="G59" s="21">
        <f t="shared" si="1"/>
        <v>6</v>
      </c>
      <c r="H59" s="38">
        <v>6</v>
      </c>
      <c r="I59" s="15">
        <v>0</v>
      </c>
      <c r="J59" s="15">
        <v>0</v>
      </c>
      <c r="K59" s="21">
        <f t="shared" si="3"/>
        <v>6</v>
      </c>
    </row>
    <row r="60" spans="1:11" x14ac:dyDescent="0.25">
      <c r="A60" s="1935" t="s">
        <v>20</v>
      </c>
      <c r="B60" s="19" t="s">
        <v>32</v>
      </c>
      <c r="C60" s="22"/>
      <c r="D60" s="38">
        <v>8</v>
      </c>
      <c r="E60" s="123">
        <f>1*E$3</f>
        <v>0</v>
      </c>
      <c r="F60" s="33">
        <v>0</v>
      </c>
      <c r="G60" s="21">
        <f t="shared" si="1"/>
        <v>8</v>
      </c>
      <c r="H60" s="625">
        <v>8</v>
      </c>
      <c r="I60" s="630">
        <f>1*I$3</f>
        <v>0</v>
      </c>
      <c r="J60" s="623">
        <v>0</v>
      </c>
      <c r="K60" s="21">
        <f t="shared" si="3"/>
        <v>8</v>
      </c>
    </row>
    <row r="61" spans="1:11" x14ac:dyDescent="0.25">
      <c r="A61" s="1935"/>
      <c r="B61" s="19" t="s">
        <v>33</v>
      </c>
      <c r="C61" s="22"/>
      <c r="D61" s="38">
        <v>16</v>
      </c>
      <c r="E61" s="123">
        <f>1*E$3</f>
        <v>0</v>
      </c>
      <c r="F61" s="33">
        <v>0</v>
      </c>
      <c r="G61" s="21">
        <f t="shared" si="1"/>
        <v>16</v>
      </c>
      <c r="H61" s="625">
        <v>16</v>
      </c>
      <c r="I61" s="630">
        <f>1*I$3</f>
        <v>0</v>
      </c>
      <c r="J61" s="623">
        <v>0</v>
      </c>
      <c r="K61" s="21">
        <f t="shared" si="3"/>
        <v>16</v>
      </c>
    </row>
    <row r="62" spans="1:11" x14ac:dyDescent="0.25">
      <c r="A62" s="1935"/>
      <c r="B62" s="19" t="s">
        <v>34</v>
      </c>
      <c r="C62" s="22"/>
      <c r="D62" s="38">
        <v>32</v>
      </c>
      <c r="E62" s="123">
        <f>1*E$3</f>
        <v>0</v>
      </c>
      <c r="F62" s="33">
        <v>0</v>
      </c>
      <c r="G62" s="21">
        <f t="shared" si="1"/>
        <v>32</v>
      </c>
      <c r="H62" s="625">
        <v>32</v>
      </c>
      <c r="I62" s="630">
        <f>1*I$3</f>
        <v>0</v>
      </c>
      <c r="J62" s="623">
        <v>0</v>
      </c>
      <c r="K62" s="21">
        <f t="shared" si="3"/>
        <v>32</v>
      </c>
    </row>
    <row r="63" spans="1:11" x14ac:dyDescent="0.25">
      <c r="A63" s="1935" t="s">
        <v>451</v>
      </c>
      <c r="B63" s="19" t="s">
        <v>32</v>
      </c>
      <c r="C63" s="22"/>
      <c r="D63" s="482">
        <v>0.25</v>
      </c>
      <c r="E63" s="691">
        <v>0</v>
      </c>
      <c r="F63" s="495">
        <v>0</v>
      </c>
      <c r="G63" s="21">
        <f t="shared" si="1"/>
        <v>0.25</v>
      </c>
      <c r="H63" s="482">
        <v>0.25</v>
      </c>
      <c r="I63" s="691">
        <v>0</v>
      </c>
      <c r="J63" s="495">
        <v>0</v>
      </c>
      <c r="K63" s="21">
        <f t="shared" si="3"/>
        <v>0.25</v>
      </c>
    </row>
    <row r="64" spans="1:11" x14ac:dyDescent="0.25">
      <c r="A64" s="1935"/>
      <c r="B64" s="19" t="s">
        <v>33</v>
      </c>
      <c r="C64" s="22"/>
      <c r="D64" s="625">
        <v>0.5</v>
      </c>
      <c r="E64" s="691">
        <v>0</v>
      </c>
      <c r="F64" s="495">
        <v>0</v>
      </c>
      <c r="G64" s="21">
        <f t="shared" si="1"/>
        <v>0.5</v>
      </c>
      <c r="H64" s="625">
        <v>0.5</v>
      </c>
      <c r="I64" s="691">
        <v>0</v>
      </c>
      <c r="J64" s="495">
        <v>0</v>
      </c>
      <c r="K64" s="21">
        <f t="shared" si="3"/>
        <v>0.5</v>
      </c>
    </row>
    <row r="65" spans="1:11" x14ac:dyDescent="0.25">
      <c r="A65" s="1935"/>
      <c r="B65" s="19" t="s">
        <v>34</v>
      </c>
      <c r="C65" s="22"/>
      <c r="D65" s="625">
        <v>1</v>
      </c>
      <c r="E65" s="691">
        <v>0</v>
      </c>
      <c r="F65" s="495">
        <v>0</v>
      </c>
      <c r="G65" s="21">
        <f t="shared" si="1"/>
        <v>1</v>
      </c>
      <c r="H65" s="625">
        <v>1</v>
      </c>
      <c r="I65" s="691">
        <v>0</v>
      </c>
      <c r="J65" s="495">
        <v>0</v>
      </c>
      <c r="K65" s="21">
        <f t="shared" si="3"/>
        <v>1</v>
      </c>
    </row>
    <row r="66" spans="1:11" x14ac:dyDescent="0.25">
      <c r="A66" s="1935" t="s">
        <v>452</v>
      </c>
      <c r="B66" s="19" t="s">
        <v>32</v>
      </c>
      <c r="C66" s="22"/>
      <c r="D66" s="482">
        <v>0.25</v>
      </c>
      <c r="E66" s="691">
        <v>0</v>
      </c>
      <c r="F66" s="495">
        <v>0</v>
      </c>
      <c r="G66" s="21">
        <f t="shared" si="1"/>
        <v>0.25</v>
      </c>
      <c r="H66" s="482">
        <v>0.25</v>
      </c>
      <c r="I66" s="691">
        <v>0</v>
      </c>
      <c r="J66" s="495">
        <v>0</v>
      </c>
      <c r="K66" s="21">
        <f t="shared" si="3"/>
        <v>0.25</v>
      </c>
    </row>
    <row r="67" spans="1:11" x14ac:dyDescent="0.25">
      <c r="A67" s="1935"/>
      <c r="B67" s="19" t="s">
        <v>33</v>
      </c>
      <c r="C67" s="22"/>
      <c r="D67" s="625">
        <v>0.5</v>
      </c>
      <c r="E67" s="691">
        <v>0</v>
      </c>
      <c r="F67" s="495">
        <v>0</v>
      </c>
      <c r="G67" s="21">
        <f t="shared" si="1"/>
        <v>0.5</v>
      </c>
      <c r="H67" s="625">
        <v>0.5</v>
      </c>
      <c r="I67" s="691">
        <v>0</v>
      </c>
      <c r="J67" s="495">
        <v>0</v>
      </c>
      <c r="K67" s="21">
        <f t="shared" si="3"/>
        <v>0.5</v>
      </c>
    </row>
    <row r="68" spans="1:11" x14ac:dyDescent="0.25">
      <c r="A68" s="1935"/>
      <c r="B68" s="19" t="s">
        <v>34</v>
      </c>
      <c r="C68" s="22"/>
      <c r="D68" s="625">
        <v>1</v>
      </c>
      <c r="E68" s="691">
        <v>0</v>
      </c>
      <c r="F68" s="495">
        <v>0</v>
      </c>
      <c r="G68" s="21">
        <f t="shared" si="1"/>
        <v>1</v>
      </c>
      <c r="H68" s="625">
        <v>1</v>
      </c>
      <c r="I68" s="691">
        <v>0</v>
      </c>
      <c r="J68" s="495">
        <v>0</v>
      </c>
      <c r="K68" s="21">
        <f t="shared" si="3"/>
        <v>1</v>
      </c>
    </row>
    <row r="69" spans="1:11" x14ac:dyDescent="0.25">
      <c r="A69" s="1945"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45"/>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45"/>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35"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35"/>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35"/>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35"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5"/>
      <c r="B76" s="19" t="s">
        <v>33</v>
      </c>
      <c r="C76" s="22"/>
      <c r="D76" s="38" t="s">
        <v>90</v>
      </c>
      <c r="E76" s="38" t="s">
        <v>90</v>
      </c>
      <c r="F76" s="38" t="s">
        <v>90</v>
      </c>
      <c r="G76" s="21">
        <f t="shared" si="1"/>
        <v>0</v>
      </c>
      <c r="H76" s="38" t="s">
        <v>90</v>
      </c>
      <c r="I76" s="38" t="s">
        <v>90</v>
      </c>
      <c r="J76" s="38" t="s">
        <v>90</v>
      </c>
      <c r="K76" s="21">
        <f t="shared" si="3"/>
        <v>0</v>
      </c>
    </row>
    <row r="77" spans="1:11" x14ac:dyDescent="0.25">
      <c r="A77" s="1935"/>
      <c r="B77" s="13" t="s">
        <v>34</v>
      </c>
      <c r="C77" s="34"/>
      <c r="D77" s="38" t="s">
        <v>90</v>
      </c>
      <c r="E77" s="38" t="s">
        <v>90</v>
      </c>
      <c r="F77" s="38" t="s">
        <v>90</v>
      </c>
      <c r="G77" s="21">
        <f t="shared" si="1"/>
        <v>0</v>
      </c>
      <c r="H77" s="38" t="s">
        <v>90</v>
      </c>
      <c r="I77" s="38" t="s">
        <v>90</v>
      </c>
      <c r="J77" s="38" t="s">
        <v>90</v>
      </c>
      <c r="K77" s="21">
        <f t="shared" si="3"/>
        <v>0</v>
      </c>
    </row>
    <row r="78" spans="1:11" x14ac:dyDescent="0.25">
      <c r="A78" s="1935"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35"/>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35"/>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35"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35"/>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35"/>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44"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44"/>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44"/>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2"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42"/>
      <c r="B89" s="19" t="s">
        <v>33</v>
      </c>
      <c r="C89" s="22"/>
      <c r="D89" s="625">
        <v>0.25</v>
      </c>
      <c r="E89" s="616">
        <v>0</v>
      </c>
      <c r="F89" s="623">
        <v>0</v>
      </c>
      <c r="G89" s="21">
        <f t="shared" si="1"/>
        <v>0.25</v>
      </c>
      <c r="H89" s="625">
        <v>0.25</v>
      </c>
      <c r="I89" s="616">
        <v>0</v>
      </c>
      <c r="J89" s="623">
        <v>0</v>
      </c>
      <c r="K89" s="21">
        <f t="shared" si="8"/>
        <v>0.25</v>
      </c>
    </row>
    <row r="90" spans="1:11" x14ac:dyDescent="0.25">
      <c r="A90" s="1942"/>
      <c r="B90" s="19" t="s">
        <v>34</v>
      </c>
      <c r="C90" s="22"/>
      <c r="D90" s="625">
        <v>0.25</v>
      </c>
      <c r="E90" s="616">
        <v>0</v>
      </c>
      <c r="F90" s="623">
        <v>0</v>
      </c>
      <c r="G90" s="21">
        <f t="shared" si="1"/>
        <v>0.25</v>
      </c>
      <c r="H90" s="625">
        <v>0.25</v>
      </c>
      <c r="I90" s="616">
        <v>0</v>
      </c>
      <c r="J90" s="623">
        <v>0</v>
      </c>
      <c r="K90" s="21">
        <f t="shared" si="8"/>
        <v>0.25</v>
      </c>
    </row>
    <row r="91" spans="1:11" x14ac:dyDescent="0.25">
      <c r="A91" s="1935" t="s">
        <v>24</v>
      </c>
      <c r="B91" s="19" t="s">
        <v>32</v>
      </c>
      <c r="C91" s="22"/>
      <c r="D91" s="640">
        <v>8</v>
      </c>
      <c r="E91" s="630">
        <f>4*E$3</f>
        <v>0</v>
      </c>
      <c r="F91" s="646">
        <v>0</v>
      </c>
      <c r="G91" s="21">
        <f t="shared" si="1"/>
        <v>8</v>
      </c>
      <c r="H91" s="640">
        <v>8</v>
      </c>
      <c r="I91" s="630">
        <f>4*I$3</f>
        <v>0</v>
      </c>
      <c r="J91" s="646">
        <v>0</v>
      </c>
      <c r="K91" s="21">
        <f t="shared" si="8"/>
        <v>8</v>
      </c>
    </row>
    <row r="92" spans="1:11" x14ac:dyDescent="0.25">
      <c r="A92" s="1935"/>
      <c r="B92" s="19" t="s">
        <v>33</v>
      </c>
      <c r="C92" s="22"/>
      <c r="D92" s="640">
        <v>12</v>
      </c>
      <c r="E92" s="630">
        <f>4*E$3</f>
        <v>0</v>
      </c>
      <c r="F92" s="646">
        <v>0</v>
      </c>
      <c r="G92" s="21">
        <f t="shared" si="1"/>
        <v>12</v>
      </c>
      <c r="H92" s="640">
        <v>12</v>
      </c>
      <c r="I92" s="630">
        <f>4*I$3</f>
        <v>0</v>
      </c>
      <c r="J92" s="646">
        <v>0</v>
      </c>
      <c r="K92" s="21">
        <f t="shared" si="8"/>
        <v>12</v>
      </c>
    </row>
    <row r="93" spans="1:11" x14ac:dyDescent="0.25">
      <c r="A93" s="1935"/>
      <c r="B93" s="19" t="s">
        <v>34</v>
      </c>
      <c r="C93" s="22"/>
      <c r="D93" s="640">
        <v>16</v>
      </c>
      <c r="E93" s="630">
        <f>4*E$3</f>
        <v>0</v>
      </c>
      <c r="F93" s="646">
        <v>0</v>
      </c>
      <c r="G93" s="21">
        <f t="shared" si="1"/>
        <v>16</v>
      </c>
      <c r="H93" s="640">
        <v>16</v>
      </c>
      <c r="I93" s="630">
        <f>4*I$3</f>
        <v>0</v>
      </c>
      <c r="J93" s="646">
        <v>0</v>
      </c>
      <c r="K93" s="21">
        <f t="shared" si="8"/>
        <v>16</v>
      </c>
    </row>
    <row r="94" spans="1:11" x14ac:dyDescent="0.25">
      <c r="A94" s="1935"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35"/>
      <c r="B95" s="19" t="s">
        <v>33</v>
      </c>
      <c r="C95" s="22"/>
      <c r="D95" s="640">
        <v>4</v>
      </c>
      <c r="E95" s="623">
        <v>0</v>
      </c>
      <c r="F95" s="646">
        <v>0</v>
      </c>
      <c r="G95" s="21">
        <f t="shared" si="9"/>
        <v>4</v>
      </c>
      <c r="H95" s="640">
        <v>4</v>
      </c>
      <c r="I95" s="623">
        <v>0</v>
      </c>
      <c r="J95" s="646">
        <v>0</v>
      </c>
      <c r="K95" s="21">
        <f t="shared" si="10"/>
        <v>4</v>
      </c>
    </row>
    <row r="96" spans="1:11" x14ac:dyDescent="0.25">
      <c r="A96" s="1935"/>
      <c r="B96" s="19" t="s">
        <v>34</v>
      </c>
      <c r="C96" s="22"/>
      <c r="D96" s="640">
        <v>6</v>
      </c>
      <c r="E96" s="623">
        <v>0</v>
      </c>
      <c r="F96" s="646">
        <v>0</v>
      </c>
      <c r="G96" s="21">
        <f t="shared" si="9"/>
        <v>6</v>
      </c>
      <c r="H96" s="640">
        <v>6</v>
      </c>
      <c r="I96" s="623">
        <v>0</v>
      </c>
      <c r="J96" s="646">
        <v>0</v>
      </c>
      <c r="K96" s="21">
        <f t="shared" si="10"/>
        <v>6</v>
      </c>
    </row>
    <row r="97" spans="1:11" x14ac:dyDescent="0.25">
      <c r="A97" s="1935" t="s">
        <v>26</v>
      </c>
      <c r="B97" s="19" t="s">
        <v>32</v>
      </c>
      <c r="C97" s="22"/>
      <c r="D97" s="640">
        <v>14</v>
      </c>
      <c r="E97" s="674">
        <f>E$3*2</f>
        <v>0</v>
      </c>
      <c r="F97" s="646">
        <v>0</v>
      </c>
      <c r="G97" s="21">
        <f t="shared" si="9"/>
        <v>14</v>
      </c>
      <c r="H97" s="640">
        <v>14</v>
      </c>
      <c r="I97" s="674">
        <f>I$3*2</f>
        <v>0</v>
      </c>
      <c r="J97" s="646">
        <v>0</v>
      </c>
      <c r="K97" s="21">
        <f t="shared" si="10"/>
        <v>14</v>
      </c>
    </row>
    <row r="98" spans="1:11" x14ac:dyDescent="0.25">
      <c r="A98" s="1935"/>
      <c r="B98" s="19" t="s">
        <v>33</v>
      </c>
      <c r="C98" s="22"/>
      <c r="D98" s="640">
        <v>26</v>
      </c>
      <c r="E98" s="674">
        <f>E$3*2.5</f>
        <v>0</v>
      </c>
      <c r="F98" s="646">
        <v>0</v>
      </c>
      <c r="G98" s="21">
        <f t="shared" si="9"/>
        <v>26</v>
      </c>
      <c r="H98" s="640">
        <v>26</v>
      </c>
      <c r="I98" s="674">
        <f>I$3*2.5</f>
        <v>0</v>
      </c>
      <c r="J98" s="646">
        <v>0</v>
      </c>
      <c r="K98" s="21">
        <f t="shared" si="10"/>
        <v>26</v>
      </c>
    </row>
    <row r="99" spans="1:11" x14ac:dyDescent="0.25">
      <c r="A99" s="1935"/>
      <c r="B99" s="19" t="s">
        <v>34</v>
      </c>
      <c r="C99" s="22"/>
      <c r="D99" s="640">
        <v>34</v>
      </c>
      <c r="E99" s="674">
        <f>E$3*3</f>
        <v>0</v>
      </c>
      <c r="F99" s="646">
        <v>0</v>
      </c>
      <c r="G99" s="21">
        <f t="shared" si="9"/>
        <v>34</v>
      </c>
      <c r="H99" s="640">
        <v>34</v>
      </c>
      <c r="I99" s="674">
        <f>I$3*3</f>
        <v>0</v>
      </c>
      <c r="J99" s="646">
        <v>0</v>
      </c>
      <c r="K99" s="21">
        <f t="shared" si="10"/>
        <v>34</v>
      </c>
    </row>
    <row r="100" spans="1:11" x14ac:dyDescent="0.25">
      <c r="A100" s="1935"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35"/>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35"/>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42"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42"/>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43"/>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30" t="str">
        <f>'Служебный АСУТП'!V2</f>
        <v>ViPNet TLS Gateway</v>
      </c>
      <c r="E1" s="1931"/>
      <c r="F1" s="1931"/>
      <c r="G1" s="1932"/>
      <c r="H1" s="1930" t="str">
        <f>'Служебный АСУТП'!V3</f>
        <v>Континент TLS</v>
      </c>
      <c r="I1" s="1931"/>
      <c r="J1" s="1931"/>
      <c r="K1" s="1932"/>
    </row>
    <row r="2" spans="1:11" ht="15.75" x14ac:dyDescent="0.25">
      <c r="B2" s="41" t="s">
        <v>37</v>
      </c>
      <c r="C2" s="1940" t="s">
        <v>35</v>
      </c>
      <c r="D2" s="451" t="s">
        <v>599</v>
      </c>
      <c r="E2" s="191" t="s">
        <v>438</v>
      </c>
      <c r="F2" s="191" t="s">
        <v>439</v>
      </c>
      <c r="G2" s="1933" t="s">
        <v>38</v>
      </c>
      <c r="H2" s="451" t="s">
        <v>599</v>
      </c>
      <c r="I2" s="645" t="s">
        <v>438</v>
      </c>
      <c r="J2" s="645" t="s">
        <v>439</v>
      </c>
      <c r="K2" s="1933" t="s">
        <v>38</v>
      </c>
    </row>
    <row r="3" spans="1:11" ht="16.5" thickBot="1" x14ac:dyDescent="0.3">
      <c r="A3" s="12" t="s">
        <v>36</v>
      </c>
      <c r="B3" s="295">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row>
    <row r="4" spans="1:11" ht="16.5" thickBot="1" x14ac:dyDescent="0.3">
      <c r="A4" s="441" t="s">
        <v>448</v>
      </c>
      <c r="B4" s="442"/>
      <c r="C4" s="442"/>
      <c r="D4" s="442"/>
      <c r="E4" s="442"/>
      <c r="F4" s="442"/>
      <c r="G4" s="442"/>
      <c r="H4" s="442"/>
      <c r="I4" s="442"/>
      <c r="J4" s="442"/>
      <c r="K4" s="443"/>
    </row>
    <row r="5" spans="1:11" x14ac:dyDescent="0.25">
      <c r="A5" s="1987"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35"/>
      <c r="B6" s="129" t="s">
        <v>33</v>
      </c>
      <c r="C6" s="22"/>
      <c r="D6" s="446">
        <v>10</v>
      </c>
      <c r="E6" s="615">
        <v>0.5</v>
      </c>
      <c r="F6" s="615">
        <v>0</v>
      </c>
      <c r="G6" s="21">
        <f xml:space="preserve"> SUM(D6:F6) + $C6</f>
        <v>10.5</v>
      </c>
      <c r="H6" s="11">
        <v>10</v>
      </c>
      <c r="I6" s="11">
        <v>0.5</v>
      </c>
      <c r="J6" s="11">
        <v>0</v>
      </c>
      <c r="K6" s="21">
        <f t="shared" si="0"/>
        <v>10.5</v>
      </c>
    </row>
    <row r="7" spans="1:11" x14ac:dyDescent="0.25">
      <c r="A7" s="1935"/>
      <c r="B7" s="129" t="s">
        <v>34</v>
      </c>
      <c r="C7" s="22"/>
      <c r="D7" s="446">
        <v>12</v>
      </c>
      <c r="E7" s="615">
        <v>0.5</v>
      </c>
      <c r="F7" s="615">
        <v>0</v>
      </c>
      <c r="G7" s="21">
        <f xml:space="preserve"> SUM(D7:F7) + $C7</f>
        <v>12.5</v>
      </c>
      <c r="H7" s="11">
        <v>12</v>
      </c>
      <c r="I7" s="11">
        <v>0.5</v>
      </c>
      <c r="J7" s="11">
        <v>0</v>
      </c>
      <c r="K7" s="21">
        <f t="shared" si="0"/>
        <v>12.5</v>
      </c>
    </row>
    <row r="8" spans="1:11" x14ac:dyDescent="0.25">
      <c r="A8" s="1942" t="s">
        <v>449</v>
      </c>
      <c r="B8" s="404" t="s">
        <v>32</v>
      </c>
      <c r="C8" s="324"/>
      <c r="D8" s="615">
        <v>8</v>
      </c>
      <c r="E8" s="615">
        <v>0.5</v>
      </c>
      <c r="F8" s="615">
        <v>0</v>
      </c>
      <c r="G8" s="21">
        <f xml:space="preserve"> SUM(D8:F8) + $C8</f>
        <v>8.5</v>
      </c>
      <c r="H8" s="11">
        <v>8</v>
      </c>
      <c r="I8" s="11">
        <v>0.5</v>
      </c>
      <c r="J8" s="11">
        <v>0</v>
      </c>
      <c r="K8" s="21">
        <f t="shared" si="0"/>
        <v>8.5</v>
      </c>
    </row>
    <row r="9" spans="1:11" x14ac:dyDescent="0.25">
      <c r="A9" s="1942"/>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43"/>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4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9"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38"/>
      <c r="B17" s="18" t="s">
        <v>33</v>
      </c>
      <c r="C17" s="22"/>
      <c r="D17" s="678">
        <v>0.25</v>
      </c>
      <c r="E17" s="616">
        <v>0</v>
      </c>
      <c r="F17" s="623">
        <v>0</v>
      </c>
      <c r="G17" s="21">
        <f t="shared" si="1"/>
        <v>0.25</v>
      </c>
      <c r="H17" s="678">
        <v>0.25</v>
      </c>
      <c r="I17" s="616">
        <v>0</v>
      </c>
      <c r="J17" s="623">
        <v>0</v>
      </c>
      <c r="K17" s="21">
        <f t="shared" si="2"/>
        <v>0.25</v>
      </c>
    </row>
    <row r="18" spans="1:11" x14ac:dyDescent="0.25">
      <c r="A18" s="1938"/>
      <c r="B18" s="18" t="s">
        <v>34</v>
      </c>
      <c r="C18" s="22"/>
      <c r="D18" s="678">
        <v>0.25</v>
      </c>
      <c r="E18" s="616">
        <v>0</v>
      </c>
      <c r="F18" s="623">
        <v>0</v>
      </c>
      <c r="G18" s="21">
        <f t="shared" si="1"/>
        <v>0.25</v>
      </c>
      <c r="H18" s="678">
        <v>0.25</v>
      </c>
      <c r="I18" s="616">
        <v>0</v>
      </c>
      <c r="J18" s="623">
        <v>0</v>
      </c>
      <c r="K18" s="21">
        <f t="shared" si="2"/>
        <v>0.25</v>
      </c>
    </row>
    <row r="19" spans="1:11" x14ac:dyDescent="0.25">
      <c r="A19" s="1938" t="s">
        <v>5</v>
      </c>
      <c r="B19" s="19" t="s">
        <v>32</v>
      </c>
      <c r="C19" s="22"/>
      <c r="D19" s="38">
        <v>1</v>
      </c>
      <c r="E19" s="616">
        <v>0</v>
      </c>
      <c r="F19" s="623">
        <v>0</v>
      </c>
      <c r="G19" s="21">
        <f t="shared" si="1"/>
        <v>1</v>
      </c>
      <c r="H19" s="625">
        <v>1</v>
      </c>
      <c r="I19" s="616">
        <v>0</v>
      </c>
      <c r="J19" s="623">
        <v>0</v>
      </c>
      <c r="K19" s="21">
        <f t="shared" si="2"/>
        <v>1</v>
      </c>
    </row>
    <row r="20" spans="1:11" x14ac:dyDescent="0.25">
      <c r="A20" s="1938"/>
      <c r="B20" s="19" t="s">
        <v>33</v>
      </c>
      <c r="C20" s="22"/>
      <c r="D20" s="38">
        <v>2</v>
      </c>
      <c r="E20" s="616">
        <v>0</v>
      </c>
      <c r="F20" s="623">
        <v>0</v>
      </c>
      <c r="G20" s="21">
        <f t="shared" si="1"/>
        <v>2</v>
      </c>
      <c r="H20" s="625">
        <v>2</v>
      </c>
      <c r="I20" s="616">
        <v>0</v>
      </c>
      <c r="J20" s="623">
        <v>0</v>
      </c>
      <c r="K20" s="21">
        <f t="shared" si="2"/>
        <v>2</v>
      </c>
    </row>
    <row r="21" spans="1:11" x14ac:dyDescent="0.25">
      <c r="A21" s="1938"/>
      <c r="B21" s="19" t="s">
        <v>34</v>
      </c>
      <c r="C21" s="22"/>
      <c r="D21" s="38">
        <v>3</v>
      </c>
      <c r="E21" s="616">
        <v>0</v>
      </c>
      <c r="F21" s="623">
        <v>0</v>
      </c>
      <c r="G21" s="21">
        <f t="shared" si="1"/>
        <v>3</v>
      </c>
      <c r="H21" s="625">
        <v>3</v>
      </c>
      <c r="I21" s="616">
        <v>0</v>
      </c>
      <c r="J21" s="623">
        <v>0</v>
      </c>
      <c r="K21" s="21">
        <f t="shared" si="2"/>
        <v>3</v>
      </c>
    </row>
    <row r="22" spans="1:11" x14ac:dyDescent="0.25">
      <c r="A22" s="1938" t="s">
        <v>6</v>
      </c>
      <c r="B22" s="19" t="s">
        <v>32</v>
      </c>
      <c r="C22" s="22"/>
      <c r="D22" s="615">
        <v>24</v>
      </c>
      <c r="E22" s="630">
        <f>1*E$3</f>
        <v>0</v>
      </c>
      <c r="F22" s="615">
        <v>0</v>
      </c>
      <c r="G22" s="21">
        <f t="shared" si="1"/>
        <v>24</v>
      </c>
      <c r="H22" s="615">
        <v>24</v>
      </c>
      <c r="I22" s="630">
        <f>1*I$3</f>
        <v>0</v>
      </c>
      <c r="J22" s="615">
        <v>0</v>
      </c>
      <c r="K22" s="21">
        <f t="shared" si="2"/>
        <v>24</v>
      </c>
    </row>
    <row r="23" spans="1:11" x14ac:dyDescent="0.25">
      <c r="A23" s="1938"/>
      <c r="B23" s="19" t="s">
        <v>33</v>
      </c>
      <c r="C23" s="22"/>
      <c r="D23" s="615">
        <v>32</v>
      </c>
      <c r="E23" s="630">
        <f>2*E$3</f>
        <v>0</v>
      </c>
      <c r="F23" s="615">
        <v>0</v>
      </c>
      <c r="G23" s="21">
        <f t="shared" si="1"/>
        <v>32</v>
      </c>
      <c r="H23" s="615">
        <v>32</v>
      </c>
      <c r="I23" s="630">
        <f>2*I$3</f>
        <v>0</v>
      </c>
      <c r="J23" s="615">
        <v>0</v>
      </c>
      <c r="K23" s="21">
        <f t="shared" si="2"/>
        <v>32</v>
      </c>
    </row>
    <row r="24" spans="1:11" x14ac:dyDescent="0.25">
      <c r="A24" s="1938"/>
      <c r="B24" s="19" t="s">
        <v>34</v>
      </c>
      <c r="C24" s="22"/>
      <c r="D24" s="615">
        <v>40</v>
      </c>
      <c r="E24" s="630">
        <f>3*E$3</f>
        <v>0</v>
      </c>
      <c r="F24" s="615">
        <v>0</v>
      </c>
      <c r="G24" s="21">
        <f t="shared" si="1"/>
        <v>40</v>
      </c>
      <c r="H24" s="615">
        <v>40</v>
      </c>
      <c r="I24" s="630">
        <f>3*I$3</f>
        <v>0</v>
      </c>
      <c r="J24" s="615">
        <v>0</v>
      </c>
      <c r="K24" s="21">
        <f t="shared" si="2"/>
        <v>40</v>
      </c>
    </row>
    <row r="25" spans="1:11" x14ac:dyDescent="0.25">
      <c r="A25" s="1938" t="s">
        <v>7</v>
      </c>
      <c r="B25" s="19" t="s">
        <v>32</v>
      </c>
      <c r="C25" s="22"/>
      <c r="D25" s="38">
        <v>4</v>
      </c>
      <c r="E25" s="616">
        <v>0</v>
      </c>
      <c r="F25" s="623">
        <v>0</v>
      </c>
      <c r="G25" s="21">
        <f t="shared" si="1"/>
        <v>4</v>
      </c>
      <c r="H25" s="625">
        <v>4</v>
      </c>
      <c r="I25" s="616">
        <v>0</v>
      </c>
      <c r="J25" s="623">
        <v>0</v>
      </c>
      <c r="K25" s="21">
        <f t="shared" si="2"/>
        <v>4</v>
      </c>
    </row>
    <row r="26" spans="1:11" x14ac:dyDescent="0.25">
      <c r="A26" s="1938"/>
      <c r="B26" s="19" t="s">
        <v>33</v>
      </c>
      <c r="C26" s="22"/>
      <c r="D26" s="38">
        <v>6</v>
      </c>
      <c r="E26" s="616">
        <v>0</v>
      </c>
      <c r="F26" s="623">
        <v>0</v>
      </c>
      <c r="G26" s="21">
        <f t="shared" si="1"/>
        <v>6</v>
      </c>
      <c r="H26" s="625">
        <v>6</v>
      </c>
      <c r="I26" s="616">
        <v>0</v>
      </c>
      <c r="J26" s="623">
        <v>0</v>
      </c>
      <c r="K26" s="21">
        <f t="shared" si="2"/>
        <v>6</v>
      </c>
    </row>
    <row r="27" spans="1:11" x14ac:dyDescent="0.25">
      <c r="A27" s="1938"/>
      <c r="B27" s="19" t="s">
        <v>34</v>
      </c>
      <c r="C27" s="22"/>
      <c r="D27" s="38">
        <v>8</v>
      </c>
      <c r="E27" s="616">
        <v>0</v>
      </c>
      <c r="F27" s="623">
        <v>0</v>
      </c>
      <c r="G27" s="21">
        <f t="shared" si="1"/>
        <v>8</v>
      </c>
      <c r="H27" s="625">
        <v>8</v>
      </c>
      <c r="I27" s="616">
        <v>0</v>
      </c>
      <c r="J27" s="623">
        <v>0</v>
      </c>
      <c r="K27" s="21">
        <f t="shared" si="2"/>
        <v>8</v>
      </c>
    </row>
    <row r="28" spans="1:11" x14ac:dyDescent="0.25">
      <c r="A28" s="1938" t="s">
        <v>8</v>
      </c>
      <c r="B28" s="19" t="s">
        <v>32</v>
      </c>
      <c r="C28" s="22"/>
      <c r="D28" s="38">
        <v>3</v>
      </c>
      <c r="E28" s="616">
        <v>0</v>
      </c>
      <c r="F28" s="623">
        <v>0</v>
      </c>
      <c r="G28" s="21">
        <f t="shared" si="1"/>
        <v>3</v>
      </c>
      <c r="H28" s="625">
        <v>3</v>
      </c>
      <c r="I28" s="616">
        <v>0</v>
      </c>
      <c r="J28" s="623">
        <v>0</v>
      </c>
      <c r="K28" s="21">
        <f t="shared" si="2"/>
        <v>3</v>
      </c>
    </row>
    <row r="29" spans="1:11" x14ac:dyDescent="0.25">
      <c r="A29" s="1938"/>
      <c r="B29" s="19" t="s">
        <v>33</v>
      </c>
      <c r="C29" s="22"/>
      <c r="D29" s="38">
        <v>4</v>
      </c>
      <c r="E29" s="616">
        <v>0</v>
      </c>
      <c r="F29" s="623">
        <v>0</v>
      </c>
      <c r="G29" s="21">
        <f t="shared" si="1"/>
        <v>4</v>
      </c>
      <c r="H29" s="625">
        <v>4</v>
      </c>
      <c r="I29" s="616">
        <v>0</v>
      </c>
      <c r="J29" s="623">
        <v>0</v>
      </c>
      <c r="K29" s="21">
        <f t="shared" si="2"/>
        <v>4</v>
      </c>
    </row>
    <row r="30" spans="1:11" x14ac:dyDescent="0.25">
      <c r="A30" s="1938"/>
      <c r="B30" s="19" t="s">
        <v>34</v>
      </c>
      <c r="C30" s="22"/>
      <c r="D30" s="38">
        <v>6</v>
      </c>
      <c r="E30" s="616">
        <v>0</v>
      </c>
      <c r="F30" s="623">
        <v>0</v>
      </c>
      <c r="G30" s="21">
        <f t="shared" si="1"/>
        <v>6</v>
      </c>
      <c r="H30" s="625">
        <v>6</v>
      </c>
      <c r="I30" s="616">
        <v>0</v>
      </c>
      <c r="J30" s="623">
        <v>0</v>
      </c>
      <c r="K30" s="21">
        <f t="shared" si="2"/>
        <v>6</v>
      </c>
    </row>
    <row r="31" spans="1:11" x14ac:dyDescent="0.25">
      <c r="A31" s="1938" t="s">
        <v>9</v>
      </c>
      <c r="B31" s="19" t="s">
        <v>32</v>
      </c>
      <c r="C31" s="22"/>
      <c r="D31" s="124">
        <f>4+(0.5*D$3)</f>
        <v>4</v>
      </c>
      <c r="E31" s="616">
        <v>0</v>
      </c>
      <c r="F31" s="616">
        <v>0</v>
      </c>
      <c r="G31" s="21">
        <f t="shared" si="1"/>
        <v>4</v>
      </c>
      <c r="H31" s="631">
        <f>4+(0.5*H$3)</f>
        <v>4</v>
      </c>
      <c r="I31" s="616">
        <v>0</v>
      </c>
      <c r="J31" s="616">
        <v>0</v>
      </c>
      <c r="K31" s="21">
        <f t="shared" si="2"/>
        <v>4</v>
      </c>
    </row>
    <row r="32" spans="1:11" x14ac:dyDescent="0.25">
      <c r="A32" s="1938"/>
      <c r="B32" s="19" t="s">
        <v>33</v>
      </c>
      <c r="C32" s="22"/>
      <c r="D32" s="124">
        <f>6+(0.5*D$3)</f>
        <v>6</v>
      </c>
      <c r="E32" s="616">
        <v>0</v>
      </c>
      <c r="F32" s="616">
        <v>0</v>
      </c>
      <c r="G32" s="21">
        <f t="shared" si="1"/>
        <v>6</v>
      </c>
      <c r="H32" s="631">
        <f>6+(0.5*H$3)</f>
        <v>6</v>
      </c>
      <c r="I32" s="616">
        <v>0</v>
      </c>
      <c r="J32" s="616">
        <v>0</v>
      </c>
      <c r="K32" s="21">
        <f t="shared" si="2"/>
        <v>6</v>
      </c>
    </row>
    <row r="33" spans="1:11" x14ac:dyDescent="0.25">
      <c r="A33" s="1938"/>
      <c r="B33" s="19" t="s">
        <v>34</v>
      </c>
      <c r="C33" s="22"/>
      <c r="D33" s="124">
        <f>8+(0.5*D$3)</f>
        <v>8</v>
      </c>
      <c r="E33" s="616">
        <v>0</v>
      </c>
      <c r="F33" s="616">
        <v>0</v>
      </c>
      <c r="G33" s="21">
        <f t="shared" si="1"/>
        <v>8</v>
      </c>
      <c r="H33" s="631">
        <f>8+(0.5*H$3)</f>
        <v>8</v>
      </c>
      <c r="I33" s="616">
        <v>0</v>
      </c>
      <c r="J33" s="616">
        <v>0</v>
      </c>
      <c r="K33" s="21">
        <f t="shared" si="2"/>
        <v>8</v>
      </c>
    </row>
    <row r="34" spans="1:11" x14ac:dyDescent="0.25">
      <c r="A34" s="1938" t="s">
        <v>10</v>
      </c>
      <c r="B34" s="19" t="s">
        <v>32</v>
      </c>
      <c r="C34" s="22"/>
      <c r="D34" s="38">
        <v>2</v>
      </c>
      <c r="E34" s="616">
        <v>0</v>
      </c>
      <c r="F34" s="616">
        <v>0</v>
      </c>
      <c r="G34" s="21">
        <f t="shared" si="1"/>
        <v>2</v>
      </c>
      <c r="H34" s="625">
        <v>2</v>
      </c>
      <c r="I34" s="616">
        <v>0</v>
      </c>
      <c r="J34" s="616">
        <v>0</v>
      </c>
      <c r="K34" s="21">
        <f t="shared" si="2"/>
        <v>2</v>
      </c>
    </row>
    <row r="35" spans="1:11" x14ac:dyDescent="0.25">
      <c r="A35" s="1938"/>
      <c r="B35" s="19" t="s">
        <v>33</v>
      </c>
      <c r="C35" s="22"/>
      <c r="D35" s="38">
        <v>4</v>
      </c>
      <c r="E35" s="616">
        <v>0</v>
      </c>
      <c r="F35" s="616">
        <v>0</v>
      </c>
      <c r="G35" s="21">
        <f t="shared" si="1"/>
        <v>4</v>
      </c>
      <c r="H35" s="625">
        <v>4</v>
      </c>
      <c r="I35" s="616">
        <v>0</v>
      </c>
      <c r="J35" s="616">
        <v>0</v>
      </c>
      <c r="K35" s="21">
        <f t="shared" si="2"/>
        <v>4</v>
      </c>
    </row>
    <row r="36" spans="1:11" ht="15.75" thickBot="1" x14ac:dyDescent="0.3">
      <c r="A36" s="1936"/>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2"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42"/>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42"/>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4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2"/>
      <c r="B43" s="19" t="s">
        <v>33</v>
      </c>
      <c r="C43" s="22"/>
      <c r="D43" s="625">
        <v>2</v>
      </c>
      <c r="E43" s="616">
        <v>0</v>
      </c>
      <c r="F43" s="623">
        <v>0</v>
      </c>
      <c r="G43" s="21">
        <f t="shared" si="1"/>
        <v>2</v>
      </c>
      <c r="H43" s="625">
        <v>2</v>
      </c>
      <c r="I43" s="616">
        <v>0</v>
      </c>
      <c r="J43" s="623">
        <v>0</v>
      </c>
      <c r="K43" s="21">
        <f t="shared" si="3"/>
        <v>2</v>
      </c>
    </row>
    <row r="44" spans="1:11" x14ac:dyDescent="0.25">
      <c r="A44" s="1942"/>
      <c r="B44" s="19" t="s">
        <v>34</v>
      </c>
      <c r="C44" s="22"/>
      <c r="D44" s="625">
        <v>3</v>
      </c>
      <c r="E44" s="616">
        <v>0</v>
      </c>
      <c r="F44" s="623">
        <v>0</v>
      </c>
      <c r="G44" s="21">
        <f t="shared" si="1"/>
        <v>3</v>
      </c>
      <c r="H44" s="625">
        <v>3</v>
      </c>
      <c r="I44" s="616">
        <v>0</v>
      </c>
      <c r="J44" s="623">
        <v>0</v>
      </c>
      <c r="K44" s="21">
        <f t="shared" si="3"/>
        <v>3</v>
      </c>
    </row>
    <row r="45" spans="1:11" x14ac:dyDescent="0.25">
      <c r="A45" s="1973" t="s">
        <v>15</v>
      </c>
      <c r="B45" s="19" t="s">
        <v>32</v>
      </c>
      <c r="C45" s="22"/>
      <c r="D45" s="625">
        <v>16</v>
      </c>
      <c r="E45" s="674">
        <f>1*E$3</f>
        <v>0</v>
      </c>
      <c r="F45" s="623">
        <v>0</v>
      </c>
      <c r="G45" s="21">
        <f t="shared" si="1"/>
        <v>16</v>
      </c>
      <c r="H45" s="625">
        <v>16</v>
      </c>
      <c r="I45" s="674">
        <f>1*I$3</f>
        <v>0</v>
      </c>
      <c r="J45" s="623">
        <v>0</v>
      </c>
      <c r="K45" s="21">
        <f t="shared" si="3"/>
        <v>16</v>
      </c>
    </row>
    <row r="46" spans="1:11" x14ac:dyDescent="0.25">
      <c r="A46" s="1973"/>
      <c r="B46" s="19" t="s">
        <v>33</v>
      </c>
      <c r="C46" s="22"/>
      <c r="D46" s="625">
        <v>28</v>
      </c>
      <c r="E46" s="674">
        <f>2*E$3</f>
        <v>0</v>
      </c>
      <c r="F46" s="623">
        <v>0</v>
      </c>
      <c r="G46" s="21">
        <f t="shared" si="1"/>
        <v>28</v>
      </c>
      <c r="H46" s="625">
        <v>28</v>
      </c>
      <c r="I46" s="674">
        <f>2*I$3</f>
        <v>0</v>
      </c>
      <c r="J46" s="623">
        <v>0</v>
      </c>
      <c r="K46" s="21">
        <f t="shared" si="3"/>
        <v>28</v>
      </c>
    </row>
    <row r="47" spans="1:11" x14ac:dyDescent="0.25">
      <c r="A47" s="1973"/>
      <c r="B47" s="19" t="s">
        <v>34</v>
      </c>
      <c r="C47" s="22"/>
      <c r="D47" s="625">
        <v>36</v>
      </c>
      <c r="E47" s="674">
        <f>4*E$3</f>
        <v>0</v>
      </c>
      <c r="F47" s="623">
        <v>0</v>
      </c>
      <c r="G47" s="21">
        <f t="shared" si="1"/>
        <v>36</v>
      </c>
      <c r="H47" s="625">
        <v>36</v>
      </c>
      <c r="I47" s="674">
        <f>4*I$3</f>
        <v>0</v>
      </c>
      <c r="J47" s="623">
        <v>0</v>
      </c>
      <c r="K47" s="21">
        <f t="shared" si="3"/>
        <v>36</v>
      </c>
    </row>
    <row r="48" spans="1:11" x14ac:dyDescent="0.25">
      <c r="A48" s="1973" t="s">
        <v>16</v>
      </c>
      <c r="B48" s="19" t="s">
        <v>32</v>
      </c>
      <c r="C48" s="22"/>
      <c r="D48" s="631">
        <f>1*D$3</f>
        <v>0</v>
      </c>
      <c r="E48" s="616">
        <v>0</v>
      </c>
      <c r="F48" s="623">
        <v>0</v>
      </c>
      <c r="G48" s="21">
        <f t="shared" si="1"/>
        <v>0</v>
      </c>
      <c r="H48" s="631">
        <f>1*H$3</f>
        <v>0</v>
      </c>
      <c r="I48" s="616">
        <v>0</v>
      </c>
      <c r="J48" s="623">
        <v>0</v>
      </c>
      <c r="K48" s="21">
        <f t="shared" si="3"/>
        <v>0</v>
      </c>
    </row>
    <row r="49" spans="1:11" x14ac:dyDescent="0.25">
      <c r="A49" s="1973"/>
      <c r="B49" s="19" t="s">
        <v>33</v>
      </c>
      <c r="C49" s="22"/>
      <c r="D49" s="631">
        <f>1.5*D$3</f>
        <v>0</v>
      </c>
      <c r="E49" s="616">
        <v>0</v>
      </c>
      <c r="F49" s="689">
        <v>0</v>
      </c>
      <c r="G49" s="21">
        <f t="shared" si="1"/>
        <v>0</v>
      </c>
      <c r="H49" s="631">
        <f>1.5*H$3</f>
        <v>0</v>
      </c>
      <c r="I49" s="616">
        <v>0</v>
      </c>
      <c r="J49" s="689">
        <v>0</v>
      </c>
      <c r="K49" s="21">
        <f t="shared" si="3"/>
        <v>0</v>
      </c>
    </row>
    <row r="50" spans="1:11" x14ac:dyDescent="0.25">
      <c r="A50" s="1973"/>
      <c r="B50" s="19" t="s">
        <v>34</v>
      </c>
      <c r="C50" s="22"/>
      <c r="D50" s="631">
        <f>2*D$3</f>
        <v>0</v>
      </c>
      <c r="E50" s="616">
        <v>0</v>
      </c>
      <c r="F50" s="689">
        <v>0</v>
      </c>
      <c r="G50" s="21">
        <f t="shared" si="1"/>
        <v>0</v>
      </c>
      <c r="H50" s="631">
        <f>2*H$3</f>
        <v>0</v>
      </c>
      <c r="I50" s="616">
        <v>0</v>
      </c>
      <c r="J50" s="689">
        <v>0</v>
      </c>
      <c r="K50" s="21">
        <f t="shared" si="3"/>
        <v>0</v>
      </c>
    </row>
    <row r="51" spans="1:11" x14ac:dyDescent="0.25">
      <c r="A51" s="1973" t="s">
        <v>17</v>
      </c>
      <c r="B51" s="19" t="s">
        <v>32</v>
      </c>
      <c r="C51" s="22"/>
      <c r="D51" s="631">
        <f>1*D$3</f>
        <v>0</v>
      </c>
      <c r="E51" s="616">
        <v>0</v>
      </c>
      <c r="F51" s="689">
        <v>0</v>
      </c>
      <c r="G51" s="21">
        <f t="shared" si="1"/>
        <v>0</v>
      </c>
      <c r="H51" s="631">
        <f>1*H$3</f>
        <v>0</v>
      </c>
      <c r="I51" s="616">
        <v>0</v>
      </c>
      <c r="J51" s="689">
        <v>0</v>
      </c>
      <c r="K51" s="21">
        <f t="shared" si="3"/>
        <v>0</v>
      </c>
    </row>
    <row r="52" spans="1:11" x14ac:dyDescent="0.25">
      <c r="A52" s="1973"/>
      <c r="B52" s="19" t="s">
        <v>33</v>
      </c>
      <c r="C52" s="22"/>
      <c r="D52" s="631">
        <f>1.5*D$3</f>
        <v>0</v>
      </c>
      <c r="E52" s="616">
        <v>0</v>
      </c>
      <c r="F52" s="689">
        <v>0</v>
      </c>
      <c r="G52" s="21">
        <f t="shared" si="1"/>
        <v>0</v>
      </c>
      <c r="H52" s="631">
        <f>1.5*H$3</f>
        <v>0</v>
      </c>
      <c r="I52" s="616">
        <v>0</v>
      </c>
      <c r="J52" s="689">
        <v>0</v>
      </c>
      <c r="K52" s="21">
        <f t="shared" si="3"/>
        <v>0</v>
      </c>
    </row>
    <row r="53" spans="1:11" x14ac:dyDescent="0.25">
      <c r="A53" s="1973"/>
      <c r="B53" s="19" t="s">
        <v>34</v>
      </c>
      <c r="C53" s="22"/>
      <c r="D53" s="631">
        <f>2*D$3</f>
        <v>0</v>
      </c>
      <c r="E53" s="616">
        <v>0</v>
      </c>
      <c r="F53" s="689">
        <v>0</v>
      </c>
      <c r="G53" s="21">
        <f t="shared" si="1"/>
        <v>0</v>
      </c>
      <c r="H53" s="631">
        <f>2*H$3</f>
        <v>0</v>
      </c>
      <c r="I53" s="616">
        <v>0</v>
      </c>
      <c r="J53" s="689">
        <v>0</v>
      </c>
      <c r="K53" s="21">
        <f t="shared" si="3"/>
        <v>0</v>
      </c>
    </row>
    <row r="54" spans="1:11" x14ac:dyDescent="0.25">
      <c r="A54" s="1973" t="s">
        <v>18</v>
      </c>
      <c r="B54" s="19" t="s">
        <v>32</v>
      </c>
      <c r="C54" s="22"/>
      <c r="D54" s="631">
        <f>1*D$3</f>
        <v>0</v>
      </c>
      <c r="E54" s="616">
        <v>0</v>
      </c>
      <c r="F54" s="616">
        <v>0</v>
      </c>
      <c r="G54" s="21">
        <f t="shared" si="1"/>
        <v>0</v>
      </c>
      <c r="H54" s="631">
        <f>1*H$3</f>
        <v>0</v>
      </c>
      <c r="I54" s="616">
        <v>0</v>
      </c>
      <c r="J54" s="616">
        <v>0</v>
      </c>
      <c r="K54" s="21">
        <f t="shared" si="3"/>
        <v>0</v>
      </c>
    </row>
    <row r="55" spans="1:11" x14ac:dyDescent="0.25">
      <c r="A55" s="1973"/>
      <c r="B55" s="19" t="s">
        <v>33</v>
      </c>
      <c r="C55" s="22"/>
      <c r="D55" s="631">
        <f>1*D$3</f>
        <v>0</v>
      </c>
      <c r="E55" s="616">
        <v>0</v>
      </c>
      <c r="F55" s="616">
        <v>0</v>
      </c>
      <c r="G55" s="21">
        <f t="shared" si="1"/>
        <v>0</v>
      </c>
      <c r="H55" s="631">
        <f>1*H$3</f>
        <v>0</v>
      </c>
      <c r="I55" s="616">
        <v>0</v>
      </c>
      <c r="J55" s="616">
        <v>0</v>
      </c>
      <c r="K55" s="21">
        <f t="shared" si="3"/>
        <v>0</v>
      </c>
    </row>
    <row r="56" spans="1:11" x14ac:dyDescent="0.25">
      <c r="A56" s="1973"/>
      <c r="B56" s="19" t="s">
        <v>34</v>
      </c>
      <c r="C56" s="22"/>
      <c r="D56" s="631">
        <f>1*D$3</f>
        <v>0</v>
      </c>
      <c r="E56" s="616">
        <v>0</v>
      </c>
      <c r="F56" s="616">
        <v>0</v>
      </c>
      <c r="G56" s="21">
        <f t="shared" si="1"/>
        <v>0</v>
      </c>
      <c r="H56" s="631">
        <f>1*H$3</f>
        <v>0</v>
      </c>
      <c r="I56" s="616">
        <v>0</v>
      </c>
      <c r="J56" s="616">
        <v>0</v>
      </c>
      <c r="K56" s="21">
        <f t="shared" si="3"/>
        <v>0</v>
      </c>
    </row>
    <row r="57" spans="1:11" x14ac:dyDescent="0.25">
      <c r="A57" s="1973" t="s">
        <v>19</v>
      </c>
      <c r="B57" s="19" t="s">
        <v>32</v>
      </c>
      <c r="C57" s="22"/>
      <c r="D57" s="625">
        <v>4</v>
      </c>
      <c r="E57" s="616">
        <v>0</v>
      </c>
      <c r="F57" s="616">
        <v>0</v>
      </c>
      <c r="G57" s="21">
        <f t="shared" si="1"/>
        <v>4</v>
      </c>
      <c r="H57" s="625">
        <v>4</v>
      </c>
      <c r="I57" s="616">
        <v>0</v>
      </c>
      <c r="J57" s="616">
        <v>0</v>
      </c>
      <c r="K57" s="21">
        <f t="shared" si="3"/>
        <v>4</v>
      </c>
    </row>
    <row r="58" spans="1:11" x14ac:dyDescent="0.25">
      <c r="A58" s="1973"/>
      <c r="B58" s="19" t="s">
        <v>33</v>
      </c>
      <c r="C58" s="22"/>
      <c r="D58" s="625">
        <v>6</v>
      </c>
      <c r="E58" s="616">
        <v>0</v>
      </c>
      <c r="F58" s="616">
        <v>0</v>
      </c>
      <c r="G58" s="21">
        <f t="shared" si="1"/>
        <v>6</v>
      </c>
      <c r="H58" s="625">
        <v>6</v>
      </c>
      <c r="I58" s="616">
        <v>0</v>
      </c>
      <c r="J58" s="616">
        <v>0</v>
      </c>
      <c r="K58" s="21">
        <f t="shared" si="3"/>
        <v>6</v>
      </c>
    </row>
    <row r="59" spans="1:11" x14ac:dyDescent="0.25">
      <c r="A59" s="1973"/>
      <c r="B59" s="19" t="s">
        <v>34</v>
      </c>
      <c r="C59" s="22"/>
      <c r="D59" s="625">
        <v>8</v>
      </c>
      <c r="E59" s="616">
        <v>0</v>
      </c>
      <c r="F59" s="616">
        <v>0</v>
      </c>
      <c r="G59" s="21">
        <f t="shared" si="1"/>
        <v>8</v>
      </c>
      <c r="H59" s="625">
        <v>8</v>
      </c>
      <c r="I59" s="616">
        <v>0</v>
      </c>
      <c r="J59" s="616">
        <v>0</v>
      </c>
      <c r="K59" s="21">
        <f t="shared" si="3"/>
        <v>8</v>
      </c>
    </row>
    <row r="60" spans="1:11" x14ac:dyDescent="0.25">
      <c r="A60" s="1973" t="s">
        <v>20</v>
      </c>
      <c r="B60" s="19" t="s">
        <v>32</v>
      </c>
      <c r="C60" s="22"/>
      <c r="D60" s="625">
        <v>8</v>
      </c>
      <c r="E60" s="630">
        <f>2*E$3</f>
        <v>0</v>
      </c>
      <c r="F60" s="616">
        <v>0</v>
      </c>
      <c r="G60" s="21">
        <f t="shared" si="1"/>
        <v>8</v>
      </c>
      <c r="H60" s="625">
        <v>8</v>
      </c>
      <c r="I60" s="630">
        <f>2*I$3</f>
        <v>0</v>
      </c>
      <c r="J60" s="616">
        <v>0</v>
      </c>
      <c r="K60" s="21">
        <f t="shared" si="3"/>
        <v>8</v>
      </c>
    </row>
    <row r="61" spans="1:11" x14ac:dyDescent="0.25">
      <c r="A61" s="1973"/>
      <c r="B61" s="19" t="s">
        <v>33</v>
      </c>
      <c r="C61" s="22"/>
      <c r="D61" s="625">
        <v>16</v>
      </c>
      <c r="E61" s="630">
        <f>2*E$3</f>
        <v>0</v>
      </c>
      <c r="F61" s="616">
        <v>0</v>
      </c>
      <c r="G61" s="21">
        <f t="shared" si="1"/>
        <v>16</v>
      </c>
      <c r="H61" s="625">
        <v>16</v>
      </c>
      <c r="I61" s="630">
        <f>2*I$3</f>
        <v>0</v>
      </c>
      <c r="J61" s="616">
        <v>0</v>
      </c>
      <c r="K61" s="21">
        <f t="shared" si="3"/>
        <v>16</v>
      </c>
    </row>
    <row r="62" spans="1:11" x14ac:dyDescent="0.25">
      <c r="A62" s="1973"/>
      <c r="B62" s="19" t="s">
        <v>34</v>
      </c>
      <c r="C62" s="22"/>
      <c r="D62" s="625">
        <v>32</v>
      </c>
      <c r="E62" s="630">
        <f>2*E$3</f>
        <v>0</v>
      </c>
      <c r="F62" s="616">
        <v>0</v>
      </c>
      <c r="G62" s="21">
        <f t="shared" si="1"/>
        <v>32</v>
      </c>
      <c r="H62" s="625">
        <v>32</v>
      </c>
      <c r="I62" s="630">
        <f>2*I$3</f>
        <v>0</v>
      </c>
      <c r="J62" s="616">
        <v>0</v>
      </c>
      <c r="K62" s="21">
        <f t="shared" si="3"/>
        <v>32</v>
      </c>
    </row>
    <row r="63" spans="1:11" x14ac:dyDescent="0.25">
      <c r="A63" s="1973" t="s">
        <v>451</v>
      </c>
      <c r="B63" s="19" t="s">
        <v>32</v>
      </c>
      <c r="C63" s="22"/>
      <c r="D63" s="482">
        <v>0.25</v>
      </c>
      <c r="E63" s="691">
        <v>0</v>
      </c>
      <c r="F63" s="495">
        <v>0</v>
      </c>
      <c r="G63" s="21">
        <f t="shared" si="1"/>
        <v>0.25</v>
      </c>
      <c r="H63" s="482">
        <v>0.25</v>
      </c>
      <c r="I63" s="691">
        <v>0</v>
      </c>
      <c r="J63" s="495">
        <v>0</v>
      </c>
      <c r="K63" s="21">
        <f t="shared" si="3"/>
        <v>0.25</v>
      </c>
    </row>
    <row r="64" spans="1:11" x14ac:dyDescent="0.25">
      <c r="A64" s="1973"/>
      <c r="B64" s="19" t="s">
        <v>33</v>
      </c>
      <c r="C64" s="22"/>
      <c r="D64" s="625">
        <v>0.5</v>
      </c>
      <c r="E64" s="691">
        <v>0</v>
      </c>
      <c r="F64" s="495">
        <v>0</v>
      </c>
      <c r="G64" s="21">
        <f t="shared" si="1"/>
        <v>0.5</v>
      </c>
      <c r="H64" s="625">
        <v>0.5</v>
      </c>
      <c r="I64" s="691">
        <v>0</v>
      </c>
      <c r="J64" s="495">
        <v>0</v>
      </c>
      <c r="K64" s="21">
        <f t="shared" si="3"/>
        <v>0.5</v>
      </c>
    </row>
    <row r="65" spans="1:11" x14ac:dyDescent="0.25">
      <c r="A65" s="1973"/>
      <c r="B65" s="19" t="s">
        <v>34</v>
      </c>
      <c r="C65" s="22"/>
      <c r="D65" s="625">
        <v>1</v>
      </c>
      <c r="E65" s="691">
        <v>0</v>
      </c>
      <c r="F65" s="495">
        <v>0</v>
      </c>
      <c r="G65" s="21">
        <f t="shared" si="1"/>
        <v>1</v>
      </c>
      <c r="H65" s="625">
        <v>1</v>
      </c>
      <c r="I65" s="691">
        <v>0</v>
      </c>
      <c r="J65" s="495">
        <v>0</v>
      </c>
      <c r="K65" s="21">
        <f t="shared" si="3"/>
        <v>1</v>
      </c>
    </row>
    <row r="66" spans="1:11" x14ac:dyDescent="0.25">
      <c r="A66" s="1973" t="s">
        <v>452</v>
      </c>
      <c r="B66" s="19" t="s">
        <v>32</v>
      </c>
      <c r="C66" s="22"/>
      <c r="D66" s="482">
        <v>0.25</v>
      </c>
      <c r="E66" s="691">
        <v>0</v>
      </c>
      <c r="F66" s="495">
        <v>0</v>
      </c>
      <c r="G66" s="21">
        <f t="shared" si="1"/>
        <v>0.25</v>
      </c>
      <c r="H66" s="482">
        <v>0.25</v>
      </c>
      <c r="I66" s="691">
        <v>0</v>
      </c>
      <c r="J66" s="495">
        <v>0</v>
      </c>
      <c r="K66" s="21">
        <f t="shared" si="3"/>
        <v>0.25</v>
      </c>
    </row>
    <row r="67" spans="1:11" x14ac:dyDescent="0.25">
      <c r="A67" s="1973"/>
      <c r="B67" s="19" t="s">
        <v>33</v>
      </c>
      <c r="C67" s="22"/>
      <c r="D67" s="625">
        <v>0.5</v>
      </c>
      <c r="E67" s="691">
        <v>0</v>
      </c>
      <c r="F67" s="495">
        <v>0</v>
      </c>
      <c r="G67" s="21">
        <f t="shared" si="1"/>
        <v>0.5</v>
      </c>
      <c r="H67" s="625">
        <v>0.5</v>
      </c>
      <c r="I67" s="691">
        <v>0</v>
      </c>
      <c r="J67" s="495">
        <v>0</v>
      </c>
      <c r="K67" s="21">
        <f t="shared" si="3"/>
        <v>0.5</v>
      </c>
    </row>
    <row r="68" spans="1:11" x14ac:dyDescent="0.25">
      <c r="A68" s="1973"/>
      <c r="B68" s="19" t="s">
        <v>34</v>
      </c>
      <c r="C68" s="22"/>
      <c r="D68" s="625">
        <v>1</v>
      </c>
      <c r="E68" s="691">
        <v>0</v>
      </c>
      <c r="F68" s="495">
        <v>0</v>
      </c>
      <c r="G68" s="21">
        <f t="shared" si="1"/>
        <v>1</v>
      </c>
      <c r="H68" s="625">
        <v>1</v>
      </c>
      <c r="I68" s="691">
        <v>0</v>
      </c>
      <c r="J68" s="495">
        <v>0</v>
      </c>
      <c r="K68" s="21">
        <f t="shared" si="3"/>
        <v>1</v>
      </c>
    </row>
    <row r="69" spans="1:11" x14ac:dyDescent="0.25">
      <c r="A69" s="1988"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88"/>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88"/>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73"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73"/>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73"/>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73"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3"/>
      <c r="B76" s="19" t="s">
        <v>33</v>
      </c>
      <c r="C76" s="22"/>
      <c r="D76" s="38" t="s">
        <v>90</v>
      </c>
      <c r="E76" s="38" t="s">
        <v>90</v>
      </c>
      <c r="F76" s="38" t="s">
        <v>90</v>
      </c>
      <c r="G76" s="21">
        <f t="shared" si="1"/>
        <v>0</v>
      </c>
      <c r="H76" s="38" t="s">
        <v>90</v>
      </c>
      <c r="I76" s="38" t="s">
        <v>90</v>
      </c>
      <c r="J76" s="38" t="s">
        <v>90</v>
      </c>
      <c r="K76" s="21">
        <f t="shared" si="3"/>
        <v>0</v>
      </c>
    </row>
    <row r="77" spans="1:11" x14ac:dyDescent="0.25">
      <c r="A77" s="1973"/>
      <c r="B77" s="13" t="s">
        <v>34</v>
      </c>
      <c r="C77" s="34"/>
      <c r="D77" s="38" t="s">
        <v>90</v>
      </c>
      <c r="E77" s="38" t="s">
        <v>90</v>
      </c>
      <c r="F77" s="38" t="s">
        <v>90</v>
      </c>
      <c r="G77" s="21">
        <f t="shared" si="1"/>
        <v>0</v>
      </c>
      <c r="H77" s="38" t="s">
        <v>90</v>
      </c>
      <c r="I77" s="38" t="s">
        <v>90</v>
      </c>
      <c r="J77" s="38" t="s">
        <v>90</v>
      </c>
      <c r="K77" s="21">
        <f t="shared" si="3"/>
        <v>0</v>
      </c>
    </row>
    <row r="78" spans="1:11" x14ac:dyDescent="0.25">
      <c r="A78" s="1973"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73"/>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73"/>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73"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73"/>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73"/>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89"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89"/>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89"/>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2"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42"/>
      <c r="B89" s="19" t="s">
        <v>33</v>
      </c>
      <c r="C89" s="22"/>
      <c r="D89" s="678">
        <v>0.25</v>
      </c>
      <c r="E89" s="616">
        <v>0</v>
      </c>
      <c r="F89" s="623">
        <v>0</v>
      </c>
      <c r="G89" s="21">
        <f t="shared" si="1"/>
        <v>0.25</v>
      </c>
      <c r="H89" s="678">
        <v>0.25</v>
      </c>
      <c r="I89" s="616">
        <v>0</v>
      </c>
      <c r="J89" s="623">
        <v>0</v>
      </c>
      <c r="K89" s="21">
        <f t="shared" si="6"/>
        <v>0.25</v>
      </c>
    </row>
    <row r="90" spans="1:11" x14ac:dyDescent="0.25">
      <c r="A90" s="1942"/>
      <c r="B90" s="19" t="s">
        <v>34</v>
      </c>
      <c r="C90" s="22"/>
      <c r="D90" s="678">
        <v>0.25</v>
      </c>
      <c r="E90" s="616">
        <v>0</v>
      </c>
      <c r="F90" s="623">
        <v>0</v>
      </c>
      <c r="G90" s="21">
        <f t="shared" si="1"/>
        <v>0.25</v>
      </c>
      <c r="H90" s="678">
        <v>0.25</v>
      </c>
      <c r="I90" s="616">
        <v>0</v>
      </c>
      <c r="J90" s="623">
        <v>0</v>
      </c>
      <c r="K90" s="21">
        <f t="shared" si="6"/>
        <v>0.25</v>
      </c>
    </row>
    <row r="91" spans="1:11" x14ac:dyDescent="0.25">
      <c r="A91" s="1973"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73"/>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73"/>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73"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73"/>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73"/>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73" t="s">
        <v>26</v>
      </c>
      <c r="B97" s="19" t="s">
        <v>32</v>
      </c>
      <c r="C97" s="22"/>
      <c r="D97" s="640">
        <v>14</v>
      </c>
      <c r="E97" s="625">
        <v>0</v>
      </c>
      <c r="F97" s="625">
        <v>0</v>
      </c>
      <c r="G97" s="21">
        <f t="shared" si="9"/>
        <v>14</v>
      </c>
      <c r="H97" s="640">
        <v>14</v>
      </c>
      <c r="I97" s="625">
        <v>0</v>
      </c>
      <c r="J97" s="625">
        <v>0</v>
      </c>
      <c r="K97" s="21">
        <f t="shared" si="10"/>
        <v>14</v>
      </c>
    </row>
    <row r="98" spans="1:11" x14ac:dyDescent="0.25">
      <c r="A98" s="1973"/>
      <c r="B98" s="19" t="s">
        <v>33</v>
      </c>
      <c r="C98" s="22"/>
      <c r="D98" s="640">
        <v>26</v>
      </c>
      <c r="E98" s="625">
        <v>0</v>
      </c>
      <c r="F98" s="625">
        <v>0</v>
      </c>
      <c r="G98" s="21">
        <f t="shared" si="9"/>
        <v>26</v>
      </c>
      <c r="H98" s="640">
        <v>26</v>
      </c>
      <c r="I98" s="625">
        <v>0</v>
      </c>
      <c r="J98" s="625">
        <v>0</v>
      </c>
      <c r="K98" s="21">
        <f t="shared" si="10"/>
        <v>26</v>
      </c>
    </row>
    <row r="99" spans="1:11" x14ac:dyDescent="0.25">
      <c r="A99" s="1973"/>
      <c r="B99" s="19" t="s">
        <v>34</v>
      </c>
      <c r="C99" s="22"/>
      <c r="D99" s="640">
        <v>34</v>
      </c>
      <c r="E99" s="625">
        <v>0</v>
      </c>
      <c r="F99" s="625">
        <v>0</v>
      </c>
      <c r="G99" s="21">
        <f t="shared" si="9"/>
        <v>34</v>
      </c>
      <c r="H99" s="640">
        <v>34</v>
      </c>
      <c r="I99" s="625">
        <v>0</v>
      </c>
      <c r="J99" s="625">
        <v>0</v>
      </c>
      <c r="K99" s="21">
        <f t="shared" si="10"/>
        <v>34</v>
      </c>
    </row>
    <row r="100" spans="1:11" x14ac:dyDescent="0.25">
      <c r="A100" s="1973" t="s">
        <v>27</v>
      </c>
      <c r="B100" s="19" t="s">
        <v>32</v>
      </c>
      <c r="C100" s="22"/>
      <c r="D100" s="640">
        <v>8</v>
      </c>
      <c r="E100" s="625">
        <v>0</v>
      </c>
      <c r="F100" s="625">
        <v>0</v>
      </c>
      <c r="G100" s="21">
        <f t="shared" si="9"/>
        <v>8</v>
      </c>
      <c r="H100" s="640">
        <v>8</v>
      </c>
      <c r="I100" s="625">
        <v>0</v>
      </c>
      <c r="J100" s="625">
        <v>0</v>
      </c>
      <c r="K100" s="21">
        <f t="shared" si="10"/>
        <v>8</v>
      </c>
    </row>
    <row r="101" spans="1:11" x14ac:dyDescent="0.25">
      <c r="A101" s="1973"/>
      <c r="B101" s="19" t="s">
        <v>33</v>
      </c>
      <c r="C101" s="22"/>
      <c r="D101" s="640">
        <v>10</v>
      </c>
      <c r="E101" s="625">
        <v>0</v>
      </c>
      <c r="F101" s="625">
        <v>0</v>
      </c>
      <c r="G101" s="21">
        <f t="shared" si="9"/>
        <v>10</v>
      </c>
      <c r="H101" s="640">
        <v>10</v>
      </c>
      <c r="I101" s="625">
        <v>0</v>
      </c>
      <c r="J101" s="625">
        <v>0</v>
      </c>
      <c r="K101" s="21">
        <f t="shared" si="10"/>
        <v>10</v>
      </c>
    </row>
    <row r="102" spans="1:11" x14ac:dyDescent="0.25">
      <c r="A102" s="1973"/>
      <c r="B102" s="19" t="s">
        <v>34</v>
      </c>
      <c r="C102" s="22"/>
      <c r="D102" s="640">
        <v>14</v>
      </c>
      <c r="E102" s="625">
        <v>0</v>
      </c>
      <c r="F102" s="625">
        <v>0</v>
      </c>
      <c r="G102" s="21">
        <f t="shared" si="9"/>
        <v>14</v>
      </c>
      <c r="H102" s="640">
        <v>14</v>
      </c>
      <c r="I102" s="625">
        <v>0</v>
      </c>
      <c r="J102" s="625">
        <v>0</v>
      </c>
      <c r="K102" s="21">
        <f t="shared" si="10"/>
        <v>14</v>
      </c>
    </row>
    <row r="103" spans="1:11" x14ac:dyDescent="0.25">
      <c r="A103" s="1922"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922"/>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74"/>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30" t="str">
        <f>'Служебный АСУТП'!W2</f>
        <v>DCAP/DAG «СПЕКТР»</v>
      </c>
      <c r="E1" s="1931"/>
      <c r="F1" s="1931"/>
      <c r="G1" s="1932"/>
      <c r="H1" s="1930" t="str">
        <f>'Служебный АСУТП'!W3</f>
        <v>Solar DAG</v>
      </c>
      <c r="I1" s="1931"/>
      <c r="J1" s="1931"/>
      <c r="K1" s="1932"/>
      <c r="L1" s="1930" t="str">
        <f>'Служебный АСУТП'!W4</f>
        <v>Makves DCAP</v>
      </c>
      <c r="M1" s="1931"/>
      <c r="N1" s="1931"/>
      <c r="O1" s="1932"/>
    </row>
    <row r="2" spans="1:15" ht="15.75" x14ac:dyDescent="0.25">
      <c r="B2" s="41" t="s">
        <v>37</v>
      </c>
      <c r="C2" s="1940" t="s">
        <v>35</v>
      </c>
      <c r="D2" s="439" t="s">
        <v>440</v>
      </c>
      <c r="E2" s="191" t="s">
        <v>570</v>
      </c>
      <c r="F2" s="191" t="s">
        <v>441</v>
      </c>
      <c r="G2" s="1933" t="s">
        <v>38</v>
      </c>
      <c r="H2" s="439" t="s">
        <v>440</v>
      </c>
      <c r="I2" s="191" t="s">
        <v>570</v>
      </c>
      <c r="J2" s="191" t="s">
        <v>441</v>
      </c>
      <c r="K2" s="1933" t="s">
        <v>38</v>
      </c>
      <c r="L2" s="439" t="s">
        <v>440</v>
      </c>
      <c r="M2" s="191" t="s">
        <v>570</v>
      </c>
      <c r="N2" s="191" t="s">
        <v>441</v>
      </c>
      <c r="O2" s="1933" t="s">
        <v>38</v>
      </c>
    </row>
    <row r="3" spans="1:15"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row>
    <row r="4" spans="1:15" ht="16.5" thickBot="1" x14ac:dyDescent="0.3">
      <c r="A4" s="326" t="s">
        <v>448</v>
      </c>
      <c r="B4" s="327"/>
      <c r="C4" s="327"/>
      <c r="D4" s="327"/>
      <c r="E4" s="327"/>
      <c r="F4" s="327"/>
      <c r="G4" s="327"/>
      <c r="H4" s="327"/>
      <c r="I4" s="327"/>
      <c r="J4" s="327"/>
      <c r="K4" s="327"/>
      <c r="L4" s="327"/>
      <c r="M4" s="327"/>
      <c r="N4" s="327"/>
      <c r="O4" s="396"/>
    </row>
    <row r="5" spans="1:15" x14ac:dyDescent="0.25">
      <c r="A5" s="1987"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35"/>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35"/>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42"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42"/>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43"/>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310"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42"/>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42"/>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38"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38"/>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38"/>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38"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38"/>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38"/>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38"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38"/>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38"/>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38"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38"/>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38"/>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38"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38"/>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38"/>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38"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38"/>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38"/>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38"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38"/>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36"/>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42"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42"/>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42"/>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42"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42"/>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42"/>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35"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35"/>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35"/>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35"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35"/>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35"/>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35"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35"/>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35"/>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35"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35"/>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35"/>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35"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35"/>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35"/>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35"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35"/>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35"/>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35"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35"/>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35"/>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35"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35"/>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35"/>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45"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45"/>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45"/>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35"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35"/>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35"/>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35"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5"/>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5"/>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5"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35"/>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35"/>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35"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35"/>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35"/>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44"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44"/>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44"/>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42"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42"/>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42"/>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35"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35"/>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35"/>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35"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35"/>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35"/>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35"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35"/>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35"/>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35"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35"/>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35"/>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42"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42"/>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43"/>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30" t="str">
        <f>'Служебный АСУТП'!Y2</f>
        <v>Kaspersky Industrial CyberSecurity for Networks</v>
      </c>
      <c r="E1" s="1931"/>
      <c r="F1" s="1931"/>
      <c r="G1" s="1932"/>
      <c r="H1" s="1930" t="str">
        <f>'Служебный АСУТП'!Y3</f>
        <v>PT ISIM</v>
      </c>
      <c r="I1" s="1931"/>
      <c r="J1" s="1931"/>
      <c r="K1" s="1932"/>
      <c r="L1" s="1930" t="str">
        <f>'Служебный АСУТП'!Y4</f>
        <v>PT NAD</v>
      </c>
      <c r="M1" s="1931"/>
      <c r="N1" s="1931"/>
      <c r="O1" s="1932"/>
      <c r="P1" s="1930" t="str">
        <f>'Служебный АСУТП'!Y5</f>
        <v>Гарда Монитор</v>
      </c>
      <c r="Q1" s="1931"/>
      <c r="R1" s="1931"/>
      <c r="S1" s="1932"/>
    </row>
    <row r="2" spans="1:19" ht="15" customHeight="1" x14ac:dyDescent="0.25">
      <c r="B2" s="41" t="s">
        <v>37</v>
      </c>
      <c r="C2" s="1940" t="s">
        <v>35</v>
      </c>
      <c r="D2" s="684" t="s">
        <v>583</v>
      </c>
      <c r="E2" s="548" t="s">
        <v>584</v>
      </c>
      <c r="F2" s="548" t="s">
        <v>442</v>
      </c>
      <c r="G2" s="1933" t="s">
        <v>38</v>
      </c>
      <c r="H2" s="684" t="s">
        <v>583</v>
      </c>
      <c r="I2" s="548" t="s">
        <v>584</v>
      </c>
      <c r="J2" s="548" t="s">
        <v>442</v>
      </c>
      <c r="K2" s="1933" t="s">
        <v>38</v>
      </c>
      <c r="L2" s="684" t="s">
        <v>583</v>
      </c>
      <c r="M2" s="548" t="s">
        <v>584</v>
      </c>
      <c r="N2" s="548" t="s">
        <v>442</v>
      </c>
      <c r="O2" s="1933" t="s">
        <v>38</v>
      </c>
      <c r="P2" s="684" t="s">
        <v>583</v>
      </c>
      <c r="Q2" s="548" t="s">
        <v>584</v>
      </c>
      <c r="R2" s="548" t="s">
        <v>442</v>
      </c>
      <c r="S2" s="1933" t="s">
        <v>38</v>
      </c>
    </row>
    <row r="3" spans="1:19"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c r="P3" s="37">
        <f>INDEX(ТрЗ_ОП!$P$11:$P$102,MATCH(P2,ТрЗ_ОП!$O$11:$O$102,0))</f>
        <v>0</v>
      </c>
      <c r="Q3" s="37">
        <f>INDEX(ТрЗ_ОП!$P$11:$P$102,MATCH(Q2,ТрЗ_ОП!$O$11:$O$102,0))</f>
        <v>0</v>
      </c>
      <c r="R3" s="37">
        <f>INDEX(ТрЗ_ОП!$P$11:$P$102,MATCH(R2,ТрЗ_ОП!$O$11:$O$102,0))</f>
        <v>0</v>
      </c>
      <c r="S3" s="1933"/>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81"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42"/>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75"/>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42"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42"/>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42"/>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2"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42"/>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42"/>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9"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38"/>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38"/>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38"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38"/>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38"/>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38"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38"/>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38"/>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38"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38"/>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38"/>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38"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38"/>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38"/>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38"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38"/>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38"/>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38"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38"/>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36"/>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2"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42"/>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42"/>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2"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42"/>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42"/>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35"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35"/>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35"/>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35"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35"/>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35"/>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35"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35"/>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35"/>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35"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35"/>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35"/>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35"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35"/>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35"/>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35"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35"/>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35"/>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35"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35"/>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35"/>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35"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35"/>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35"/>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45"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45"/>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45"/>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35"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35"/>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35"/>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35"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35"/>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35"/>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35"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35"/>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35"/>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35"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35"/>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35"/>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44"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44"/>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44"/>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42"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42"/>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42"/>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35"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35"/>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35"/>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35"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35"/>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35"/>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35"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35"/>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35"/>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35"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35"/>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35"/>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42"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42"/>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43"/>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30" t="str">
        <f>'Служебный АСУТП'!Z2</f>
        <v>Kaspersky Secure Mail Gateway</v>
      </c>
      <c r="E1" s="1931"/>
      <c r="F1" s="1931"/>
      <c r="G1" s="1932"/>
    </row>
    <row r="2" spans="1:7" ht="15.75" x14ac:dyDescent="0.25">
      <c r="B2" s="41" t="s">
        <v>37</v>
      </c>
      <c r="C2" s="1940" t="s">
        <v>35</v>
      </c>
      <c r="D2" s="439" t="s">
        <v>443</v>
      </c>
      <c r="E2" s="191" t="s">
        <v>571</v>
      </c>
      <c r="F2" s="546" t="s">
        <v>444</v>
      </c>
      <c r="G2" s="2324" t="s">
        <v>38</v>
      </c>
    </row>
    <row r="3" spans="1:7" ht="16.5" thickBot="1" x14ac:dyDescent="0.3">
      <c r="A3" s="12" t="s">
        <v>36</v>
      </c>
      <c r="B3" s="295">
        <f>ТрЗ_ОП!F5</f>
        <v>1</v>
      </c>
      <c r="C3" s="1941"/>
      <c r="D3" s="37">
        <f>INDEX(ТрЗ_ОП!$P$11:$P$102,MATCH(D2,ТрЗ_ОП!$O$11:$O$102,0))</f>
        <v>0</v>
      </c>
      <c r="E3" s="37">
        <f>INDEX(ТрЗ_ОП!$P$11:$P$102,MATCH(E2,ТрЗ_ОП!$O$11:$O$102,0))</f>
        <v>0</v>
      </c>
      <c r="F3" s="264">
        <f>INDEX(ТрЗ_ОП!$P$11:$P$102,MATCH(F2,ТрЗ_ОП!$O$11:$O$102,0))</f>
        <v>0</v>
      </c>
      <c r="G3" s="2322"/>
    </row>
    <row r="4" spans="1:7" ht="16.5" thickBot="1" x14ac:dyDescent="0.3">
      <c r="A4" s="326" t="s">
        <v>448</v>
      </c>
      <c r="B4" s="327"/>
      <c r="C4" s="327"/>
      <c r="D4" s="327"/>
      <c r="E4" s="327"/>
      <c r="F4" s="327"/>
      <c r="G4" s="396"/>
    </row>
    <row r="5" spans="1:7" x14ac:dyDescent="0.25">
      <c r="A5" s="2325" t="s">
        <v>0</v>
      </c>
      <c r="B5" s="404" t="s">
        <v>32</v>
      </c>
      <c r="C5" s="324"/>
      <c r="D5" s="405">
        <v>2</v>
      </c>
      <c r="E5" s="405">
        <v>0.5</v>
      </c>
      <c r="F5" s="405">
        <v>0</v>
      </c>
      <c r="G5" s="230">
        <f xml:space="preserve"> SUM(D5:F5) + $C5</f>
        <v>2.5</v>
      </c>
    </row>
    <row r="6" spans="1:7" x14ac:dyDescent="0.25">
      <c r="A6" s="1937"/>
      <c r="B6" s="19" t="s">
        <v>33</v>
      </c>
      <c r="C6" s="22"/>
      <c r="D6" s="11">
        <v>4</v>
      </c>
      <c r="E6" s="11">
        <v>0.5</v>
      </c>
      <c r="F6" s="11">
        <v>0</v>
      </c>
      <c r="G6" s="21">
        <f xml:space="preserve"> SUM(D6:F6) + $C6</f>
        <v>4.5</v>
      </c>
    </row>
    <row r="7" spans="1:7" x14ac:dyDescent="0.25">
      <c r="A7" s="1939"/>
      <c r="B7" s="13" t="s">
        <v>34</v>
      </c>
      <c r="C7" s="34"/>
      <c r="D7" s="11">
        <v>8</v>
      </c>
      <c r="E7" s="11">
        <v>0.5</v>
      </c>
      <c r="F7" s="222">
        <v>0</v>
      </c>
      <c r="G7" s="77">
        <f xml:space="preserve"> SUM(D7:F7) + $C7</f>
        <v>8.5</v>
      </c>
    </row>
    <row r="8" spans="1:7" x14ac:dyDescent="0.25">
      <c r="A8" s="1942" t="s">
        <v>449</v>
      </c>
      <c r="B8" s="404" t="s">
        <v>32</v>
      </c>
      <c r="C8" s="324"/>
      <c r="D8" s="405">
        <v>2</v>
      </c>
      <c r="E8" s="405">
        <v>0.5</v>
      </c>
      <c r="F8" s="405">
        <v>0</v>
      </c>
      <c r="G8" s="230">
        <f xml:space="preserve"> SUM(D8:F8) + $C8</f>
        <v>2.5</v>
      </c>
    </row>
    <row r="9" spans="1:7" x14ac:dyDescent="0.25">
      <c r="A9" s="1942"/>
      <c r="B9" s="19" t="s">
        <v>33</v>
      </c>
      <c r="C9" s="22"/>
      <c r="D9" s="11">
        <v>4</v>
      </c>
      <c r="E9" s="11">
        <v>0.5</v>
      </c>
      <c r="F9" s="11">
        <v>0</v>
      </c>
      <c r="G9" s="21">
        <f t="shared" ref="G9:G93" si="0" xml:space="preserve"> SUM(D9:F9) + $C9</f>
        <v>4.5</v>
      </c>
    </row>
    <row r="10" spans="1:7" ht="15.75" thickBot="1" x14ac:dyDescent="0.3">
      <c r="A10" s="1942"/>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42" t="s">
        <v>2</v>
      </c>
      <c r="B12" s="404" t="s">
        <v>32</v>
      </c>
      <c r="C12" s="324"/>
      <c r="D12" s="423">
        <f>D22*0.7</f>
        <v>5.6</v>
      </c>
      <c r="E12" s="423">
        <f>E$22*0.7</f>
        <v>0</v>
      </c>
      <c r="F12" s="405">
        <f>F22*0.7</f>
        <v>0</v>
      </c>
      <c r="G12" s="230">
        <f t="shared" si="0"/>
        <v>5.6</v>
      </c>
    </row>
    <row r="13" spans="1:7" x14ac:dyDescent="0.25">
      <c r="A13" s="1942"/>
      <c r="B13" s="19" t="s">
        <v>33</v>
      </c>
      <c r="C13" s="22"/>
      <c r="D13" s="123">
        <f>D23*0.7</f>
        <v>8.3999999999999986</v>
      </c>
      <c r="E13" s="123">
        <f>E$23*0.7</f>
        <v>0</v>
      </c>
      <c r="F13" s="11">
        <f>F23*0.7</f>
        <v>0</v>
      </c>
      <c r="G13" s="21">
        <f t="shared" si="0"/>
        <v>8.3999999999999986</v>
      </c>
    </row>
    <row r="14" spans="1:7" ht="15.75" thickBot="1" x14ac:dyDescent="0.3">
      <c r="A14" s="1942"/>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39" t="s">
        <v>4</v>
      </c>
      <c r="B16" s="325" t="s">
        <v>32</v>
      </c>
      <c r="C16" s="324"/>
      <c r="D16" s="427">
        <v>0.25</v>
      </c>
      <c r="E16" s="540">
        <v>0</v>
      </c>
      <c r="F16" s="428">
        <v>0</v>
      </c>
      <c r="G16" s="230">
        <f t="shared" si="0"/>
        <v>0.25</v>
      </c>
    </row>
    <row r="17" spans="1:7" x14ac:dyDescent="0.25">
      <c r="A17" s="1938"/>
      <c r="B17" s="18" t="s">
        <v>33</v>
      </c>
      <c r="C17" s="22"/>
      <c r="D17" s="427">
        <v>0.25</v>
      </c>
      <c r="E17" s="15">
        <v>0</v>
      </c>
      <c r="F17" s="33">
        <v>0</v>
      </c>
      <c r="G17" s="21">
        <f t="shared" si="0"/>
        <v>0.25</v>
      </c>
    </row>
    <row r="18" spans="1:7" x14ac:dyDescent="0.25">
      <c r="A18" s="1938"/>
      <c r="B18" s="18" t="s">
        <v>34</v>
      </c>
      <c r="C18" s="22"/>
      <c r="D18" s="427">
        <v>0.25</v>
      </c>
      <c r="E18" s="15">
        <v>0</v>
      </c>
      <c r="F18" s="33">
        <v>0</v>
      </c>
      <c r="G18" s="21">
        <f t="shared" si="0"/>
        <v>0.25</v>
      </c>
    </row>
    <row r="19" spans="1:7" x14ac:dyDescent="0.25">
      <c r="A19" s="1938" t="s">
        <v>5</v>
      </c>
      <c r="B19" s="19" t="s">
        <v>32</v>
      </c>
      <c r="C19" s="22"/>
      <c r="D19" s="38">
        <v>1</v>
      </c>
      <c r="E19" s="15">
        <v>0</v>
      </c>
      <c r="F19" s="33">
        <v>0</v>
      </c>
      <c r="G19" s="21">
        <f t="shared" si="0"/>
        <v>1</v>
      </c>
    </row>
    <row r="20" spans="1:7" x14ac:dyDescent="0.25">
      <c r="A20" s="1938"/>
      <c r="B20" s="19" t="s">
        <v>33</v>
      </c>
      <c r="C20" s="22"/>
      <c r="D20" s="38">
        <v>2</v>
      </c>
      <c r="E20" s="15">
        <v>0</v>
      </c>
      <c r="F20" s="33">
        <v>0</v>
      </c>
      <c r="G20" s="21">
        <f t="shared" si="0"/>
        <v>2</v>
      </c>
    </row>
    <row r="21" spans="1:7" x14ac:dyDescent="0.25">
      <c r="A21" s="1938"/>
      <c r="B21" s="19" t="s">
        <v>34</v>
      </c>
      <c r="C21" s="22"/>
      <c r="D21" s="38">
        <v>3</v>
      </c>
      <c r="E21" s="15">
        <v>0</v>
      </c>
      <c r="F21" s="33">
        <v>0</v>
      </c>
      <c r="G21" s="21">
        <f t="shared" si="0"/>
        <v>3</v>
      </c>
    </row>
    <row r="22" spans="1:7" x14ac:dyDescent="0.25">
      <c r="A22" s="1938" t="s">
        <v>6</v>
      </c>
      <c r="B22" s="19" t="s">
        <v>32</v>
      </c>
      <c r="C22" s="22"/>
      <c r="D22" s="11">
        <v>8</v>
      </c>
      <c r="E22" s="123">
        <f>2*E$3</f>
        <v>0</v>
      </c>
      <c r="F22" s="11">
        <v>0</v>
      </c>
      <c r="G22" s="21">
        <f t="shared" si="0"/>
        <v>8</v>
      </c>
    </row>
    <row r="23" spans="1:7" x14ac:dyDescent="0.25">
      <c r="A23" s="1938"/>
      <c r="B23" s="19" t="s">
        <v>33</v>
      </c>
      <c r="C23" s="22"/>
      <c r="D23" s="11">
        <v>12</v>
      </c>
      <c r="E23" s="123">
        <f>2*E$3</f>
        <v>0</v>
      </c>
      <c r="F23" s="11">
        <v>0</v>
      </c>
      <c r="G23" s="21">
        <f t="shared" si="0"/>
        <v>12</v>
      </c>
    </row>
    <row r="24" spans="1:7" x14ac:dyDescent="0.25">
      <c r="A24" s="1938"/>
      <c r="B24" s="19" t="s">
        <v>34</v>
      </c>
      <c r="C24" s="22"/>
      <c r="D24" s="11">
        <v>14</v>
      </c>
      <c r="E24" s="123">
        <f>2*E$3</f>
        <v>0</v>
      </c>
      <c r="F24" s="11">
        <v>0</v>
      </c>
      <c r="G24" s="21">
        <f t="shared" si="0"/>
        <v>14</v>
      </c>
    </row>
    <row r="25" spans="1:7" x14ac:dyDescent="0.25">
      <c r="A25" s="1938" t="s">
        <v>7</v>
      </c>
      <c r="B25" s="19" t="s">
        <v>32</v>
      </c>
      <c r="C25" s="22"/>
      <c r="D25" s="38">
        <v>4</v>
      </c>
      <c r="E25" s="15">
        <v>0</v>
      </c>
      <c r="F25" s="33">
        <v>0</v>
      </c>
      <c r="G25" s="21">
        <f t="shared" si="0"/>
        <v>4</v>
      </c>
    </row>
    <row r="26" spans="1:7" x14ac:dyDescent="0.25">
      <c r="A26" s="1938"/>
      <c r="B26" s="19" t="s">
        <v>33</v>
      </c>
      <c r="C26" s="22"/>
      <c r="D26" s="38">
        <v>6</v>
      </c>
      <c r="E26" s="15">
        <v>0</v>
      </c>
      <c r="F26" s="33">
        <v>0</v>
      </c>
      <c r="G26" s="21">
        <f t="shared" si="0"/>
        <v>6</v>
      </c>
    </row>
    <row r="27" spans="1:7" x14ac:dyDescent="0.25">
      <c r="A27" s="1938"/>
      <c r="B27" s="19" t="s">
        <v>34</v>
      </c>
      <c r="C27" s="22"/>
      <c r="D27" s="38">
        <v>8</v>
      </c>
      <c r="E27" s="15">
        <v>0</v>
      </c>
      <c r="F27" s="33">
        <v>0</v>
      </c>
      <c r="G27" s="21">
        <f t="shared" si="0"/>
        <v>8</v>
      </c>
    </row>
    <row r="28" spans="1:7" x14ac:dyDescent="0.25">
      <c r="A28" s="1938" t="s">
        <v>8</v>
      </c>
      <c r="B28" s="19" t="s">
        <v>32</v>
      </c>
      <c r="C28" s="22"/>
      <c r="D28" s="38">
        <v>3</v>
      </c>
      <c r="E28" s="15">
        <v>0</v>
      </c>
      <c r="F28" s="33">
        <v>0</v>
      </c>
      <c r="G28" s="21">
        <f t="shared" si="0"/>
        <v>3</v>
      </c>
    </row>
    <row r="29" spans="1:7" x14ac:dyDescent="0.25">
      <c r="A29" s="1938"/>
      <c r="B29" s="19" t="s">
        <v>33</v>
      </c>
      <c r="C29" s="22"/>
      <c r="D29" s="38">
        <v>4</v>
      </c>
      <c r="E29" s="15">
        <v>0</v>
      </c>
      <c r="F29" s="33">
        <v>0</v>
      </c>
      <c r="G29" s="21">
        <f t="shared" si="0"/>
        <v>4</v>
      </c>
    </row>
    <row r="30" spans="1:7" x14ac:dyDescent="0.25">
      <c r="A30" s="1938"/>
      <c r="B30" s="19" t="s">
        <v>34</v>
      </c>
      <c r="C30" s="22"/>
      <c r="D30" s="38">
        <v>6</v>
      </c>
      <c r="E30" s="15">
        <v>0</v>
      </c>
      <c r="F30" s="33">
        <v>0</v>
      </c>
      <c r="G30" s="21">
        <f t="shared" si="0"/>
        <v>6</v>
      </c>
    </row>
    <row r="31" spans="1:7" x14ac:dyDescent="0.25">
      <c r="A31" s="1938" t="s">
        <v>9</v>
      </c>
      <c r="B31" s="19" t="s">
        <v>32</v>
      </c>
      <c r="C31" s="22"/>
      <c r="D31" s="124">
        <f>1+(0.5*D$3)</f>
        <v>1</v>
      </c>
      <c r="E31" s="15">
        <v>0</v>
      </c>
      <c r="F31" s="15">
        <v>0</v>
      </c>
      <c r="G31" s="21">
        <f t="shared" si="0"/>
        <v>1</v>
      </c>
    </row>
    <row r="32" spans="1:7" x14ac:dyDescent="0.25">
      <c r="A32" s="1938"/>
      <c r="B32" s="19" t="s">
        <v>33</v>
      </c>
      <c r="C32" s="22"/>
      <c r="D32" s="124">
        <f>3+(0.5*D$3)</f>
        <v>3</v>
      </c>
      <c r="E32" s="15">
        <v>0</v>
      </c>
      <c r="F32" s="15">
        <v>0</v>
      </c>
      <c r="G32" s="21">
        <f t="shared" si="0"/>
        <v>3</v>
      </c>
    </row>
    <row r="33" spans="1:7" x14ac:dyDescent="0.25">
      <c r="A33" s="1938"/>
      <c r="B33" s="19" t="s">
        <v>34</v>
      </c>
      <c r="C33" s="22"/>
      <c r="D33" s="124">
        <f>5+(0.5*D$3)</f>
        <v>5</v>
      </c>
      <c r="E33" s="15">
        <v>0</v>
      </c>
      <c r="F33" s="15">
        <v>0</v>
      </c>
      <c r="G33" s="21">
        <f t="shared" si="0"/>
        <v>5</v>
      </c>
    </row>
    <row r="34" spans="1:7" x14ac:dyDescent="0.25">
      <c r="A34" s="1938" t="s">
        <v>10</v>
      </c>
      <c r="B34" s="19" t="s">
        <v>32</v>
      </c>
      <c r="C34" s="22"/>
      <c r="D34" s="38">
        <v>2</v>
      </c>
      <c r="E34" s="15">
        <v>0</v>
      </c>
      <c r="F34" s="15">
        <v>0</v>
      </c>
      <c r="G34" s="21">
        <f t="shared" si="0"/>
        <v>2</v>
      </c>
    </row>
    <row r="35" spans="1:7" x14ac:dyDescent="0.25">
      <c r="A35" s="1938"/>
      <c r="B35" s="19" t="s">
        <v>33</v>
      </c>
      <c r="C35" s="22"/>
      <c r="D35" s="38">
        <v>2</v>
      </c>
      <c r="E35" s="15">
        <v>0</v>
      </c>
      <c r="F35" s="15">
        <v>0</v>
      </c>
      <c r="G35" s="21">
        <f t="shared" si="0"/>
        <v>2</v>
      </c>
    </row>
    <row r="36" spans="1:7" ht="15.75" thickBot="1" x14ac:dyDescent="0.3">
      <c r="A36" s="1936"/>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42" t="s">
        <v>12</v>
      </c>
      <c r="B38" s="404" t="s">
        <v>32</v>
      </c>
      <c r="C38" s="324"/>
      <c r="D38" s="405">
        <v>8</v>
      </c>
      <c r="E38" s="423">
        <f>2*E$3</f>
        <v>0</v>
      </c>
      <c r="F38" s="405">
        <v>0</v>
      </c>
      <c r="G38" s="230">
        <f t="shared" si="0"/>
        <v>8</v>
      </c>
    </row>
    <row r="39" spans="1:7" x14ac:dyDescent="0.25">
      <c r="A39" s="1942"/>
      <c r="B39" s="19" t="s">
        <v>33</v>
      </c>
      <c r="C39" s="22"/>
      <c r="D39" s="11">
        <v>12</v>
      </c>
      <c r="E39" s="423">
        <f>2*E$3</f>
        <v>0</v>
      </c>
      <c r="F39" s="11">
        <v>0</v>
      </c>
      <c r="G39" s="21">
        <f t="shared" si="0"/>
        <v>12</v>
      </c>
    </row>
    <row r="40" spans="1:7" ht="15.75" thickBot="1" x14ac:dyDescent="0.3">
      <c r="A40" s="1942"/>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42" t="s">
        <v>14</v>
      </c>
      <c r="B42" s="404" t="s">
        <v>32</v>
      </c>
      <c r="C42" s="324"/>
      <c r="D42" s="38">
        <v>1</v>
      </c>
      <c r="E42" s="15">
        <v>0</v>
      </c>
      <c r="F42" s="33">
        <v>0</v>
      </c>
      <c r="G42" s="230">
        <f t="shared" si="0"/>
        <v>1</v>
      </c>
    </row>
    <row r="43" spans="1:7" x14ac:dyDescent="0.25">
      <c r="A43" s="1942"/>
      <c r="B43" s="19" t="s">
        <v>33</v>
      </c>
      <c r="C43" s="22"/>
      <c r="D43" s="38">
        <v>2</v>
      </c>
      <c r="E43" s="15">
        <v>0</v>
      </c>
      <c r="F43" s="33">
        <v>0</v>
      </c>
      <c r="G43" s="21">
        <f t="shared" si="0"/>
        <v>2</v>
      </c>
    </row>
    <row r="44" spans="1:7" x14ac:dyDescent="0.25">
      <c r="A44" s="1942"/>
      <c r="B44" s="19" t="s">
        <v>34</v>
      </c>
      <c r="C44" s="22"/>
      <c r="D44" s="38">
        <v>3</v>
      </c>
      <c r="E44" s="15">
        <v>0</v>
      </c>
      <c r="F44" s="33">
        <v>0</v>
      </c>
      <c r="G44" s="21">
        <f t="shared" si="0"/>
        <v>3</v>
      </c>
    </row>
    <row r="45" spans="1:7" x14ac:dyDescent="0.25">
      <c r="A45" s="1935" t="s">
        <v>15</v>
      </c>
      <c r="B45" s="19" t="s">
        <v>32</v>
      </c>
      <c r="C45" s="22"/>
      <c r="D45" s="38">
        <v>8</v>
      </c>
      <c r="E45" s="423">
        <f>4*E$3</f>
        <v>0</v>
      </c>
      <c r="F45" s="15">
        <v>0</v>
      </c>
      <c r="G45" s="21">
        <f t="shared" si="0"/>
        <v>8</v>
      </c>
    </row>
    <row r="46" spans="1:7" x14ac:dyDescent="0.25">
      <c r="A46" s="1935"/>
      <c r="B46" s="19" t="s">
        <v>33</v>
      </c>
      <c r="C46" s="22"/>
      <c r="D46" s="38">
        <v>16</v>
      </c>
      <c r="E46" s="423">
        <f>4*E$3</f>
        <v>0</v>
      </c>
      <c r="F46" s="15">
        <v>0</v>
      </c>
      <c r="G46" s="21">
        <f t="shared" si="0"/>
        <v>16</v>
      </c>
    </row>
    <row r="47" spans="1:7" x14ac:dyDescent="0.25">
      <c r="A47" s="1935"/>
      <c r="B47" s="19" t="s">
        <v>34</v>
      </c>
      <c r="C47" s="22"/>
      <c r="D47" s="38">
        <v>24</v>
      </c>
      <c r="E47" s="423">
        <f>4*E$3</f>
        <v>0</v>
      </c>
      <c r="F47" s="15">
        <v>0</v>
      </c>
      <c r="G47" s="21">
        <f t="shared" si="0"/>
        <v>24</v>
      </c>
    </row>
    <row r="48" spans="1:7" x14ac:dyDescent="0.25">
      <c r="A48" s="1935" t="s">
        <v>16</v>
      </c>
      <c r="B48" s="19" t="s">
        <v>32</v>
      </c>
      <c r="C48" s="22"/>
      <c r="D48" s="124">
        <f>1*D$3+(0.5*E$3)</f>
        <v>0</v>
      </c>
      <c r="E48" s="15">
        <v>0</v>
      </c>
      <c r="F48" s="33">
        <v>0</v>
      </c>
      <c r="G48" s="21">
        <f t="shared" si="0"/>
        <v>0</v>
      </c>
    </row>
    <row r="49" spans="1:7" x14ac:dyDescent="0.25">
      <c r="A49" s="1935"/>
      <c r="B49" s="19" t="s">
        <v>33</v>
      </c>
      <c r="C49" s="22"/>
      <c r="D49" s="124">
        <f>1*D$3+(0.5*E$3)</f>
        <v>0</v>
      </c>
      <c r="E49" s="15">
        <v>0</v>
      </c>
      <c r="F49" s="33">
        <v>0</v>
      </c>
      <c r="G49" s="21">
        <f t="shared" si="0"/>
        <v>0</v>
      </c>
    </row>
    <row r="50" spans="1:7" x14ac:dyDescent="0.25">
      <c r="A50" s="1935"/>
      <c r="B50" s="19" t="s">
        <v>34</v>
      </c>
      <c r="C50" s="22"/>
      <c r="D50" s="124">
        <f>2*D$3+(0.5*E$3)</f>
        <v>0</v>
      </c>
      <c r="E50" s="15">
        <v>0</v>
      </c>
      <c r="F50" s="33">
        <v>0</v>
      </c>
      <c r="G50" s="21">
        <f t="shared" si="0"/>
        <v>0</v>
      </c>
    </row>
    <row r="51" spans="1:7" x14ac:dyDescent="0.25">
      <c r="A51" s="1935" t="s">
        <v>17</v>
      </c>
      <c r="B51" s="19" t="s">
        <v>32</v>
      </c>
      <c r="C51" s="22"/>
      <c r="D51" s="124">
        <f>1*D$3+(0.5*E$3)</f>
        <v>0</v>
      </c>
      <c r="E51" s="15">
        <v>0</v>
      </c>
      <c r="F51" s="15">
        <v>0</v>
      </c>
      <c r="G51" s="21">
        <f t="shared" si="0"/>
        <v>0</v>
      </c>
    </row>
    <row r="52" spans="1:7" x14ac:dyDescent="0.25">
      <c r="A52" s="1935"/>
      <c r="B52" s="19" t="s">
        <v>33</v>
      </c>
      <c r="C52" s="22"/>
      <c r="D52" s="124">
        <f>1*D$3+(0.5*E$3)</f>
        <v>0</v>
      </c>
      <c r="E52" s="15">
        <v>0</v>
      </c>
      <c r="F52" s="15">
        <v>0</v>
      </c>
      <c r="G52" s="21">
        <f t="shared" si="0"/>
        <v>0</v>
      </c>
    </row>
    <row r="53" spans="1:7" x14ac:dyDescent="0.25">
      <c r="A53" s="1935"/>
      <c r="B53" s="19" t="s">
        <v>34</v>
      </c>
      <c r="C53" s="22"/>
      <c r="D53" s="124">
        <f>2*D$3+(0.5*E$3)</f>
        <v>0</v>
      </c>
      <c r="E53" s="15">
        <v>0</v>
      </c>
      <c r="F53" s="15">
        <v>0</v>
      </c>
      <c r="G53" s="21">
        <f t="shared" si="0"/>
        <v>0</v>
      </c>
    </row>
    <row r="54" spans="1:7" x14ac:dyDescent="0.25">
      <c r="A54" s="1935" t="s">
        <v>18</v>
      </c>
      <c r="B54" s="19" t="s">
        <v>32</v>
      </c>
      <c r="C54" s="22"/>
      <c r="D54" s="124">
        <f>1*D$3</f>
        <v>0</v>
      </c>
      <c r="E54" s="15">
        <v>0</v>
      </c>
      <c r="F54" s="15">
        <v>0</v>
      </c>
      <c r="G54" s="21">
        <f t="shared" si="0"/>
        <v>0</v>
      </c>
    </row>
    <row r="55" spans="1:7" x14ac:dyDescent="0.25">
      <c r="A55" s="1935"/>
      <c r="B55" s="19" t="s">
        <v>33</v>
      </c>
      <c r="C55" s="22"/>
      <c r="D55" s="124">
        <f>1*D$3</f>
        <v>0</v>
      </c>
      <c r="E55" s="15">
        <v>0</v>
      </c>
      <c r="F55" s="15">
        <v>0</v>
      </c>
      <c r="G55" s="21">
        <f t="shared" si="0"/>
        <v>0</v>
      </c>
    </row>
    <row r="56" spans="1:7" x14ac:dyDescent="0.25">
      <c r="A56" s="1935"/>
      <c r="B56" s="19" t="s">
        <v>34</v>
      </c>
      <c r="C56" s="22"/>
      <c r="D56" s="124">
        <f>1*D$3</f>
        <v>0</v>
      </c>
      <c r="E56" s="15">
        <v>0</v>
      </c>
      <c r="F56" s="15">
        <v>0</v>
      </c>
      <c r="G56" s="21">
        <f t="shared" si="0"/>
        <v>0</v>
      </c>
    </row>
    <row r="57" spans="1:7" x14ac:dyDescent="0.25">
      <c r="A57" s="1935" t="s">
        <v>19</v>
      </c>
      <c r="B57" s="19" t="s">
        <v>32</v>
      </c>
      <c r="C57" s="22"/>
      <c r="D57" s="38">
        <v>2</v>
      </c>
      <c r="E57" s="15">
        <v>0</v>
      </c>
      <c r="F57" s="15">
        <v>0</v>
      </c>
      <c r="G57" s="21">
        <f t="shared" si="0"/>
        <v>2</v>
      </c>
    </row>
    <row r="58" spans="1:7" x14ac:dyDescent="0.25">
      <c r="A58" s="1935"/>
      <c r="B58" s="19" t="s">
        <v>33</v>
      </c>
      <c r="C58" s="22"/>
      <c r="D58" s="38">
        <v>4</v>
      </c>
      <c r="E58" s="15">
        <v>0</v>
      </c>
      <c r="F58" s="15">
        <v>0</v>
      </c>
      <c r="G58" s="21">
        <f t="shared" si="0"/>
        <v>4</v>
      </c>
    </row>
    <row r="59" spans="1:7" x14ac:dyDescent="0.25">
      <c r="A59" s="1935"/>
      <c r="B59" s="19" t="s">
        <v>34</v>
      </c>
      <c r="C59" s="22"/>
      <c r="D59" s="38">
        <v>6</v>
      </c>
      <c r="E59" s="15">
        <v>0</v>
      </c>
      <c r="F59" s="15">
        <v>0</v>
      </c>
      <c r="G59" s="21">
        <f t="shared" si="0"/>
        <v>6</v>
      </c>
    </row>
    <row r="60" spans="1:7" x14ac:dyDescent="0.25">
      <c r="A60" s="1935" t="s">
        <v>20</v>
      </c>
      <c r="B60" s="19" t="s">
        <v>32</v>
      </c>
      <c r="C60" s="22"/>
      <c r="D60" s="38">
        <v>8</v>
      </c>
      <c r="E60" s="123">
        <f>2*E$3</f>
        <v>0</v>
      </c>
      <c r="F60" s="33">
        <v>0</v>
      </c>
      <c r="G60" s="21">
        <f t="shared" si="0"/>
        <v>8</v>
      </c>
    </row>
    <row r="61" spans="1:7" x14ac:dyDescent="0.25">
      <c r="A61" s="1935"/>
      <c r="B61" s="19" t="s">
        <v>33</v>
      </c>
      <c r="C61" s="22"/>
      <c r="D61" s="38">
        <v>10</v>
      </c>
      <c r="E61" s="123">
        <f>2*E$3</f>
        <v>0</v>
      </c>
      <c r="F61" s="33">
        <v>0</v>
      </c>
      <c r="G61" s="21">
        <f t="shared" si="0"/>
        <v>10</v>
      </c>
    </row>
    <row r="62" spans="1:7" x14ac:dyDescent="0.25">
      <c r="A62" s="1935"/>
      <c r="B62" s="19" t="s">
        <v>34</v>
      </c>
      <c r="C62" s="22"/>
      <c r="D62" s="38">
        <v>12</v>
      </c>
      <c r="E62" s="123">
        <f>2*E$3</f>
        <v>0</v>
      </c>
      <c r="F62" s="33">
        <v>0</v>
      </c>
      <c r="G62" s="21">
        <f t="shared" si="0"/>
        <v>12</v>
      </c>
    </row>
    <row r="63" spans="1:7" x14ac:dyDescent="0.25">
      <c r="A63" s="1935" t="s">
        <v>451</v>
      </c>
      <c r="B63" s="19" t="s">
        <v>32</v>
      </c>
      <c r="C63" s="22"/>
      <c r="D63" s="38">
        <v>8</v>
      </c>
      <c r="E63" s="475">
        <v>0</v>
      </c>
      <c r="F63" s="33">
        <v>0</v>
      </c>
      <c r="G63" s="21">
        <f t="shared" si="0"/>
        <v>8</v>
      </c>
    </row>
    <row r="64" spans="1:7" x14ac:dyDescent="0.25">
      <c r="A64" s="1935"/>
      <c r="B64" s="19" t="s">
        <v>33</v>
      </c>
      <c r="C64" s="22"/>
      <c r="D64" s="38">
        <v>8</v>
      </c>
      <c r="E64" s="475">
        <v>0</v>
      </c>
      <c r="F64" s="33">
        <v>0</v>
      </c>
      <c r="G64" s="21">
        <f t="shared" si="0"/>
        <v>8</v>
      </c>
    </row>
    <row r="65" spans="1:7" x14ac:dyDescent="0.25">
      <c r="A65" s="1935"/>
      <c r="B65" s="19" t="s">
        <v>34</v>
      </c>
      <c r="C65" s="22"/>
      <c r="D65" s="38">
        <v>8</v>
      </c>
      <c r="E65" s="475">
        <v>0</v>
      </c>
      <c r="F65" s="33">
        <v>0</v>
      </c>
      <c r="G65" s="21">
        <f t="shared" si="0"/>
        <v>8</v>
      </c>
    </row>
    <row r="66" spans="1:7" x14ac:dyDescent="0.25">
      <c r="A66" s="1935" t="s">
        <v>452</v>
      </c>
      <c r="B66" s="19" t="s">
        <v>32</v>
      </c>
      <c r="C66" s="22"/>
      <c r="D66" s="123">
        <f>IF(D$3&gt;1,8+(2*D$3)+(0.5*E$3),8)</f>
        <v>8</v>
      </c>
      <c r="E66" s="475">
        <v>0</v>
      </c>
      <c r="F66" s="33">
        <v>0</v>
      </c>
      <c r="G66" s="21">
        <f t="shared" si="0"/>
        <v>8</v>
      </c>
    </row>
    <row r="67" spans="1:7" x14ac:dyDescent="0.25">
      <c r="A67" s="1935"/>
      <c r="B67" s="19" t="s">
        <v>33</v>
      </c>
      <c r="C67" s="22"/>
      <c r="D67" s="123">
        <f>IF(D$3&gt;1,16+(2*D$3)+(2*E$3),16)</f>
        <v>16</v>
      </c>
      <c r="E67" s="475">
        <v>0</v>
      </c>
      <c r="F67" s="33">
        <v>0</v>
      </c>
      <c r="G67" s="21">
        <f t="shared" si="0"/>
        <v>16</v>
      </c>
    </row>
    <row r="68" spans="1:7" x14ac:dyDescent="0.25">
      <c r="A68" s="1935"/>
      <c r="B68" s="19" t="s">
        <v>34</v>
      </c>
      <c r="C68" s="22"/>
      <c r="D68" s="123">
        <f>IF(D$3&gt;1,24+(2*D$3)+(2*E$3),24)</f>
        <v>24</v>
      </c>
      <c r="E68" s="475">
        <v>0</v>
      </c>
      <c r="F68" s="33">
        <v>0</v>
      </c>
      <c r="G68" s="21">
        <f t="shared" si="0"/>
        <v>24</v>
      </c>
    </row>
    <row r="69" spans="1:7" x14ac:dyDescent="0.25">
      <c r="A69" s="1945" t="s">
        <v>533</v>
      </c>
      <c r="B69" s="19" t="s">
        <v>32</v>
      </c>
      <c r="C69" s="22"/>
      <c r="D69" s="123">
        <f>IF(D$3&gt;1,8+(2*D$3)+(2*E$3),8)</f>
        <v>8</v>
      </c>
      <c r="E69" s="123">
        <f>1*E$3</f>
        <v>0</v>
      </c>
      <c r="F69" s="33">
        <v>0</v>
      </c>
      <c r="G69" s="21">
        <f t="shared" si="0"/>
        <v>8</v>
      </c>
    </row>
    <row r="70" spans="1:7" x14ac:dyDescent="0.25">
      <c r="A70" s="1945"/>
      <c r="B70" s="19" t="s">
        <v>33</v>
      </c>
      <c r="C70" s="22"/>
      <c r="D70" s="123">
        <f>IF(D$3&gt;1,16+(2*D$3)+(1*E$3),16)</f>
        <v>16</v>
      </c>
      <c r="E70" s="123">
        <f>1*E$3</f>
        <v>0</v>
      </c>
      <c r="F70" s="33">
        <v>0</v>
      </c>
      <c r="G70" s="21">
        <f t="shared" si="0"/>
        <v>16</v>
      </c>
    </row>
    <row r="71" spans="1:7" x14ac:dyDescent="0.25">
      <c r="A71" s="1945"/>
      <c r="B71" s="19" t="s">
        <v>34</v>
      </c>
      <c r="C71" s="22"/>
      <c r="D71" s="123">
        <f>IF(D$3&gt;1,24+(2*D$3)+(2*E$3),24)</f>
        <v>24</v>
      </c>
      <c r="E71" s="123">
        <f>1*E$3</f>
        <v>0</v>
      </c>
      <c r="F71" s="33">
        <v>0</v>
      </c>
      <c r="G71" s="21">
        <f t="shared" si="0"/>
        <v>24</v>
      </c>
    </row>
    <row r="72" spans="1:7" x14ac:dyDescent="0.25">
      <c r="A72" s="1935" t="s">
        <v>534</v>
      </c>
      <c r="B72" s="19" t="s">
        <v>32</v>
      </c>
      <c r="C72" s="22"/>
      <c r="D72" s="123">
        <f>IF(D$3&gt;1,8+(2*D$3)+(2*E$3),10)</f>
        <v>10</v>
      </c>
      <c r="E72" s="123">
        <f>2*E$3</f>
        <v>0</v>
      </c>
      <c r="F72" s="33">
        <v>0</v>
      </c>
      <c r="G72" s="21">
        <f t="shared" si="0"/>
        <v>10</v>
      </c>
    </row>
    <row r="73" spans="1:7" x14ac:dyDescent="0.25">
      <c r="A73" s="1935"/>
      <c r="B73" s="19" t="s">
        <v>33</v>
      </c>
      <c r="C73" s="22"/>
      <c r="D73" s="123">
        <f>IF(D$3&gt;1,16+(2*D$3)+(2*E$3),16)</f>
        <v>16</v>
      </c>
      <c r="E73" s="123">
        <f>2*E$3</f>
        <v>0</v>
      </c>
      <c r="F73" s="33">
        <v>0</v>
      </c>
      <c r="G73" s="21">
        <f t="shared" si="0"/>
        <v>16</v>
      </c>
    </row>
    <row r="74" spans="1:7" x14ac:dyDescent="0.25">
      <c r="A74" s="1935"/>
      <c r="B74" s="19" t="s">
        <v>34</v>
      </c>
      <c r="C74" s="22"/>
      <c r="D74" s="123">
        <f>IF(D$3&gt;1,24+(2*D$3)+(2*E$3),24)</f>
        <v>24</v>
      </c>
      <c r="E74" s="123">
        <f>2*E$3</f>
        <v>0</v>
      </c>
      <c r="F74" s="33">
        <v>0</v>
      </c>
      <c r="G74" s="21">
        <f t="shared" si="0"/>
        <v>24</v>
      </c>
    </row>
    <row r="75" spans="1:7" x14ac:dyDescent="0.25">
      <c r="A75" s="1935" t="s">
        <v>21</v>
      </c>
      <c r="B75" s="19" t="s">
        <v>32</v>
      </c>
      <c r="C75" s="22"/>
      <c r="D75" s="38" t="s">
        <v>90</v>
      </c>
      <c r="E75" s="38" t="s">
        <v>90</v>
      </c>
      <c r="F75" s="38" t="s">
        <v>90</v>
      </c>
      <c r="G75" s="21">
        <f t="shared" si="0"/>
        <v>0</v>
      </c>
    </row>
    <row r="76" spans="1:7" x14ac:dyDescent="0.25">
      <c r="A76" s="1935"/>
      <c r="B76" s="19" t="s">
        <v>33</v>
      </c>
      <c r="C76" s="22"/>
      <c r="D76" s="38" t="s">
        <v>90</v>
      </c>
      <c r="E76" s="38" t="s">
        <v>90</v>
      </c>
      <c r="F76" s="38" t="s">
        <v>90</v>
      </c>
      <c r="G76" s="21">
        <f t="shared" si="0"/>
        <v>0</v>
      </c>
    </row>
    <row r="77" spans="1:7" x14ac:dyDescent="0.25">
      <c r="A77" s="1935"/>
      <c r="B77" s="13" t="s">
        <v>34</v>
      </c>
      <c r="C77" s="34"/>
      <c r="D77" s="38" t="s">
        <v>90</v>
      </c>
      <c r="E77" s="38" t="s">
        <v>90</v>
      </c>
      <c r="F77" s="38" t="s">
        <v>90</v>
      </c>
      <c r="G77" s="21">
        <f t="shared" si="0"/>
        <v>0</v>
      </c>
    </row>
    <row r="78" spans="1:7" x14ac:dyDescent="0.25">
      <c r="A78" s="1935" t="s">
        <v>181</v>
      </c>
      <c r="B78" s="19" t="s">
        <v>32</v>
      </c>
      <c r="C78" s="198"/>
      <c r="D78" s="223">
        <f>IF(D$3=0,0,2.2)</f>
        <v>0</v>
      </c>
      <c r="E78" s="15">
        <v>0</v>
      </c>
      <c r="F78" s="193">
        <v>0</v>
      </c>
      <c r="G78" s="21">
        <f t="shared" si="0"/>
        <v>0</v>
      </c>
    </row>
    <row r="79" spans="1:7" x14ac:dyDescent="0.25">
      <c r="A79" s="1935"/>
      <c r="B79" s="19" t="s">
        <v>33</v>
      </c>
      <c r="C79" s="198"/>
      <c r="D79" s="223">
        <f>IF(D$3=0,0,2.6)</f>
        <v>0</v>
      </c>
      <c r="E79" s="15">
        <v>0</v>
      </c>
      <c r="F79" s="193">
        <v>0</v>
      </c>
      <c r="G79" s="21">
        <f t="shared" si="0"/>
        <v>0</v>
      </c>
    </row>
    <row r="80" spans="1:7" x14ac:dyDescent="0.25">
      <c r="A80" s="1935"/>
      <c r="B80" s="19" t="s">
        <v>34</v>
      </c>
      <c r="C80" s="198"/>
      <c r="D80" s="223">
        <f>IF(D$3=0,0,2.6)</f>
        <v>0</v>
      </c>
      <c r="E80" s="15">
        <v>0</v>
      </c>
      <c r="F80" s="193">
        <v>0</v>
      </c>
      <c r="G80" s="21">
        <f t="shared" si="0"/>
        <v>0</v>
      </c>
    </row>
    <row r="81" spans="1:7" x14ac:dyDescent="0.25">
      <c r="A81" s="1935" t="s">
        <v>182</v>
      </c>
      <c r="B81" s="19" t="s">
        <v>32</v>
      </c>
      <c r="C81" s="198"/>
      <c r="D81" s="223">
        <f>IF(D$3=0,0,2)</f>
        <v>0</v>
      </c>
      <c r="E81" s="15">
        <v>0</v>
      </c>
      <c r="F81" s="193">
        <v>0</v>
      </c>
      <c r="G81" s="21">
        <f t="shared" si="0"/>
        <v>0</v>
      </c>
    </row>
    <row r="82" spans="1:7" x14ac:dyDescent="0.25">
      <c r="A82" s="1935"/>
      <c r="B82" s="19" t="s">
        <v>33</v>
      </c>
      <c r="C82" s="198"/>
      <c r="D82" s="223">
        <f>IF(D$3=0,0,2.4)</f>
        <v>0</v>
      </c>
      <c r="E82" s="15">
        <v>0</v>
      </c>
      <c r="F82" s="193">
        <v>0</v>
      </c>
      <c r="G82" s="21">
        <f t="shared" si="0"/>
        <v>0</v>
      </c>
    </row>
    <row r="83" spans="1:7" x14ac:dyDescent="0.25">
      <c r="A83" s="1935"/>
      <c r="B83" s="19" t="s">
        <v>34</v>
      </c>
      <c r="C83" s="198"/>
      <c r="D83" s="223">
        <f>IF(D$3=0,0,2.4)</f>
        <v>0</v>
      </c>
      <c r="E83" s="15">
        <v>0</v>
      </c>
      <c r="F83" s="193">
        <v>0</v>
      </c>
      <c r="G83" s="21">
        <f t="shared" si="0"/>
        <v>0</v>
      </c>
    </row>
    <row r="84" spans="1:7" x14ac:dyDescent="0.25">
      <c r="A84" s="1944" t="s">
        <v>183</v>
      </c>
      <c r="B84" s="19" t="s">
        <v>32</v>
      </c>
      <c r="C84" s="198"/>
      <c r="D84" s="195">
        <f>0.2+0.1*(D$3-1)</f>
        <v>0.1</v>
      </c>
      <c r="E84" s="15">
        <v>0</v>
      </c>
      <c r="F84" s="193">
        <v>0</v>
      </c>
      <c r="G84" s="21">
        <f t="shared" si="0"/>
        <v>0.1</v>
      </c>
    </row>
    <row r="85" spans="1:7" x14ac:dyDescent="0.25">
      <c r="A85" s="1944"/>
      <c r="B85" s="19" t="s">
        <v>33</v>
      </c>
      <c r="C85" s="198"/>
      <c r="D85" s="195">
        <f>0.3+0.1*(D$3-1)</f>
        <v>0.19999999999999998</v>
      </c>
      <c r="E85" s="15">
        <v>0</v>
      </c>
      <c r="F85" s="193">
        <v>0</v>
      </c>
      <c r="G85" s="21">
        <f t="shared" si="0"/>
        <v>0.19999999999999998</v>
      </c>
    </row>
    <row r="86" spans="1:7" ht="15.75" thickBot="1" x14ac:dyDescent="0.3">
      <c r="A86" s="1944"/>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42" t="s">
        <v>23</v>
      </c>
      <c r="B88" s="404" t="s">
        <v>32</v>
      </c>
      <c r="C88" s="324"/>
      <c r="D88" s="427">
        <v>0.25</v>
      </c>
      <c r="E88" s="540">
        <v>0</v>
      </c>
      <c r="F88" s="428">
        <v>0</v>
      </c>
      <c r="G88" s="230">
        <f t="shared" si="0"/>
        <v>0.25</v>
      </c>
    </row>
    <row r="89" spans="1:7" x14ac:dyDescent="0.25">
      <c r="A89" s="1942"/>
      <c r="B89" s="19" t="s">
        <v>33</v>
      </c>
      <c r="C89" s="22"/>
      <c r="D89" s="427">
        <v>0.25</v>
      </c>
      <c r="E89" s="15">
        <v>0</v>
      </c>
      <c r="F89" s="33">
        <v>0</v>
      </c>
      <c r="G89" s="21">
        <f t="shared" si="0"/>
        <v>0.25</v>
      </c>
    </row>
    <row r="90" spans="1:7" x14ac:dyDescent="0.25">
      <c r="A90" s="1942"/>
      <c r="B90" s="19" t="s">
        <v>34</v>
      </c>
      <c r="C90" s="22"/>
      <c r="D90" s="427">
        <v>0.25</v>
      </c>
      <c r="E90" s="15">
        <v>0</v>
      </c>
      <c r="F90" s="33">
        <v>0</v>
      </c>
      <c r="G90" s="21">
        <f t="shared" si="0"/>
        <v>0.25</v>
      </c>
    </row>
    <row r="91" spans="1:7" x14ac:dyDescent="0.25">
      <c r="A91" s="1935" t="s">
        <v>24</v>
      </c>
      <c r="B91" s="19" t="s">
        <v>32</v>
      </c>
      <c r="C91" s="22"/>
      <c r="D91" s="38">
        <v>8</v>
      </c>
      <c r="E91" s="123">
        <f t="shared" ref="E91:E96" si="1">0.5*E$3</f>
        <v>0</v>
      </c>
      <c r="F91" s="33">
        <v>0</v>
      </c>
      <c r="G91" s="21">
        <f t="shared" si="0"/>
        <v>8</v>
      </c>
    </row>
    <row r="92" spans="1:7" x14ac:dyDescent="0.25">
      <c r="A92" s="1935"/>
      <c r="B92" s="19" t="s">
        <v>33</v>
      </c>
      <c r="C92" s="22"/>
      <c r="D92" s="38">
        <v>8</v>
      </c>
      <c r="E92" s="123">
        <f t="shared" si="1"/>
        <v>0</v>
      </c>
      <c r="F92" s="33">
        <v>0</v>
      </c>
      <c r="G92" s="21">
        <f t="shared" si="0"/>
        <v>8</v>
      </c>
    </row>
    <row r="93" spans="1:7" x14ac:dyDescent="0.25">
      <c r="A93" s="1935"/>
      <c r="B93" s="19" t="s">
        <v>34</v>
      </c>
      <c r="C93" s="22"/>
      <c r="D93" s="38">
        <v>8</v>
      </c>
      <c r="E93" s="123">
        <f t="shared" si="1"/>
        <v>0</v>
      </c>
      <c r="F93" s="33">
        <v>0</v>
      </c>
      <c r="G93" s="21">
        <f t="shared" si="0"/>
        <v>8</v>
      </c>
    </row>
    <row r="94" spans="1:7" x14ac:dyDescent="0.25">
      <c r="A94" s="1935" t="s">
        <v>25</v>
      </c>
      <c r="B94" s="19" t="s">
        <v>32</v>
      </c>
      <c r="C94" s="22"/>
      <c r="D94" s="38">
        <v>6</v>
      </c>
      <c r="E94" s="123">
        <f t="shared" si="1"/>
        <v>0</v>
      </c>
      <c r="F94" s="33">
        <v>0</v>
      </c>
      <c r="G94" s="21">
        <f t="shared" ref="G94:G105" si="2" xml:space="preserve"> SUM(D94:F94) + $C94</f>
        <v>6</v>
      </c>
    </row>
    <row r="95" spans="1:7" x14ac:dyDescent="0.25">
      <c r="A95" s="1935"/>
      <c r="B95" s="19" t="s">
        <v>33</v>
      </c>
      <c r="C95" s="22"/>
      <c r="D95" s="38">
        <v>6</v>
      </c>
      <c r="E95" s="123">
        <f t="shared" si="1"/>
        <v>0</v>
      </c>
      <c r="F95" s="33">
        <v>0</v>
      </c>
      <c r="G95" s="21">
        <f t="shared" si="2"/>
        <v>6</v>
      </c>
    </row>
    <row r="96" spans="1:7" x14ac:dyDescent="0.25">
      <c r="A96" s="1935"/>
      <c r="B96" s="19" t="s">
        <v>34</v>
      </c>
      <c r="C96" s="22"/>
      <c r="D96" s="38">
        <v>6</v>
      </c>
      <c r="E96" s="123">
        <f t="shared" si="1"/>
        <v>0</v>
      </c>
      <c r="F96" s="33">
        <v>0</v>
      </c>
      <c r="G96" s="21">
        <f t="shared" si="2"/>
        <v>6</v>
      </c>
    </row>
    <row r="97" spans="1:7" x14ac:dyDescent="0.25">
      <c r="A97" s="1935" t="s">
        <v>26</v>
      </c>
      <c r="B97" s="19" t="s">
        <v>32</v>
      </c>
      <c r="C97" s="22"/>
      <c r="D97" s="124">
        <f>4+(0.5*D$3)</f>
        <v>4</v>
      </c>
      <c r="E97" s="38">
        <v>0</v>
      </c>
      <c r="F97" s="38">
        <v>0</v>
      </c>
      <c r="G97" s="21">
        <f t="shared" si="2"/>
        <v>4</v>
      </c>
    </row>
    <row r="98" spans="1:7" x14ac:dyDescent="0.25">
      <c r="A98" s="1935"/>
      <c r="B98" s="19" t="s">
        <v>33</v>
      </c>
      <c r="C98" s="22"/>
      <c r="D98" s="124">
        <f>4+(0.5*D$3)</f>
        <v>4</v>
      </c>
      <c r="E98" s="38">
        <v>0</v>
      </c>
      <c r="F98" s="38">
        <v>0</v>
      </c>
      <c r="G98" s="21">
        <f t="shared" si="2"/>
        <v>4</v>
      </c>
    </row>
    <row r="99" spans="1:7" x14ac:dyDescent="0.25">
      <c r="A99" s="1935"/>
      <c r="B99" s="19" t="s">
        <v>34</v>
      </c>
      <c r="C99" s="22"/>
      <c r="D99" s="124">
        <f>4+(0.5*D$3)</f>
        <v>4</v>
      </c>
      <c r="E99" s="38">
        <v>0</v>
      </c>
      <c r="F99" s="38">
        <v>0</v>
      </c>
      <c r="G99" s="21">
        <f t="shared" si="2"/>
        <v>4</v>
      </c>
    </row>
    <row r="100" spans="1:7" x14ac:dyDescent="0.25">
      <c r="A100" s="1935" t="s">
        <v>27</v>
      </c>
      <c r="B100" s="19" t="s">
        <v>32</v>
      </c>
      <c r="C100" s="22"/>
      <c r="D100" s="124">
        <f>2+(0.5*D$3)</f>
        <v>2</v>
      </c>
      <c r="E100" s="38">
        <v>0</v>
      </c>
      <c r="F100" s="38">
        <v>0</v>
      </c>
      <c r="G100" s="21">
        <f t="shared" si="2"/>
        <v>2</v>
      </c>
    </row>
    <row r="101" spans="1:7" x14ac:dyDescent="0.25">
      <c r="A101" s="1935"/>
      <c r="B101" s="19" t="s">
        <v>33</v>
      </c>
      <c r="C101" s="22"/>
      <c r="D101" s="124">
        <f>3+(0.5*D$3)</f>
        <v>3</v>
      </c>
      <c r="E101" s="38">
        <v>0</v>
      </c>
      <c r="F101" s="38">
        <v>0</v>
      </c>
      <c r="G101" s="21">
        <f t="shared" si="2"/>
        <v>3</v>
      </c>
    </row>
    <row r="102" spans="1:7" x14ac:dyDescent="0.25">
      <c r="A102" s="1935"/>
      <c r="B102" s="19" t="s">
        <v>34</v>
      </c>
      <c r="C102" s="22"/>
      <c r="D102" s="124">
        <f>5+(0.5*D$3)</f>
        <v>5</v>
      </c>
      <c r="E102" s="38">
        <v>0</v>
      </c>
      <c r="F102" s="38">
        <v>0</v>
      </c>
      <c r="G102" s="21">
        <f t="shared" si="2"/>
        <v>5</v>
      </c>
    </row>
    <row r="103" spans="1:7" x14ac:dyDescent="0.25">
      <c r="A103" s="1942" t="s">
        <v>28</v>
      </c>
      <c r="B103" s="19" t="s">
        <v>32</v>
      </c>
      <c r="C103" s="22"/>
      <c r="D103" s="38">
        <v>2</v>
      </c>
      <c r="E103" s="122">
        <f>0.5*E$3</f>
        <v>0</v>
      </c>
      <c r="F103" s="38">
        <v>0</v>
      </c>
      <c r="G103" s="21">
        <f t="shared" si="2"/>
        <v>2</v>
      </c>
    </row>
    <row r="104" spans="1:7" x14ac:dyDescent="0.25">
      <c r="A104" s="1942"/>
      <c r="B104" s="19" t="s">
        <v>33</v>
      </c>
      <c r="C104" s="22"/>
      <c r="D104" s="38">
        <v>3</v>
      </c>
      <c r="E104" s="122">
        <f>0.5*E$3</f>
        <v>0</v>
      </c>
      <c r="F104" s="38">
        <v>0</v>
      </c>
      <c r="G104" s="21">
        <f t="shared" si="2"/>
        <v>3</v>
      </c>
    </row>
    <row r="105" spans="1:7" ht="15.75" thickBot="1" x14ac:dyDescent="0.3">
      <c r="A105" s="1943"/>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26" t="s">
        <v>538</v>
      </c>
      <c r="E1" s="2326"/>
      <c r="F1" s="2326"/>
      <c r="G1" s="2327"/>
      <c r="H1" s="2326" t="s">
        <v>537</v>
      </c>
      <c r="I1" s="2326"/>
      <c r="J1" s="2326"/>
      <c r="K1" s="2327"/>
      <c r="L1" s="2326" t="s">
        <v>539</v>
      </c>
      <c r="M1" s="2326"/>
      <c r="N1" s="2326"/>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15"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15"/>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16"/>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15"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15"/>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15"/>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15"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15"/>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15"/>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20"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20"/>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21"/>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18"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15"/>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16"/>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18"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15"/>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16"/>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18"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15"/>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16"/>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18"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15"/>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16"/>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18"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15"/>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16"/>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18"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15"/>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15"/>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15"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15"/>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15"/>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15"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15"/>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15"/>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35"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35"/>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35"/>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35"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35"/>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35"/>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35"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35"/>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35"/>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35"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35"/>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35"/>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35"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35"/>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35"/>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35"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35"/>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35"/>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35"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35"/>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35"/>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35"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35"/>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35"/>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88"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88"/>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88"/>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73"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73"/>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73"/>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35"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35"/>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35"/>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35"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35"/>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35"/>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35"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35"/>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35"/>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44"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44"/>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44"/>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15"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15"/>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15"/>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35"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35"/>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35"/>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35"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35"/>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35"/>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35"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35"/>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35"/>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35"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35"/>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35"/>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15"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15"/>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17"/>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30" t="str">
        <f>'Служебный АСУТП'!AA2</f>
        <v>InfoWatch Targeted Attack Detector</v>
      </c>
      <c r="E1" s="1931"/>
      <c r="F1" s="1931"/>
      <c r="G1" s="1932"/>
      <c r="H1" s="1930" t="str">
        <f>'Служебный АСУТП'!AA3</f>
        <v>KATA</v>
      </c>
      <c r="I1" s="1931"/>
      <c r="J1" s="1931"/>
      <c r="K1" s="1932"/>
      <c r="L1" s="1930" t="str">
        <f>'Служебный АСУТП'!AA4</f>
        <v>PT Anti-APT</v>
      </c>
      <c r="M1" s="1931"/>
      <c r="N1" s="1931"/>
      <c r="O1" s="1932"/>
    </row>
    <row r="2" spans="1:15" ht="15.75" x14ac:dyDescent="0.25">
      <c r="B2" s="41" t="s">
        <v>37</v>
      </c>
      <c r="C2" s="1940" t="s">
        <v>35</v>
      </c>
      <c r="D2" s="718" t="s">
        <v>602</v>
      </c>
      <c r="E2" s="717" t="s">
        <v>600</v>
      </c>
      <c r="F2" s="717" t="s">
        <v>601</v>
      </c>
      <c r="G2" s="1933" t="s">
        <v>38</v>
      </c>
      <c r="H2" s="718" t="s">
        <v>602</v>
      </c>
      <c r="I2" s="717" t="s">
        <v>600</v>
      </c>
      <c r="J2" s="717" t="s">
        <v>601</v>
      </c>
      <c r="K2" s="1933" t="s">
        <v>38</v>
      </c>
      <c r="L2" s="718" t="s">
        <v>602</v>
      </c>
      <c r="M2" s="717" t="s">
        <v>600</v>
      </c>
      <c r="N2" s="717" t="s">
        <v>601</v>
      </c>
      <c r="O2" s="1933" t="s">
        <v>38</v>
      </c>
    </row>
    <row r="3" spans="1:15"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row>
    <row r="4" spans="1:15" ht="16.5" thickBot="1" x14ac:dyDescent="0.3">
      <c r="A4" s="326" t="s">
        <v>448</v>
      </c>
      <c r="B4" s="327"/>
      <c r="C4" s="327"/>
      <c r="D4" s="327"/>
      <c r="E4" s="327"/>
      <c r="F4" s="327"/>
      <c r="G4" s="327"/>
      <c r="H4" s="327"/>
      <c r="I4" s="327"/>
      <c r="J4" s="327"/>
      <c r="K4" s="327"/>
      <c r="L4" s="327"/>
      <c r="M4" s="327"/>
      <c r="N4" s="327"/>
      <c r="O4" s="396"/>
    </row>
    <row r="5" spans="1:15" x14ac:dyDescent="0.25">
      <c r="A5" s="1942"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42"/>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75"/>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42"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42"/>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42"/>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2"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42"/>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42"/>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9"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38"/>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38"/>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38"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38"/>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38"/>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38"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38"/>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38"/>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38"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38"/>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38"/>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38"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38"/>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38"/>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38"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38"/>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38"/>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38"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38"/>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36"/>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42"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42"/>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42"/>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2"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42"/>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42"/>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35"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35"/>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35"/>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35"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35"/>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35"/>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35"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35"/>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35"/>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35"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35"/>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35"/>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35"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35"/>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35"/>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35"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35"/>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35"/>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35"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35"/>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35"/>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35"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35"/>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35"/>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45"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45"/>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45"/>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35"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35"/>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35"/>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35"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5"/>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5"/>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5"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35"/>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35"/>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35"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35"/>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35"/>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44"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44"/>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44"/>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2"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42"/>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42"/>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73"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73"/>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73"/>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73"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73"/>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73"/>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73"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73"/>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73"/>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73"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73"/>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73"/>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922"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922"/>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74"/>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30" t="str">
        <f>'Служебный АСУТП'!AB2</f>
        <v>Efros ACS</v>
      </c>
      <c r="E1" s="1931"/>
      <c r="F1" s="1931"/>
      <c r="G1" s="1932"/>
    </row>
    <row r="2" spans="1:7" ht="15.75" x14ac:dyDescent="0.25">
      <c r="B2" s="41" t="s">
        <v>37</v>
      </c>
      <c r="C2" s="1940" t="s">
        <v>35</v>
      </c>
      <c r="D2" s="439" t="s">
        <v>563</v>
      </c>
      <c r="E2" s="191" t="s">
        <v>562</v>
      </c>
      <c r="F2" s="191" t="s">
        <v>561</v>
      </c>
      <c r="G2" s="1933" t="s">
        <v>38</v>
      </c>
    </row>
    <row r="3" spans="1:7"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row>
    <row r="4" spans="1:7" ht="16.5" thickBot="1" x14ac:dyDescent="0.3">
      <c r="A4" s="326" t="s">
        <v>448</v>
      </c>
      <c r="B4" s="327"/>
      <c r="C4" s="327"/>
      <c r="D4" s="327"/>
      <c r="E4" s="327"/>
      <c r="F4" s="327"/>
      <c r="G4" s="396"/>
    </row>
    <row r="5" spans="1:7" x14ac:dyDescent="0.25">
      <c r="A5" s="1922" t="s">
        <v>0</v>
      </c>
      <c r="B5" s="404" t="s">
        <v>32</v>
      </c>
      <c r="C5" s="324"/>
      <c r="D5" s="405">
        <v>1</v>
      </c>
      <c r="E5" s="425">
        <f t="shared" ref="E5:F10" si="0">0.25*E$3</f>
        <v>0</v>
      </c>
      <c r="F5" s="423">
        <f t="shared" si="0"/>
        <v>0</v>
      </c>
      <c r="G5" s="230">
        <f xml:space="preserve"> SUM(D5:F5) + $C5</f>
        <v>1</v>
      </c>
    </row>
    <row r="6" spans="1:7" x14ac:dyDescent="0.25">
      <c r="A6" s="1922"/>
      <c r="B6" s="19" t="s">
        <v>33</v>
      </c>
      <c r="C6" s="22"/>
      <c r="D6" s="11">
        <v>2</v>
      </c>
      <c r="E6" s="425">
        <f t="shared" si="0"/>
        <v>0</v>
      </c>
      <c r="F6" s="423">
        <f t="shared" si="0"/>
        <v>0</v>
      </c>
      <c r="G6" s="21">
        <f xml:space="preserve"> SUM(D6:F6) + $C6</f>
        <v>2</v>
      </c>
    </row>
    <row r="7" spans="1:7" x14ac:dyDescent="0.25">
      <c r="A7" s="1904"/>
      <c r="B7" s="19" t="s">
        <v>34</v>
      </c>
      <c r="C7" s="22"/>
      <c r="D7" s="11">
        <v>4</v>
      </c>
      <c r="E7" s="425">
        <f t="shared" si="0"/>
        <v>0</v>
      </c>
      <c r="F7" s="423">
        <f t="shared" si="0"/>
        <v>0</v>
      </c>
      <c r="G7" s="21">
        <f xml:space="preserve"> SUM(D7:F7) + $C7</f>
        <v>4</v>
      </c>
    </row>
    <row r="8" spans="1:7" x14ac:dyDescent="0.25">
      <c r="A8" s="1922" t="s">
        <v>449</v>
      </c>
      <c r="B8" s="404" t="s">
        <v>32</v>
      </c>
      <c r="C8" s="324"/>
      <c r="D8" s="405">
        <v>1</v>
      </c>
      <c r="E8" s="425">
        <f t="shared" si="0"/>
        <v>0</v>
      </c>
      <c r="F8" s="423">
        <f t="shared" si="0"/>
        <v>0</v>
      </c>
      <c r="G8" s="21">
        <f xml:space="preserve"> SUM(D8:F8) + $C8</f>
        <v>1</v>
      </c>
    </row>
    <row r="9" spans="1:7" x14ac:dyDescent="0.25">
      <c r="A9" s="1922"/>
      <c r="B9" s="19" t="s">
        <v>33</v>
      </c>
      <c r="C9" s="22"/>
      <c r="D9" s="11">
        <v>2</v>
      </c>
      <c r="E9" s="425">
        <f t="shared" si="0"/>
        <v>0</v>
      </c>
      <c r="F9" s="423">
        <f t="shared" si="0"/>
        <v>0</v>
      </c>
      <c r="G9" s="21">
        <f t="shared" ref="G9:G93" si="1" xml:space="preserve"> SUM(D9:F9) + $C9</f>
        <v>2</v>
      </c>
    </row>
    <row r="10" spans="1:7" ht="15.75" thickBot="1" x14ac:dyDescent="0.3">
      <c r="A10" s="1922"/>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922" t="s">
        <v>2</v>
      </c>
      <c r="B12" s="404" t="s">
        <v>32</v>
      </c>
      <c r="C12" s="324"/>
      <c r="D12" s="405">
        <v>8</v>
      </c>
      <c r="E12" s="423">
        <f>2*E$3</f>
        <v>0</v>
      </c>
      <c r="F12" s="477">
        <f>0.5*F$3</f>
        <v>0</v>
      </c>
      <c r="G12" s="230">
        <f t="shared" si="1"/>
        <v>8</v>
      </c>
    </row>
    <row r="13" spans="1:7" x14ac:dyDescent="0.25">
      <c r="A13" s="1922"/>
      <c r="B13" s="19" t="s">
        <v>33</v>
      </c>
      <c r="C13" s="22"/>
      <c r="D13" s="11">
        <v>12</v>
      </c>
      <c r="E13" s="123">
        <f>2*E$3</f>
        <v>0</v>
      </c>
      <c r="F13" s="477">
        <f>0.5*F$3</f>
        <v>0</v>
      </c>
      <c r="G13" s="21">
        <f t="shared" si="1"/>
        <v>12</v>
      </c>
    </row>
    <row r="14" spans="1:7" ht="15.75" thickBot="1" x14ac:dyDescent="0.3">
      <c r="A14" s="1922"/>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94" t="s">
        <v>4</v>
      </c>
      <c r="B16" s="325" t="s">
        <v>32</v>
      </c>
      <c r="C16" s="324"/>
      <c r="D16" s="481">
        <v>0.25</v>
      </c>
      <c r="E16" s="479">
        <v>0</v>
      </c>
      <c r="F16" s="480">
        <v>0</v>
      </c>
      <c r="G16" s="230">
        <f t="shared" si="1"/>
        <v>0.25</v>
      </c>
    </row>
    <row r="17" spans="1:7" x14ac:dyDescent="0.25">
      <c r="A17" s="1990"/>
      <c r="B17" s="18" t="s">
        <v>33</v>
      </c>
      <c r="C17" s="22"/>
      <c r="D17" s="482">
        <v>0.25</v>
      </c>
      <c r="E17" s="15">
        <v>0</v>
      </c>
      <c r="F17" s="33">
        <v>0</v>
      </c>
      <c r="G17" s="21">
        <f t="shared" si="1"/>
        <v>0.25</v>
      </c>
    </row>
    <row r="18" spans="1:7" x14ac:dyDescent="0.25">
      <c r="A18" s="1990"/>
      <c r="B18" s="18" t="s">
        <v>34</v>
      </c>
      <c r="C18" s="22"/>
      <c r="D18" s="483">
        <v>0.25</v>
      </c>
      <c r="E18" s="15">
        <v>0</v>
      </c>
      <c r="F18" s="33">
        <v>0</v>
      </c>
      <c r="G18" s="21">
        <f t="shared" si="1"/>
        <v>0.25</v>
      </c>
    </row>
    <row r="19" spans="1:7" x14ac:dyDescent="0.25">
      <c r="A19" s="1990" t="s">
        <v>5</v>
      </c>
      <c r="B19" s="19" t="s">
        <v>32</v>
      </c>
      <c r="C19" s="22"/>
      <c r="D19" s="124">
        <f>0.5*D$3</f>
        <v>0</v>
      </c>
      <c r="E19" s="15">
        <v>0</v>
      </c>
      <c r="F19" s="423">
        <f>0.5*F$3</f>
        <v>0</v>
      </c>
      <c r="G19" s="21">
        <f t="shared" si="1"/>
        <v>0</v>
      </c>
    </row>
    <row r="20" spans="1:7" x14ac:dyDescent="0.25">
      <c r="A20" s="1990"/>
      <c r="B20" s="19" t="s">
        <v>33</v>
      </c>
      <c r="C20" s="22"/>
      <c r="D20" s="124">
        <f>1*D$3</f>
        <v>0</v>
      </c>
      <c r="E20" s="15">
        <v>0</v>
      </c>
      <c r="F20" s="423">
        <f>0.5*F$3</f>
        <v>0</v>
      </c>
      <c r="G20" s="21">
        <f t="shared" si="1"/>
        <v>0</v>
      </c>
    </row>
    <row r="21" spans="1:7" x14ac:dyDescent="0.25">
      <c r="A21" s="1990"/>
      <c r="B21" s="19" t="s">
        <v>34</v>
      </c>
      <c r="C21" s="22"/>
      <c r="D21" s="124">
        <f>2*D$3</f>
        <v>0</v>
      </c>
      <c r="E21" s="15">
        <v>0</v>
      </c>
      <c r="F21" s="423">
        <f>0.5*F$3</f>
        <v>0</v>
      </c>
      <c r="G21" s="21">
        <f t="shared" si="1"/>
        <v>0</v>
      </c>
    </row>
    <row r="22" spans="1:7" x14ac:dyDescent="0.25">
      <c r="A22" s="1990" t="s">
        <v>6</v>
      </c>
      <c r="B22" s="19" t="s">
        <v>32</v>
      </c>
      <c r="C22" s="22"/>
      <c r="D22" s="11">
        <v>24</v>
      </c>
      <c r="E22" s="123">
        <f>2*E$3</f>
        <v>0</v>
      </c>
      <c r="F22" s="11">
        <v>0</v>
      </c>
      <c r="G22" s="21">
        <f t="shared" si="1"/>
        <v>24</v>
      </c>
    </row>
    <row r="23" spans="1:7" x14ac:dyDescent="0.25">
      <c r="A23" s="1990"/>
      <c r="B23" s="19" t="s">
        <v>33</v>
      </c>
      <c r="C23" s="22"/>
      <c r="D23" s="11">
        <v>32</v>
      </c>
      <c r="E23" s="123">
        <f>3*E$3</f>
        <v>0</v>
      </c>
      <c r="F23" s="11">
        <v>0</v>
      </c>
      <c r="G23" s="21">
        <f t="shared" si="1"/>
        <v>32</v>
      </c>
    </row>
    <row r="24" spans="1:7" x14ac:dyDescent="0.25">
      <c r="A24" s="1990"/>
      <c r="B24" s="19" t="s">
        <v>34</v>
      </c>
      <c r="C24" s="22"/>
      <c r="D24" s="11">
        <v>40</v>
      </c>
      <c r="E24" s="123">
        <f>4*E$3</f>
        <v>0</v>
      </c>
      <c r="F24" s="11">
        <v>0</v>
      </c>
      <c r="G24" s="21">
        <f t="shared" si="1"/>
        <v>40</v>
      </c>
    </row>
    <row r="25" spans="1:7" x14ac:dyDescent="0.25">
      <c r="A25" s="1990" t="s">
        <v>7</v>
      </c>
      <c r="B25" s="19" t="s">
        <v>32</v>
      </c>
      <c r="C25" s="22"/>
      <c r="D25" s="38">
        <v>4</v>
      </c>
      <c r="E25" s="15">
        <v>0</v>
      </c>
      <c r="F25" s="11">
        <v>0</v>
      </c>
      <c r="G25" s="21">
        <f t="shared" si="1"/>
        <v>4</v>
      </c>
    </row>
    <row r="26" spans="1:7" x14ac:dyDescent="0.25">
      <c r="A26" s="1990"/>
      <c r="B26" s="19" t="s">
        <v>33</v>
      </c>
      <c r="C26" s="22"/>
      <c r="D26" s="38">
        <v>8</v>
      </c>
      <c r="E26" s="15">
        <v>0</v>
      </c>
      <c r="F26" s="11">
        <v>0</v>
      </c>
      <c r="G26" s="21">
        <f t="shared" si="1"/>
        <v>8</v>
      </c>
    </row>
    <row r="27" spans="1:7" x14ac:dyDescent="0.25">
      <c r="A27" s="1990"/>
      <c r="B27" s="19" t="s">
        <v>34</v>
      </c>
      <c r="C27" s="22"/>
      <c r="D27" s="33">
        <v>12</v>
      </c>
      <c r="E27" s="15">
        <v>0</v>
      </c>
      <c r="F27" s="11">
        <v>0</v>
      </c>
      <c r="G27" s="21">
        <f t="shared" si="1"/>
        <v>12</v>
      </c>
    </row>
    <row r="28" spans="1:7" x14ac:dyDescent="0.25">
      <c r="A28" s="1990" t="s">
        <v>8</v>
      </c>
      <c r="B28" s="19" t="s">
        <v>32</v>
      </c>
      <c r="C28" s="22"/>
      <c r="D28" s="38">
        <v>4</v>
      </c>
      <c r="E28" s="15">
        <v>0</v>
      </c>
      <c r="F28" s="33">
        <v>0</v>
      </c>
      <c r="G28" s="21">
        <f t="shared" si="1"/>
        <v>4</v>
      </c>
    </row>
    <row r="29" spans="1:7" x14ac:dyDescent="0.25">
      <c r="A29" s="1990"/>
      <c r="B29" s="19" t="s">
        <v>33</v>
      </c>
      <c r="C29" s="22"/>
      <c r="D29" s="38">
        <v>8</v>
      </c>
      <c r="E29" s="15">
        <v>0</v>
      </c>
      <c r="F29" s="33">
        <v>0</v>
      </c>
      <c r="G29" s="21">
        <f t="shared" si="1"/>
        <v>8</v>
      </c>
    </row>
    <row r="30" spans="1:7" x14ac:dyDescent="0.25">
      <c r="A30" s="1990"/>
      <c r="B30" s="19" t="s">
        <v>34</v>
      </c>
      <c r="C30" s="22"/>
      <c r="D30" s="33">
        <v>12</v>
      </c>
      <c r="E30" s="15">
        <v>0</v>
      </c>
      <c r="F30" s="33">
        <v>0</v>
      </c>
      <c r="G30" s="21">
        <f t="shared" si="1"/>
        <v>12</v>
      </c>
    </row>
    <row r="31" spans="1:7" x14ac:dyDescent="0.25">
      <c r="A31" s="1990" t="s">
        <v>9</v>
      </c>
      <c r="B31" s="19" t="s">
        <v>32</v>
      </c>
      <c r="C31" s="22"/>
      <c r="D31" s="124">
        <f>4+(0.5*D$3)</f>
        <v>4</v>
      </c>
      <c r="E31" s="15">
        <v>0</v>
      </c>
      <c r="F31" s="124">
        <f>1*F$3</f>
        <v>0</v>
      </c>
      <c r="G31" s="21">
        <f t="shared" si="1"/>
        <v>4</v>
      </c>
    </row>
    <row r="32" spans="1:7" x14ac:dyDescent="0.25">
      <c r="A32" s="1990"/>
      <c r="B32" s="19" t="s">
        <v>33</v>
      </c>
      <c r="C32" s="22"/>
      <c r="D32" s="124">
        <f>6+(0.5*D$3)</f>
        <v>6</v>
      </c>
      <c r="E32" s="15">
        <v>0</v>
      </c>
      <c r="F32" s="124">
        <f>1.5*F$3</f>
        <v>0</v>
      </c>
      <c r="G32" s="21">
        <f t="shared" si="1"/>
        <v>6</v>
      </c>
    </row>
    <row r="33" spans="1:7" x14ac:dyDescent="0.25">
      <c r="A33" s="1990"/>
      <c r="B33" s="19" t="s">
        <v>34</v>
      </c>
      <c r="C33" s="22"/>
      <c r="D33" s="124">
        <f>8+(0.5*D$3)</f>
        <v>8</v>
      </c>
      <c r="E33" s="15">
        <v>0</v>
      </c>
      <c r="F33" s="124">
        <f>2*F$3</f>
        <v>0</v>
      </c>
      <c r="G33" s="21">
        <f t="shared" si="1"/>
        <v>8</v>
      </c>
    </row>
    <row r="34" spans="1:7" x14ac:dyDescent="0.25">
      <c r="A34" s="1990" t="s">
        <v>10</v>
      </c>
      <c r="B34" s="19" t="s">
        <v>32</v>
      </c>
      <c r="C34" s="22"/>
      <c r="D34" s="38">
        <v>4</v>
      </c>
      <c r="E34" s="124">
        <f>0.5*E$3</f>
        <v>0</v>
      </c>
      <c r="F34" s="523">
        <v>0</v>
      </c>
      <c r="G34" s="21">
        <f t="shared" si="1"/>
        <v>4</v>
      </c>
    </row>
    <row r="35" spans="1:7" x14ac:dyDescent="0.25">
      <c r="A35" s="1990"/>
      <c r="B35" s="19" t="s">
        <v>33</v>
      </c>
      <c r="C35" s="22"/>
      <c r="D35" s="38">
        <v>6</v>
      </c>
      <c r="E35" s="124">
        <f>0.5*E$3</f>
        <v>0</v>
      </c>
      <c r="F35" s="523">
        <v>0</v>
      </c>
      <c r="G35" s="21">
        <f t="shared" si="1"/>
        <v>6</v>
      </c>
    </row>
    <row r="36" spans="1:7" ht="15.75" thickBot="1" x14ac:dyDescent="0.3">
      <c r="A36" s="1991"/>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922" t="s">
        <v>12</v>
      </c>
      <c r="B38" s="404" t="s">
        <v>32</v>
      </c>
      <c r="C38" s="324"/>
      <c r="D38" s="405">
        <v>32</v>
      </c>
      <c r="E38" s="423">
        <f>4*E$3</f>
        <v>0</v>
      </c>
      <c r="F38" s="405">
        <v>0</v>
      </c>
      <c r="G38" s="230">
        <f t="shared" si="1"/>
        <v>32</v>
      </c>
    </row>
    <row r="39" spans="1:7" x14ac:dyDescent="0.25">
      <c r="A39" s="1922"/>
      <c r="B39" s="19" t="s">
        <v>33</v>
      </c>
      <c r="C39" s="22"/>
      <c r="D39" s="11">
        <v>40</v>
      </c>
      <c r="E39" s="423">
        <f>4*E$3</f>
        <v>0</v>
      </c>
      <c r="F39" s="11">
        <v>0</v>
      </c>
      <c r="G39" s="21">
        <f t="shared" si="1"/>
        <v>40</v>
      </c>
    </row>
    <row r="40" spans="1:7" ht="15.75" thickBot="1" x14ac:dyDescent="0.3">
      <c r="A40" s="1922"/>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922" t="s">
        <v>14</v>
      </c>
      <c r="B42" s="404" t="s">
        <v>32</v>
      </c>
      <c r="C42" s="324"/>
      <c r="D42" s="124">
        <f>0.5*D$3</f>
        <v>0</v>
      </c>
      <c r="E42" s="15">
        <v>0</v>
      </c>
      <c r="F42" s="423">
        <f>0.5*F$3</f>
        <v>0</v>
      </c>
      <c r="G42" s="230">
        <f t="shared" si="1"/>
        <v>0</v>
      </c>
    </row>
    <row r="43" spans="1:7" x14ac:dyDescent="0.25">
      <c r="A43" s="1922"/>
      <c r="B43" s="19" t="s">
        <v>33</v>
      </c>
      <c r="C43" s="22"/>
      <c r="D43" s="124">
        <f>1*D$3</f>
        <v>0</v>
      </c>
      <c r="E43" s="15">
        <v>0</v>
      </c>
      <c r="F43" s="423">
        <f>0.5*F$3</f>
        <v>0</v>
      </c>
      <c r="G43" s="21">
        <f t="shared" si="1"/>
        <v>0</v>
      </c>
    </row>
    <row r="44" spans="1:7" x14ac:dyDescent="0.25">
      <c r="A44" s="1922"/>
      <c r="B44" s="19" t="s">
        <v>34</v>
      </c>
      <c r="C44" s="22"/>
      <c r="D44" s="124">
        <f>2*D$3</f>
        <v>0</v>
      </c>
      <c r="E44" s="15">
        <v>0</v>
      </c>
      <c r="F44" s="423">
        <f>0.5*F$3</f>
        <v>0</v>
      </c>
      <c r="G44" s="21">
        <f t="shared" si="1"/>
        <v>0</v>
      </c>
    </row>
    <row r="45" spans="1:7" x14ac:dyDescent="0.25">
      <c r="A45" s="1973" t="s">
        <v>15</v>
      </c>
      <c r="B45" s="19" t="s">
        <v>32</v>
      </c>
      <c r="C45" s="22"/>
      <c r="D45" s="38">
        <v>16</v>
      </c>
      <c r="E45" s="423">
        <f>E$3*3</f>
        <v>0</v>
      </c>
      <c r="F45" s="124">
        <f>1.5*F$3</f>
        <v>0</v>
      </c>
      <c r="G45" s="21">
        <f t="shared" si="1"/>
        <v>16</v>
      </c>
    </row>
    <row r="46" spans="1:7" x14ac:dyDescent="0.25">
      <c r="A46" s="1973"/>
      <c r="B46" s="19" t="s">
        <v>33</v>
      </c>
      <c r="C46" s="22"/>
      <c r="D46" s="38">
        <v>28</v>
      </c>
      <c r="E46" s="423">
        <f>E$3*3.5</f>
        <v>0</v>
      </c>
      <c r="F46" s="124">
        <f>2*F$3</f>
        <v>0</v>
      </c>
      <c r="G46" s="21">
        <f t="shared" si="1"/>
        <v>28</v>
      </c>
    </row>
    <row r="47" spans="1:7" x14ac:dyDescent="0.25">
      <c r="A47" s="1973"/>
      <c r="B47" s="19" t="s">
        <v>34</v>
      </c>
      <c r="C47" s="22"/>
      <c r="D47" s="38">
        <v>36</v>
      </c>
      <c r="E47" s="423">
        <f>E$3*4</f>
        <v>0</v>
      </c>
      <c r="F47" s="124">
        <f>2.5*F$3</f>
        <v>0</v>
      </c>
      <c r="G47" s="21">
        <f t="shared" si="1"/>
        <v>36</v>
      </c>
    </row>
    <row r="48" spans="1:7" x14ac:dyDescent="0.25">
      <c r="A48" s="1973" t="s">
        <v>16</v>
      </c>
      <c r="B48" s="19" t="s">
        <v>32</v>
      </c>
      <c r="C48" s="22"/>
      <c r="D48" s="124">
        <f>1*D$3</f>
        <v>0</v>
      </c>
      <c r="E48" s="15">
        <v>0</v>
      </c>
      <c r="F48" s="523">
        <v>0</v>
      </c>
      <c r="G48" s="21">
        <f t="shared" si="1"/>
        <v>0</v>
      </c>
    </row>
    <row r="49" spans="1:7" x14ac:dyDescent="0.25">
      <c r="A49" s="1973"/>
      <c r="B49" s="19" t="s">
        <v>33</v>
      </c>
      <c r="C49" s="22"/>
      <c r="D49" s="124">
        <f>1.5*D$3</f>
        <v>0</v>
      </c>
      <c r="E49" s="15">
        <v>0</v>
      </c>
      <c r="F49" s="523">
        <v>0</v>
      </c>
      <c r="G49" s="21">
        <f t="shared" si="1"/>
        <v>0</v>
      </c>
    </row>
    <row r="50" spans="1:7" x14ac:dyDescent="0.25">
      <c r="A50" s="1973"/>
      <c r="B50" s="19" t="s">
        <v>34</v>
      </c>
      <c r="C50" s="22"/>
      <c r="D50" s="124">
        <f>2*D$3</f>
        <v>0</v>
      </c>
      <c r="E50" s="15">
        <v>0</v>
      </c>
      <c r="F50" s="523">
        <v>0</v>
      </c>
      <c r="G50" s="21">
        <f t="shared" si="1"/>
        <v>0</v>
      </c>
    </row>
    <row r="51" spans="1:7" x14ac:dyDescent="0.25">
      <c r="A51" s="1973" t="s">
        <v>17</v>
      </c>
      <c r="B51" s="19" t="s">
        <v>32</v>
      </c>
      <c r="C51" s="22"/>
      <c r="D51" s="124">
        <f>1*D$3</f>
        <v>0</v>
      </c>
      <c r="E51" s="15">
        <v>0</v>
      </c>
      <c r="F51" s="523">
        <v>0</v>
      </c>
      <c r="G51" s="21">
        <f t="shared" si="1"/>
        <v>0</v>
      </c>
    </row>
    <row r="52" spans="1:7" x14ac:dyDescent="0.25">
      <c r="A52" s="1973"/>
      <c r="B52" s="19" t="s">
        <v>33</v>
      </c>
      <c r="C52" s="22"/>
      <c r="D52" s="124">
        <f>1.5*D$3</f>
        <v>0</v>
      </c>
      <c r="E52" s="15">
        <v>0</v>
      </c>
      <c r="F52" s="523">
        <v>0</v>
      </c>
      <c r="G52" s="21">
        <f t="shared" si="1"/>
        <v>0</v>
      </c>
    </row>
    <row r="53" spans="1:7" x14ac:dyDescent="0.25">
      <c r="A53" s="1973"/>
      <c r="B53" s="19" t="s">
        <v>34</v>
      </c>
      <c r="C53" s="22"/>
      <c r="D53" s="124">
        <f>2*D$3</f>
        <v>0</v>
      </c>
      <c r="E53" s="15">
        <v>0</v>
      </c>
      <c r="F53" s="523">
        <v>0</v>
      </c>
      <c r="G53" s="21">
        <f t="shared" si="1"/>
        <v>0</v>
      </c>
    </row>
    <row r="54" spans="1:7" x14ac:dyDescent="0.25">
      <c r="A54" s="1973" t="s">
        <v>18</v>
      </c>
      <c r="B54" s="19" t="s">
        <v>32</v>
      </c>
      <c r="C54" s="22"/>
      <c r="D54" s="124">
        <f>1*D$3</f>
        <v>0</v>
      </c>
      <c r="E54" s="15">
        <v>0</v>
      </c>
      <c r="F54" s="15">
        <v>0</v>
      </c>
      <c r="G54" s="21">
        <f t="shared" si="1"/>
        <v>0</v>
      </c>
    </row>
    <row r="55" spans="1:7" x14ac:dyDescent="0.25">
      <c r="A55" s="1973"/>
      <c r="B55" s="19" t="s">
        <v>33</v>
      </c>
      <c r="C55" s="22"/>
      <c r="D55" s="124">
        <f>1*D$3</f>
        <v>0</v>
      </c>
      <c r="E55" s="15">
        <v>0</v>
      </c>
      <c r="F55" s="15">
        <v>0</v>
      </c>
      <c r="G55" s="21">
        <f t="shared" si="1"/>
        <v>0</v>
      </c>
    </row>
    <row r="56" spans="1:7" x14ac:dyDescent="0.25">
      <c r="A56" s="1973"/>
      <c r="B56" s="19" t="s">
        <v>34</v>
      </c>
      <c r="C56" s="22"/>
      <c r="D56" s="124">
        <f>1*D$3</f>
        <v>0</v>
      </c>
      <c r="E56" s="15">
        <v>0</v>
      </c>
      <c r="F56" s="15">
        <v>0</v>
      </c>
      <c r="G56" s="21">
        <f t="shared" si="1"/>
        <v>0</v>
      </c>
    </row>
    <row r="57" spans="1:7" x14ac:dyDescent="0.25">
      <c r="A57" s="1973" t="s">
        <v>19</v>
      </c>
      <c r="B57" s="19" t="s">
        <v>32</v>
      </c>
      <c r="C57" s="22"/>
      <c r="D57" s="38">
        <v>4</v>
      </c>
      <c r="E57" s="15">
        <v>0</v>
      </c>
      <c r="F57" s="15">
        <v>0</v>
      </c>
      <c r="G57" s="21">
        <f t="shared" si="1"/>
        <v>4</v>
      </c>
    </row>
    <row r="58" spans="1:7" x14ac:dyDescent="0.25">
      <c r="A58" s="1973"/>
      <c r="B58" s="19" t="s">
        <v>33</v>
      </c>
      <c r="C58" s="22"/>
      <c r="D58" s="38">
        <v>6</v>
      </c>
      <c r="E58" s="15">
        <v>0</v>
      </c>
      <c r="F58" s="15">
        <v>0</v>
      </c>
      <c r="G58" s="21">
        <f t="shared" si="1"/>
        <v>6</v>
      </c>
    </row>
    <row r="59" spans="1:7" x14ac:dyDescent="0.25">
      <c r="A59" s="1973"/>
      <c r="B59" s="19" t="s">
        <v>34</v>
      </c>
      <c r="C59" s="22"/>
      <c r="D59" s="38">
        <v>8</v>
      </c>
      <c r="E59" s="15">
        <v>0</v>
      </c>
      <c r="F59" s="15">
        <v>0</v>
      </c>
      <c r="G59" s="21">
        <f t="shared" si="1"/>
        <v>8</v>
      </c>
    </row>
    <row r="60" spans="1:7" x14ac:dyDescent="0.25">
      <c r="A60" s="1973" t="s">
        <v>20</v>
      </c>
      <c r="B60" s="19" t="s">
        <v>32</v>
      </c>
      <c r="C60" s="22"/>
      <c r="D60" s="38">
        <v>6</v>
      </c>
      <c r="E60" s="123">
        <f>2*E$3</f>
        <v>0</v>
      </c>
      <c r="F60" s="423">
        <f>1*F$3</f>
        <v>0</v>
      </c>
      <c r="G60" s="21">
        <f t="shared" si="1"/>
        <v>6</v>
      </c>
    </row>
    <row r="61" spans="1:7" x14ac:dyDescent="0.25">
      <c r="A61" s="1973"/>
      <c r="B61" s="19" t="s">
        <v>33</v>
      </c>
      <c r="C61" s="22"/>
      <c r="D61" s="38">
        <v>12</v>
      </c>
      <c r="E61" s="123">
        <f>2*E$3</f>
        <v>0</v>
      </c>
      <c r="F61" s="423">
        <f>1*F$3</f>
        <v>0</v>
      </c>
      <c r="G61" s="21">
        <f t="shared" si="1"/>
        <v>12</v>
      </c>
    </row>
    <row r="62" spans="1:7" x14ac:dyDescent="0.25">
      <c r="A62" s="1973"/>
      <c r="B62" s="19" t="s">
        <v>34</v>
      </c>
      <c r="C62" s="22"/>
      <c r="D62" s="38">
        <v>24</v>
      </c>
      <c r="E62" s="123">
        <f>2*E$3</f>
        <v>0</v>
      </c>
      <c r="F62" s="423">
        <f>1*F$3</f>
        <v>0</v>
      </c>
      <c r="G62" s="21">
        <f t="shared" si="1"/>
        <v>24</v>
      </c>
    </row>
    <row r="63" spans="1:7" x14ac:dyDescent="0.25">
      <c r="A63" s="1973" t="s">
        <v>451</v>
      </c>
      <c r="B63" s="19" t="s">
        <v>32</v>
      </c>
      <c r="C63" s="22"/>
      <c r="D63" s="482">
        <v>0.25</v>
      </c>
      <c r="E63" s="475">
        <v>0</v>
      </c>
      <c r="F63" s="495">
        <v>0</v>
      </c>
      <c r="G63" s="21">
        <f t="shared" si="1"/>
        <v>0.25</v>
      </c>
    </row>
    <row r="64" spans="1:7" x14ac:dyDescent="0.25">
      <c r="A64" s="1973"/>
      <c r="B64" s="19" t="s">
        <v>33</v>
      </c>
      <c r="C64" s="22"/>
      <c r="D64" s="38">
        <v>0.5</v>
      </c>
      <c r="E64" s="475">
        <v>0</v>
      </c>
      <c r="F64" s="495">
        <v>0</v>
      </c>
      <c r="G64" s="21">
        <f t="shared" si="1"/>
        <v>0.5</v>
      </c>
    </row>
    <row r="65" spans="1:7" x14ac:dyDescent="0.25">
      <c r="A65" s="1973"/>
      <c r="B65" s="19" t="s">
        <v>34</v>
      </c>
      <c r="C65" s="22"/>
      <c r="D65" s="38">
        <v>1</v>
      </c>
      <c r="E65" s="475">
        <v>0</v>
      </c>
      <c r="F65" s="495">
        <v>0</v>
      </c>
      <c r="G65" s="21">
        <f t="shared" si="1"/>
        <v>1</v>
      </c>
    </row>
    <row r="66" spans="1:7" x14ac:dyDescent="0.25">
      <c r="A66" s="1973" t="s">
        <v>452</v>
      </c>
      <c r="B66" s="19" t="s">
        <v>32</v>
      </c>
      <c r="C66" s="22"/>
      <c r="D66" s="482">
        <v>0.25</v>
      </c>
      <c r="E66" s="475">
        <v>0</v>
      </c>
      <c r="F66" s="495">
        <v>0</v>
      </c>
      <c r="G66" s="21">
        <f t="shared" si="1"/>
        <v>0.25</v>
      </c>
    </row>
    <row r="67" spans="1:7" x14ac:dyDescent="0.25">
      <c r="A67" s="1973"/>
      <c r="B67" s="19" t="s">
        <v>33</v>
      </c>
      <c r="C67" s="22"/>
      <c r="D67" s="38">
        <v>0.5</v>
      </c>
      <c r="E67" s="475">
        <v>0</v>
      </c>
      <c r="F67" s="495">
        <v>0</v>
      </c>
      <c r="G67" s="21">
        <f t="shared" si="1"/>
        <v>0.5</v>
      </c>
    </row>
    <row r="68" spans="1:7" x14ac:dyDescent="0.25">
      <c r="A68" s="1973"/>
      <c r="B68" s="19" t="s">
        <v>34</v>
      </c>
      <c r="C68" s="22"/>
      <c r="D68" s="38">
        <v>1</v>
      </c>
      <c r="E68" s="475">
        <v>0</v>
      </c>
      <c r="F68" s="495">
        <v>0</v>
      </c>
      <c r="G68" s="21">
        <f t="shared" si="1"/>
        <v>1</v>
      </c>
    </row>
    <row r="69" spans="1:7" x14ac:dyDescent="0.25">
      <c r="A69" s="1988" t="s">
        <v>533</v>
      </c>
      <c r="B69" s="19" t="s">
        <v>32</v>
      </c>
      <c r="C69" s="22"/>
      <c r="D69" s="124">
        <f>4+(1.5*D$3)</f>
        <v>4</v>
      </c>
      <c r="E69" s="423">
        <f>3*E$3</f>
        <v>0</v>
      </c>
      <c r="F69" s="423">
        <f t="shared" ref="F69:F74" si="2">1*F$3</f>
        <v>0</v>
      </c>
      <c r="G69" s="21">
        <f t="shared" si="1"/>
        <v>4</v>
      </c>
    </row>
    <row r="70" spans="1:7" x14ac:dyDescent="0.25">
      <c r="A70" s="1988"/>
      <c r="B70" s="19" t="s">
        <v>33</v>
      </c>
      <c r="C70" s="22"/>
      <c r="D70" s="124">
        <f>6+(1.5*D$3)</f>
        <v>6</v>
      </c>
      <c r="E70" s="423">
        <f>4*E$3</f>
        <v>0</v>
      </c>
      <c r="F70" s="423">
        <f t="shared" si="2"/>
        <v>0</v>
      </c>
      <c r="G70" s="21">
        <f t="shared" si="1"/>
        <v>6</v>
      </c>
    </row>
    <row r="71" spans="1:7" x14ac:dyDescent="0.25">
      <c r="A71" s="1988"/>
      <c r="B71" s="19" t="s">
        <v>34</v>
      </c>
      <c r="C71" s="22"/>
      <c r="D71" s="124">
        <f>8+(1.5*D$3)</f>
        <v>8</v>
      </c>
      <c r="E71" s="423">
        <f>5*E$3</f>
        <v>0</v>
      </c>
      <c r="F71" s="423">
        <f t="shared" si="2"/>
        <v>0</v>
      </c>
      <c r="G71" s="21">
        <f t="shared" si="1"/>
        <v>8</v>
      </c>
    </row>
    <row r="72" spans="1:7" x14ac:dyDescent="0.25">
      <c r="A72" s="1973" t="s">
        <v>534</v>
      </c>
      <c r="B72" s="19" t="s">
        <v>32</v>
      </c>
      <c r="C72" s="22"/>
      <c r="D72" s="124">
        <f>4+(1.5*D$3)</f>
        <v>4</v>
      </c>
      <c r="E72" s="423">
        <f>3*E$3</f>
        <v>0</v>
      </c>
      <c r="F72" s="423">
        <f t="shared" si="2"/>
        <v>0</v>
      </c>
      <c r="G72" s="21">
        <f t="shared" si="1"/>
        <v>4</v>
      </c>
    </row>
    <row r="73" spans="1:7" x14ac:dyDescent="0.25">
      <c r="A73" s="1973"/>
      <c r="B73" s="19" t="s">
        <v>33</v>
      </c>
      <c r="C73" s="22"/>
      <c r="D73" s="124">
        <f>6+(1.5*D$3)</f>
        <v>6</v>
      </c>
      <c r="E73" s="423">
        <f>4*E$3</f>
        <v>0</v>
      </c>
      <c r="F73" s="423">
        <f t="shared" si="2"/>
        <v>0</v>
      </c>
      <c r="G73" s="21">
        <f t="shared" si="1"/>
        <v>6</v>
      </c>
    </row>
    <row r="74" spans="1:7" x14ac:dyDescent="0.25">
      <c r="A74" s="1973"/>
      <c r="B74" s="19" t="s">
        <v>34</v>
      </c>
      <c r="C74" s="22"/>
      <c r="D74" s="124">
        <f>8+(1.5*D$3)</f>
        <v>8</v>
      </c>
      <c r="E74" s="423">
        <f>5*E$3</f>
        <v>0</v>
      </c>
      <c r="F74" s="423">
        <f t="shared" si="2"/>
        <v>0</v>
      </c>
      <c r="G74" s="21">
        <f t="shared" si="1"/>
        <v>8</v>
      </c>
    </row>
    <row r="75" spans="1:7" x14ac:dyDescent="0.25">
      <c r="A75" s="1973" t="s">
        <v>21</v>
      </c>
      <c r="B75" s="19" t="s">
        <v>32</v>
      </c>
      <c r="C75" s="22"/>
      <c r="D75" s="38" t="s">
        <v>90</v>
      </c>
      <c r="E75" s="38" t="s">
        <v>90</v>
      </c>
      <c r="F75" s="38" t="s">
        <v>90</v>
      </c>
      <c r="G75" s="21">
        <f t="shared" si="1"/>
        <v>0</v>
      </c>
    </row>
    <row r="76" spans="1:7" x14ac:dyDescent="0.25">
      <c r="A76" s="1973"/>
      <c r="B76" s="19" t="s">
        <v>33</v>
      </c>
      <c r="C76" s="22"/>
      <c r="D76" s="38" t="s">
        <v>90</v>
      </c>
      <c r="E76" s="38" t="s">
        <v>90</v>
      </c>
      <c r="F76" s="38" t="s">
        <v>90</v>
      </c>
      <c r="G76" s="21">
        <f t="shared" si="1"/>
        <v>0</v>
      </c>
    </row>
    <row r="77" spans="1:7" x14ac:dyDescent="0.25">
      <c r="A77" s="1973"/>
      <c r="B77" s="13" t="s">
        <v>34</v>
      </c>
      <c r="C77" s="34"/>
      <c r="D77" s="38" t="s">
        <v>90</v>
      </c>
      <c r="E77" s="38" t="s">
        <v>90</v>
      </c>
      <c r="F77" s="38" t="s">
        <v>90</v>
      </c>
      <c r="G77" s="21">
        <f t="shared" si="1"/>
        <v>0</v>
      </c>
    </row>
    <row r="78" spans="1:7" x14ac:dyDescent="0.25">
      <c r="A78" s="1973" t="s">
        <v>181</v>
      </c>
      <c r="B78" s="19" t="s">
        <v>32</v>
      </c>
      <c r="C78" s="198"/>
      <c r="D78" s="195">
        <f t="shared" ref="D78:D86" si="3">0.25*D$3</f>
        <v>0</v>
      </c>
      <c r="E78" s="15">
        <v>0</v>
      </c>
      <c r="F78" s="193">
        <v>0</v>
      </c>
      <c r="G78" s="21">
        <f t="shared" si="1"/>
        <v>0</v>
      </c>
    </row>
    <row r="79" spans="1:7" x14ac:dyDescent="0.25">
      <c r="A79" s="1973"/>
      <c r="B79" s="19" t="s">
        <v>33</v>
      </c>
      <c r="C79" s="198"/>
      <c r="D79" s="195">
        <f t="shared" si="3"/>
        <v>0</v>
      </c>
      <c r="E79" s="15">
        <v>0</v>
      </c>
      <c r="F79" s="193">
        <v>0</v>
      </c>
      <c r="G79" s="21">
        <f t="shared" si="1"/>
        <v>0</v>
      </c>
    </row>
    <row r="80" spans="1:7" x14ac:dyDescent="0.25">
      <c r="A80" s="1973"/>
      <c r="B80" s="19" t="s">
        <v>34</v>
      </c>
      <c r="C80" s="198"/>
      <c r="D80" s="195">
        <f t="shared" si="3"/>
        <v>0</v>
      </c>
      <c r="E80" s="15">
        <v>0</v>
      </c>
      <c r="F80" s="193">
        <v>0</v>
      </c>
      <c r="G80" s="21">
        <f t="shared" si="1"/>
        <v>0</v>
      </c>
    </row>
    <row r="81" spans="1:7" x14ac:dyDescent="0.25">
      <c r="A81" s="1973" t="s">
        <v>182</v>
      </c>
      <c r="B81" s="19" t="s">
        <v>32</v>
      </c>
      <c r="C81" s="198"/>
      <c r="D81" s="195">
        <f t="shared" si="3"/>
        <v>0</v>
      </c>
      <c r="E81" s="15">
        <v>0</v>
      </c>
      <c r="F81" s="193">
        <v>0</v>
      </c>
      <c r="G81" s="21">
        <f t="shared" si="1"/>
        <v>0</v>
      </c>
    </row>
    <row r="82" spans="1:7" x14ac:dyDescent="0.25">
      <c r="A82" s="1973"/>
      <c r="B82" s="19" t="s">
        <v>33</v>
      </c>
      <c r="C82" s="198"/>
      <c r="D82" s="195">
        <f t="shared" si="3"/>
        <v>0</v>
      </c>
      <c r="E82" s="15">
        <v>0</v>
      </c>
      <c r="F82" s="193">
        <v>0</v>
      </c>
      <c r="G82" s="21">
        <f t="shared" si="1"/>
        <v>0</v>
      </c>
    </row>
    <row r="83" spans="1:7" x14ac:dyDescent="0.25">
      <c r="A83" s="1973"/>
      <c r="B83" s="19" t="s">
        <v>34</v>
      </c>
      <c r="C83" s="198"/>
      <c r="D83" s="195">
        <f t="shared" si="3"/>
        <v>0</v>
      </c>
      <c r="E83" s="15">
        <v>0</v>
      </c>
      <c r="F83" s="193">
        <v>0</v>
      </c>
      <c r="G83" s="21">
        <f t="shared" si="1"/>
        <v>0</v>
      </c>
    </row>
    <row r="84" spans="1:7" x14ac:dyDescent="0.25">
      <c r="A84" s="1989" t="s">
        <v>183</v>
      </c>
      <c r="B84" s="19" t="s">
        <v>32</v>
      </c>
      <c r="C84" s="198"/>
      <c r="D84" s="195">
        <f t="shared" si="3"/>
        <v>0</v>
      </c>
      <c r="E84" s="15">
        <v>0</v>
      </c>
      <c r="F84" s="193">
        <v>0</v>
      </c>
      <c r="G84" s="21">
        <f t="shared" si="1"/>
        <v>0</v>
      </c>
    </row>
    <row r="85" spans="1:7" x14ac:dyDescent="0.25">
      <c r="A85" s="1989"/>
      <c r="B85" s="19" t="s">
        <v>33</v>
      </c>
      <c r="C85" s="198"/>
      <c r="D85" s="195">
        <f t="shared" si="3"/>
        <v>0</v>
      </c>
      <c r="E85" s="15">
        <v>0</v>
      </c>
      <c r="F85" s="193">
        <v>0</v>
      </c>
      <c r="G85" s="21">
        <f t="shared" si="1"/>
        <v>0</v>
      </c>
    </row>
    <row r="86" spans="1:7" ht="15.75" thickBot="1" x14ac:dyDescent="0.3">
      <c r="A86" s="1989"/>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922" t="s">
        <v>23</v>
      </c>
      <c r="B88" s="404" t="s">
        <v>32</v>
      </c>
      <c r="C88" s="324"/>
      <c r="D88" s="524">
        <v>0.25</v>
      </c>
      <c r="E88" s="479">
        <v>0</v>
      </c>
      <c r="F88" s="525">
        <v>0</v>
      </c>
      <c r="G88" s="230">
        <f t="shared" si="1"/>
        <v>0.25</v>
      </c>
    </row>
    <row r="89" spans="1:7" x14ac:dyDescent="0.25">
      <c r="A89" s="1922"/>
      <c r="B89" s="19" t="s">
        <v>33</v>
      </c>
      <c r="C89" s="22"/>
      <c r="D89" s="503">
        <v>0.25</v>
      </c>
      <c r="E89" s="15">
        <v>0</v>
      </c>
      <c r="F89" s="193">
        <v>0</v>
      </c>
      <c r="G89" s="21">
        <f t="shared" si="1"/>
        <v>0.25</v>
      </c>
    </row>
    <row r="90" spans="1:7" x14ac:dyDescent="0.25">
      <c r="A90" s="1922"/>
      <c r="B90" s="19" t="s">
        <v>34</v>
      </c>
      <c r="C90" s="22"/>
      <c r="D90" s="526">
        <v>0.25</v>
      </c>
      <c r="E90" s="15">
        <v>0</v>
      </c>
      <c r="F90" s="193">
        <v>0</v>
      </c>
      <c r="G90" s="21">
        <f t="shared" si="1"/>
        <v>0.25</v>
      </c>
    </row>
    <row r="91" spans="1:7" x14ac:dyDescent="0.25">
      <c r="A91" s="1973" t="s">
        <v>24</v>
      </c>
      <c r="B91" s="19" t="s">
        <v>32</v>
      </c>
      <c r="C91" s="22"/>
      <c r="D91" s="190">
        <v>8</v>
      </c>
      <c r="E91" s="123">
        <f>4*E$3</f>
        <v>0</v>
      </c>
      <c r="F91" s="193">
        <v>0</v>
      </c>
      <c r="G91" s="21">
        <f t="shared" si="1"/>
        <v>8</v>
      </c>
    </row>
    <row r="92" spans="1:7" x14ac:dyDescent="0.25">
      <c r="A92" s="1973"/>
      <c r="B92" s="19" t="s">
        <v>33</v>
      </c>
      <c r="C92" s="22"/>
      <c r="D92" s="190">
        <v>12</v>
      </c>
      <c r="E92" s="123">
        <f>4*E$3</f>
        <v>0</v>
      </c>
      <c r="F92" s="193">
        <v>0</v>
      </c>
      <c r="G92" s="21">
        <f t="shared" si="1"/>
        <v>12</v>
      </c>
    </row>
    <row r="93" spans="1:7" x14ac:dyDescent="0.25">
      <c r="A93" s="1973"/>
      <c r="B93" s="19" t="s">
        <v>34</v>
      </c>
      <c r="C93" s="22"/>
      <c r="D93" s="190">
        <v>16</v>
      </c>
      <c r="E93" s="123">
        <f>4*E$3</f>
        <v>0</v>
      </c>
      <c r="F93" s="193">
        <v>0</v>
      </c>
      <c r="G93" s="21">
        <f t="shared" si="1"/>
        <v>16</v>
      </c>
    </row>
    <row r="94" spans="1:7" x14ac:dyDescent="0.25">
      <c r="A94" s="1973" t="s">
        <v>25</v>
      </c>
      <c r="B94" s="19" t="s">
        <v>32</v>
      </c>
      <c r="C94" s="22"/>
      <c r="D94" s="190">
        <v>2</v>
      </c>
      <c r="E94" s="33">
        <v>0</v>
      </c>
      <c r="F94" s="193">
        <v>0</v>
      </c>
      <c r="G94" s="21">
        <f t="shared" ref="G94:G105" si="4" xml:space="preserve"> SUM(D94:F94) + $C94</f>
        <v>2</v>
      </c>
    </row>
    <row r="95" spans="1:7" x14ac:dyDescent="0.25">
      <c r="A95" s="1973"/>
      <c r="B95" s="19" t="s">
        <v>33</v>
      </c>
      <c r="C95" s="22"/>
      <c r="D95" s="190">
        <v>4</v>
      </c>
      <c r="E95" s="33">
        <v>0</v>
      </c>
      <c r="F95" s="193">
        <v>0</v>
      </c>
      <c r="G95" s="21">
        <f t="shared" si="4"/>
        <v>4</v>
      </c>
    </row>
    <row r="96" spans="1:7" x14ac:dyDescent="0.25">
      <c r="A96" s="1973"/>
      <c r="B96" s="19" t="s">
        <v>34</v>
      </c>
      <c r="C96" s="22"/>
      <c r="D96" s="190">
        <v>6</v>
      </c>
      <c r="E96" s="33">
        <v>0</v>
      </c>
      <c r="F96" s="193">
        <v>0</v>
      </c>
      <c r="G96" s="21">
        <f t="shared" si="4"/>
        <v>6</v>
      </c>
    </row>
    <row r="97" spans="1:7" x14ac:dyDescent="0.25">
      <c r="A97" s="1973" t="s">
        <v>26</v>
      </c>
      <c r="B97" s="19" t="s">
        <v>32</v>
      </c>
      <c r="C97" s="22"/>
      <c r="D97" s="190">
        <v>14</v>
      </c>
      <c r="E97" s="423">
        <f>E$3*2</f>
        <v>0</v>
      </c>
      <c r="F97" s="527">
        <f>1*F$3</f>
        <v>0</v>
      </c>
      <c r="G97" s="21">
        <f t="shared" si="4"/>
        <v>14</v>
      </c>
    </row>
    <row r="98" spans="1:7" x14ac:dyDescent="0.25">
      <c r="A98" s="1973"/>
      <c r="B98" s="19" t="s">
        <v>33</v>
      </c>
      <c r="C98" s="22"/>
      <c r="D98" s="190">
        <v>26</v>
      </c>
      <c r="E98" s="423">
        <f>E$3*2.5</f>
        <v>0</v>
      </c>
      <c r="F98" s="527">
        <f>1.5*F$3</f>
        <v>0</v>
      </c>
      <c r="G98" s="21">
        <f t="shared" si="4"/>
        <v>26</v>
      </c>
    </row>
    <row r="99" spans="1:7" x14ac:dyDescent="0.25">
      <c r="A99" s="1973"/>
      <c r="B99" s="19" t="s">
        <v>34</v>
      </c>
      <c r="C99" s="22"/>
      <c r="D99" s="190">
        <v>34</v>
      </c>
      <c r="E99" s="423">
        <f>E$3*3</f>
        <v>0</v>
      </c>
      <c r="F99" s="527">
        <f>2*F$3</f>
        <v>0</v>
      </c>
      <c r="G99" s="21">
        <f t="shared" si="4"/>
        <v>34</v>
      </c>
    </row>
    <row r="100" spans="1:7" x14ac:dyDescent="0.25">
      <c r="A100" s="1973" t="s">
        <v>27</v>
      </c>
      <c r="B100" s="19" t="s">
        <v>32</v>
      </c>
      <c r="C100" s="22"/>
      <c r="D100" s="190">
        <v>8</v>
      </c>
      <c r="E100" s="423">
        <f>E$3*2</f>
        <v>0</v>
      </c>
      <c r="F100" s="527">
        <f>1*F$3</f>
        <v>0</v>
      </c>
      <c r="G100" s="21">
        <f t="shared" si="4"/>
        <v>8</v>
      </c>
    </row>
    <row r="101" spans="1:7" x14ac:dyDescent="0.25">
      <c r="A101" s="1973"/>
      <c r="B101" s="19" t="s">
        <v>33</v>
      </c>
      <c r="C101" s="22"/>
      <c r="D101" s="190">
        <v>10</v>
      </c>
      <c r="E101" s="423">
        <f>E$3*2.5</f>
        <v>0</v>
      </c>
      <c r="F101" s="527">
        <f>1.5*F$3</f>
        <v>0</v>
      </c>
      <c r="G101" s="21">
        <f t="shared" si="4"/>
        <v>10</v>
      </c>
    </row>
    <row r="102" spans="1:7" x14ac:dyDescent="0.25">
      <c r="A102" s="1973"/>
      <c r="B102" s="19" t="s">
        <v>34</v>
      </c>
      <c r="C102" s="22"/>
      <c r="D102" s="190">
        <v>14</v>
      </c>
      <c r="E102" s="423">
        <f>E$3*3</f>
        <v>0</v>
      </c>
      <c r="F102" s="527">
        <f>2*F$3</f>
        <v>0</v>
      </c>
      <c r="G102" s="21">
        <f t="shared" si="4"/>
        <v>14</v>
      </c>
    </row>
    <row r="103" spans="1:7" x14ac:dyDescent="0.25">
      <c r="A103" s="1922" t="s">
        <v>28</v>
      </c>
      <c r="B103" s="19" t="s">
        <v>32</v>
      </c>
      <c r="C103" s="22"/>
      <c r="D103" s="190">
        <v>4</v>
      </c>
      <c r="E103" s="122">
        <f t="shared" ref="E103:F105" si="5">0.5*E$3</f>
        <v>0</v>
      </c>
      <c r="F103" s="528">
        <f t="shared" si="5"/>
        <v>0</v>
      </c>
      <c r="G103" s="21">
        <f t="shared" si="4"/>
        <v>4</v>
      </c>
    </row>
    <row r="104" spans="1:7" x14ac:dyDescent="0.25">
      <c r="A104" s="1922"/>
      <c r="B104" s="19" t="s">
        <v>33</v>
      </c>
      <c r="C104" s="22"/>
      <c r="D104" s="190">
        <v>6</v>
      </c>
      <c r="E104" s="122">
        <f t="shared" si="5"/>
        <v>0</v>
      </c>
      <c r="F104" s="528">
        <f t="shared" si="5"/>
        <v>0</v>
      </c>
      <c r="G104" s="21">
        <f t="shared" si="4"/>
        <v>6</v>
      </c>
    </row>
    <row r="105" spans="1:7" ht="15.75" thickBot="1" x14ac:dyDescent="0.3">
      <c r="A105" s="1974"/>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30" t="str">
        <f>'Служебный АСУТП'!AC2</f>
        <v>Kaspersky Sandbox</v>
      </c>
      <c r="E1" s="1931"/>
      <c r="F1" s="1931"/>
      <c r="G1" s="1932"/>
      <c r="H1" s="1930" t="str">
        <f>'Служебный АСУТП'!AC3</f>
        <v>PT Sandbox</v>
      </c>
      <c r="I1" s="1931"/>
      <c r="J1" s="1931"/>
      <c r="K1" s="1932"/>
    </row>
    <row r="2" spans="1:11" ht="31.5" x14ac:dyDescent="0.25">
      <c r="B2" s="41" t="s">
        <v>37</v>
      </c>
      <c r="C2" s="1940" t="s">
        <v>35</v>
      </c>
      <c r="D2" s="547" t="s">
        <v>590</v>
      </c>
      <c r="E2" s="548" t="s">
        <v>591</v>
      </c>
      <c r="F2" s="645" t="s">
        <v>445</v>
      </c>
      <c r="G2" s="1933" t="s">
        <v>38</v>
      </c>
      <c r="H2" s="547" t="s">
        <v>590</v>
      </c>
      <c r="I2" s="548" t="s">
        <v>591</v>
      </c>
      <c r="J2" s="645" t="s">
        <v>445</v>
      </c>
      <c r="K2" s="1933" t="s">
        <v>38</v>
      </c>
    </row>
    <row r="3" spans="1:11"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row>
    <row r="4" spans="1:11" ht="16.5" thickBot="1" x14ac:dyDescent="0.3">
      <c r="A4" s="326" t="s">
        <v>448</v>
      </c>
      <c r="B4" s="327"/>
      <c r="C4" s="327"/>
      <c r="D4" s="327"/>
      <c r="E4" s="327"/>
      <c r="F4" s="327"/>
      <c r="G4" s="327"/>
      <c r="H4" s="327"/>
      <c r="I4" s="327"/>
      <c r="J4" s="327"/>
      <c r="K4" s="396"/>
    </row>
    <row r="5" spans="1:11" x14ac:dyDescent="0.25">
      <c r="A5" s="1942"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42"/>
      <c r="B6" s="19" t="s">
        <v>33</v>
      </c>
      <c r="C6" s="22"/>
      <c r="D6" s="11">
        <v>4</v>
      </c>
      <c r="E6" s="11">
        <v>0.5</v>
      </c>
      <c r="F6" s="11">
        <v>0</v>
      </c>
      <c r="G6" s="21">
        <f xml:space="preserve"> SUM(D6:F6) + $C6</f>
        <v>4.5</v>
      </c>
      <c r="H6" s="615">
        <v>4</v>
      </c>
      <c r="I6" s="615">
        <v>0.5</v>
      </c>
      <c r="J6" s="615">
        <v>0</v>
      </c>
      <c r="K6" s="21">
        <f t="shared" si="0"/>
        <v>4.5</v>
      </c>
    </row>
    <row r="7" spans="1:11" x14ac:dyDescent="0.25">
      <c r="A7" s="1975"/>
      <c r="B7" s="19" t="s">
        <v>34</v>
      </c>
      <c r="C7" s="22"/>
      <c r="D7" s="11">
        <v>8</v>
      </c>
      <c r="E7" s="11">
        <v>0.5</v>
      </c>
      <c r="F7" s="11">
        <v>0</v>
      </c>
      <c r="G7" s="21">
        <f xml:space="preserve"> SUM(D7:F7) + $C7</f>
        <v>8.5</v>
      </c>
      <c r="H7" s="615">
        <v>8</v>
      </c>
      <c r="I7" s="615">
        <v>0.5</v>
      </c>
      <c r="J7" s="615">
        <v>0</v>
      </c>
      <c r="K7" s="21">
        <f t="shared" si="0"/>
        <v>8.5</v>
      </c>
    </row>
    <row r="8" spans="1:11" x14ac:dyDescent="0.25">
      <c r="A8" s="1942" t="s">
        <v>449</v>
      </c>
      <c r="B8" s="404" t="s">
        <v>32</v>
      </c>
      <c r="C8" s="324"/>
      <c r="D8" s="661">
        <v>2</v>
      </c>
      <c r="E8" s="661">
        <v>0.5</v>
      </c>
      <c r="F8" s="661">
        <v>0</v>
      </c>
      <c r="G8" s="21">
        <f xml:space="preserve"> SUM(D8:F8) + $C8</f>
        <v>2.5</v>
      </c>
      <c r="H8" s="661">
        <v>2</v>
      </c>
      <c r="I8" s="661">
        <v>0.5</v>
      </c>
      <c r="J8" s="661">
        <v>0</v>
      </c>
      <c r="K8" s="21">
        <f t="shared" si="0"/>
        <v>2.5</v>
      </c>
    </row>
    <row r="9" spans="1:11" x14ac:dyDescent="0.25">
      <c r="A9" s="1942"/>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42"/>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4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9"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38"/>
      <c r="B17" s="18" t="s">
        <v>33</v>
      </c>
      <c r="C17" s="22"/>
      <c r="D17" s="38">
        <v>0.25</v>
      </c>
      <c r="E17" s="15">
        <v>0</v>
      </c>
      <c r="F17" s="33">
        <v>0</v>
      </c>
      <c r="G17" s="21">
        <f t="shared" si="1"/>
        <v>0.25</v>
      </c>
      <c r="H17" s="625">
        <v>0.25</v>
      </c>
      <c r="I17" s="616">
        <v>0</v>
      </c>
      <c r="J17" s="623">
        <v>0</v>
      </c>
      <c r="K17" s="21">
        <f t="shared" si="2"/>
        <v>0.25</v>
      </c>
    </row>
    <row r="18" spans="1:11" x14ac:dyDescent="0.25">
      <c r="A18" s="1938"/>
      <c r="B18" s="18" t="s">
        <v>34</v>
      </c>
      <c r="C18" s="22"/>
      <c r="D18" s="38">
        <v>0.25</v>
      </c>
      <c r="E18" s="15">
        <v>0</v>
      </c>
      <c r="F18" s="33">
        <v>0</v>
      </c>
      <c r="G18" s="21">
        <f t="shared" si="1"/>
        <v>0.25</v>
      </c>
      <c r="H18" s="625">
        <v>0.25</v>
      </c>
      <c r="I18" s="616">
        <v>0</v>
      </c>
      <c r="J18" s="623">
        <v>0</v>
      </c>
      <c r="K18" s="21">
        <f t="shared" si="2"/>
        <v>0.25</v>
      </c>
    </row>
    <row r="19" spans="1:11" x14ac:dyDescent="0.25">
      <c r="A19" s="1938" t="s">
        <v>5</v>
      </c>
      <c r="B19" s="19" t="s">
        <v>32</v>
      </c>
      <c r="C19" s="22"/>
      <c r="D19" s="38">
        <v>1</v>
      </c>
      <c r="E19" s="15">
        <v>0</v>
      </c>
      <c r="F19" s="33">
        <v>0</v>
      </c>
      <c r="G19" s="21">
        <f t="shared" si="1"/>
        <v>1</v>
      </c>
      <c r="H19" s="38">
        <v>1</v>
      </c>
      <c r="I19" s="15">
        <v>0</v>
      </c>
      <c r="J19" s="33">
        <v>0</v>
      </c>
      <c r="K19" s="21">
        <f t="shared" si="2"/>
        <v>1</v>
      </c>
    </row>
    <row r="20" spans="1:11" x14ac:dyDescent="0.25">
      <c r="A20" s="1938"/>
      <c r="B20" s="19" t="s">
        <v>33</v>
      </c>
      <c r="C20" s="22"/>
      <c r="D20" s="38">
        <v>2</v>
      </c>
      <c r="E20" s="15">
        <v>0</v>
      </c>
      <c r="F20" s="33">
        <v>0</v>
      </c>
      <c r="G20" s="21">
        <f t="shared" si="1"/>
        <v>2</v>
      </c>
      <c r="H20" s="38">
        <v>2</v>
      </c>
      <c r="I20" s="15">
        <v>0</v>
      </c>
      <c r="J20" s="33">
        <v>0</v>
      </c>
      <c r="K20" s="21">
        <f t="shared" si="2"/>
        <v>2</v>
      </c>
    </row>
    <row r="21" spans="1:11" x14ac:dyDescent="0.25">
      <c r="A21" s="1938"/>
      <c r="B21" s="19" t="s">
        <v>34</v>
      </c>
      <c r="C21" s="22"/>
      <c r="D21" s="38">
        <v>3</v>
      </c>
      <c r="E21" s="15">
        <v>0</v>
      </c>
      <c r="F21" s="33">
        <v>0</v>
      </c>
      <c r="G21" s="21">
        <f t="shared" si="1"/>
        <v>3</v>
      </c>
      <c r="H21" s="38">
        <v>3</v>
      </c>
      <c r="I21" s="15">
        <v>0</v>
      </c>
      <c r="J21" s="33">
        <v>0</v>
      </c>
      <c r="K21" s="21">
        <f t="shared" si="2"/>
        <v>3</v>
      </c>
    </row>
    <row r="22" spans="1:11" x14ac:dyDescent="0.25">
      <c r="A22" s="1938" t="s">
        <v>6</v>
      </c>
      <c r="B22" s="19" t="s">
        <v>32</v>
      </c>
      <c r="C22" s="22"/>
      <c r="D22" s="615">
        <v>8</v>
      </c>
      <c r="E22" s="630">
        <f>1*E$3</f>
        <v>0</v>
      </c>
      <c r="F22" s="615">
        <v>0</v>
      </c>
      <c r="G22" s="21">
        <f t="shared" si="1"/>
        <v>8</v>
      </c>
      <c r="H22" s="615">
        <v>8</v>
      </c>
      <c r="I22" s="630">
        <f>1*I$3</f>
        <v>0</v>
      </c>
      <c r="J22" s="615">
        <v>0</v>
      </c>
      <c r="K22" s="21">
        <f t="shared" si="2"/>
        <v>8</v>
      </c>
    </row>
    <row r="23" spans="1:11" x14ac:dyDescent="0.25">
      <c r="A23" s="1938"/>
      <c r="B23" s="19" t="s">
        <v>33</v>
      </c>
      <c r="C23" s="22"/>
      <c r="D23" s="615">
        <v>12</v>
      </c>
      <c r="E23" s="630">
        <f>1*E$3</f>
        <v>0</v>
      </c>
      <c r="F23" s="615">
        <v>0</v>
      </c>
      <c r="G23" s="21">
        <f t="shared" si="1"/>
        <v>12</v>
      </c>
      <c r="H23" s="615">
        <v>12</v>
      </c>
      <c r="I23" s="630">
        <f>1*I$3</f>
        <v>0</v>
      </c>
      <c r="J23" s="615">
        <v>0</v>
      </c>
      <c r="K23" s="21">
        <f t="shared" si="2"/>
        <v>12</v>
      </c>
    </row>
    <row r="24" spans="1:11" x14ac:dyDescent="0.25">
      <c r="A24" s="1938"/>
      <c r="B24" s="19" t="s">
        <v>34</v>
      </c>
      <c r="C24" s="22"/>
      <c r="D24" s="615">
        <v>14</v>
      </c>
      <c r="E24" s="630">
        <f>1*E$3</f>
        <v>0</v>
      </c>
      <c r="F24" s="615">
        <v>0</v>
      </c>
      <c r="G24" s="21">
        <f t="shared" si="1"/>
        <v>14</v>
      </c>
      <c r="H24" s="615">
        <v>14</v>
      </c>
      <c r="I24" s="630">
        <f>1*I$3</f>
        <v>0</v>
      </c>
      <c r="J24" s="615">
        <v>0</v>
      </c>
      <c r="K24" s="21">
        <f t="shared" si="2"/>
        <v>14</v>
      </c>
    </row>
    <row r="25" spans="1:11" x14ac:dyDescent="0.25">
      <c r="A25" s="1938" t="s">
        <v>7</v>
      </c>
      <c r="B25" s="19" t="s">
        <v>32</v>
      </c>
      <c r="C25" s="22"/>
      <c r="D25" s="625">
        <v>4</v>
      </c>
      <c r="E25" s="616">
        <v>0</v>
      </c>
      <c r="F25" s="623">
        <v>0</v>
      </c>
      <c r="G25" s="21">
        <f t="shared" si="1"/>
        <v>4</v>
      </c>
      <c r="H25" s="625">
        <v>4</v>
      </c>
      <c r="I25" s="616">
        <v>0</v>
      </c>
      <c r="J25" s="623">
        <v>0</v>
      </c>
      <c r="K25" s="21">
        <f t="shared" si="2"/>
        <v>4</v>
      </c>
    </row>
    <row r="26" spans="1:11" x14ac:dyDescent="0.25">
      <c r="A26" s="1938"/>
      <c r="B26" s="19" t="s">
        <v>33</v>
      </c>
      <c r="C26" s="22"/>
      <c r="D26" s="625">
        <v>6</v>
      </c>
      <c r="E26" s="616">
        <v>0</v>
      </c>
      <c r="F26" s="623">
        <v>0</v>
      </c>
      <c r="G26" s="21">
        <f t="shared" si="1"/>
        <v>6</v>
      </c>
      <c r="H26" s="625">
        <v>6</v>
      </c>
      <c r="I26" s="616">
        <v>0</v>
      </c>
      <c r="J26" s="623">
        <v>0</v>
      </c>
      <c r="K26" s="21">
        <f t="shared" si="2"/>
        <v>6</v>
      </c>
    </row>
    <row r="27" spans="1:11" x14ac:dyDescent="0.25">
      <c r="A27" s="1938"/>
      <c r="B27" s="19" t="s">
        <v>34</v>
      </c>
      <c r="C27" s="22"/>
      <c r="D27" s="625">
        <v>8</v>
      </c>
      <c r="E27" s="616">
        <v>0</v>
      </c>
      <c r="F27" s="623">
        <v>0</v>
      </c>
      <c r="G27" s="21">
        <f t="shared" si="1"/>
        <v>8</v>
      </c>
      <c r="H27" s="625">
        <v>8</v>
      </c>
      <c r="I27" s="616">
        <v>0</v>
      </c>
      <c r="J27" s="623">
        <v>0</v>
      </c>
      <c r="K27" s="21">
        <f t="shared" si="2"/>
        <v>8</v>
      </c>
    </row>
    <row r="28" spans="1:11" x14ac:dyDescent="0.25">
      <c r="A28" s="1938" t="s">
        <v>8</v>
      </c>
      <c r="B28" s="19" t="s">
        <v>32</v>
      </c>
      <c r="C28" s="22"/>
      <c r="D28" s="625">
        <v>3</v>
      </c>
      <c r="E28" s="616">
        <v>0</v>
      </c>
      <c r="F28" s="623">
        <v>0</v>
      </c>
      <c r="G28" s="21">
        <f t="shared" si="1"/>
        <v>3</v>
      </c>
      <c r="H28" s="625">
        <v>3</v>
      </c>
      <c r="I28" s="616">
        <v>0</v>
      </c>
      <c r="J28" s="623">
        <v>0</v>
      </c>
      <c r="K28" s="21">
        <f t="shared" si="2"/>
        <v>3</v>
      </c>
    </row>
    <row r="29" spans="1:11" x14ac:dyDescent="0.25">
      <c r="A29" s="1938"/>
      <c r="B29" s="19" t="s">
        <v>33</v>
      </c>
      <c r="C29" s="22"/>
      <c r="D29" s="625">
        <v>4</v>
      </c>
      <c r="E29" s="616">
        <v>0</v>
      </c>
      <c r="F29" s="623">
        <v>0</v>
      </c>
      <c r="G29" s="21">
        <f t="shared" si="1"/>
        <v>4</v>
      </c>
      <c r="H29" s="625">
        <v>4</v>
      </c>
      <c r="I29" s="616">
        <v>0</v>
      </c>
      <c r="J29" s="623">
        <v>0</v>
      </c>
      <c r="K29" s="21">
        <f t="shared" si="2"/>
        <v>4</v>
      </c>
    </row>
    <row r="30" spans="1:11" x14ac:dyDescent="0.25">
      <c r="A30" s="1938"/>
      <c r="B30" s="19" t="s">
        <v>34</v>
      </c>
      <c r="C30" s="22"/>
      <c r="D30" s="625">
        <v>6</v>
      </c>
      <c r="E30" s="616">
        <v>0</v>
      </c>
      <c r="F30" s="623">
        <v>0</v>
      </c>
      <c r="G30" s="21">
        <f t="shared" si="1"/>
        <v>6</v>
      </c>
      <c r="H30" s="625">
        <v>6</v>
      </c>
      <c r="I30" s="616">
        <v>0</v>
      </c>
      <c r="J30" s="623">
        <v>0</v>
      </c>
      <c r="K30" s="21">
        <f t="shared" si="2"/>
        <v>6</v>
      </c>
    </row>
    <row r="31" spans="1:11" x14ac:dyDescent="0.25">
      <c r="A31" s="1938" t="s">
        <v>9</v>
      </c>
      <c r="B31" s="19" t="s">
        <v>32</v>
      </c>
      <c r="C31" s="22"/>
      <c r="D31" s="124">
        <f>2+(0.5*D$3)</f>
        <v>2</v>
      </c>
      <c r="E31" s="15">
        <v>0</v>
      </c>
      <c r="F31" s="15">
        <v>0</v>
      </c>
      <c r="G31" s="21">
        <f t="shared" si="1"/>
        <v>2</v>
      </c>
      <c r="H31" s="631">
        <f>2+(0.5*H$3)</f>
        <v>2</v>
      </c>
      <c r="I31" s="616">
        <v>0</v>
      </c>
      <c r="J31" s="616">
        <v>0</v>
      </c>
      <c r="K31" s="21">
        <f t="shared" si="2"/>
        <v>2</v>
      </c>
    </row>
    <row r="32" spans="1:11" x14ac:dyDescent="0.25">
      <c r="A32" s="1938"/>
      <c r="B32" s="19" t="s">
        <v>33</v>
      </c>
      <c r="C32" s="22"/>
      <c r="D32" s="124">
        <f>4+(0.5*D$3)</f>
        <v>4</v>
      </c>
      <c r="E32" s="15">
        <v>0</v>
      </c>
      <c r="F32" s="15">
        <v>0</v>
      </c>
      <c r="G32" s="21">
        <f t="shared" si="1"/>
        <v>4</v>
      </c>
      <c r="H32" s="631">
        <f>4+(0.5*H$3)</f>
        <v>4</v>
      </c>
      <c r="I32" s="616">
        <v>0</v>
      </c>
      <c r="J32" s="616">
        <v>0</v>
      </c>
      <c r="K32" s="21">
        <f t="shared" si="2"/>
        <v>4</v>
      </c>
    </row>
    <row r="33" spans="1:11" x14ac:dyDescent="0.25">
      <c r="A33" s="1938"/>
      <c r="B33" s="19" t="s">
        <v>34</v>
      </c>
      <c r="C33" s="22"/>
      <c r="D33" s="124">
        <f>6+(0.5*D$3)</f>
        <v>6</v>
      </c>
      <c r="E33" s="15">
        <v>0</v>
      </c>
      <c r="F33" s="15">
        <v>0</v>
      </c>
      <c r="G33" s="21">
        <f t="shared" si="1"/>
        <v>6</v>
      </c>
      <c r="H33" s="631">
        <f>6+(0.5*H$3)</f>
        <v>6</v>
      </c>
      <c r="I33" s="616">
        <v>0</v>
      </c>
      <c r="J33" s="616">
        <v>0</v>
      </c>
      <c r="K33" s="21">
        <f t="shared" si="2"/>
        <v>6</v>
      </c>
    </row>
    <row r="34" spans="1:11" x14ac:dyDescent="0.25">
      <c r="A34" s="1938" t="s">
        <v>10</v>
      </c>
      <c r="B34" s="19" t="s">
        <v>32</v>
      </c>
      <c r="C34" s="22"/>
      <c r="D34" s="38">
        <v>2</v>
      </c>
      <c r="E34" s="15">
        <v>0</v>
      </c>
      <c r="F34" s="15">
        <v>0</v>
      </c>
      <c r="G34" s="21">
        <f t="shared" si="1"/>
        <v>2</v>
      </c>
      <c r="H34" s="625">
        <v>2</v>
      </c>
      <c r="I34" s="616">
        <v>0</v>
      </c>
      <c r="J34" s="616">
        <v>0</v>
      </c>
      <c r="K34" s="21">
        <f t="shared" si="2"/>
        <v>2</v>
      </c>
    </row>
    <row r="35" spans="1:11" x14ac:dyDescent="0.25">
      <c r="A35" s="1938"/>
      <c r="B35" s="19" t="s">
        <v>33</v>
      </c>
      <c r="C35" s="22"/>
      <c r="D35" s="38">
        <v>4</v>
      </c>
      <c r="E35" s="15">
        <v>0</v>
      </c>
      <c r="F35" s="15">
        <v>0</v>
      </c>
      <c r="G35" s="21">
        <f t="shared" si="1"/>
        <v>4</v>
      </c>
      <c r="H35" s="625">
        <v>4</v>
      </c>
      <c r="I35" s="616">
        <v>0</v>
      </c>
      <c r="J35" s="616">
        <v>0</v>
      </c>
      <c r="K35" s="21">
        <f t="shared" si="2"/>
        <v>4</v>
      </c>
    </row>
    <row r="36" spans="1:11" ht="15.75" thickBot="1" x14ac:dyDescent="0.3">
      <c r="A36" s="1936"/>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2"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42"/>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42"/>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4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2"/>
      <c r="B43" s="19" t="s">
        <v>33</v>
      </c>
      <c r="C43" s="22"/>
      <c r="D43" s="625">
        <v>2</v>
      </c>
      <c r="E43" s="616">
        <v>0</v>
      </c>
      <c r="F43" s="623">
        <v>0</v>
      </c>
      <c r="G43" s="21">
        <f t="shared" si="1"/>
        <v>2</v>
      </c>
      <c r="H43" s="625">
        <v>2</v>
      </c>
      <c r="I43" s="616">
        <v>0</v>
      </c>
      <c r="J43" s="623">
        <v>0</v>
      </c>
      <c r="K43" s="21">
        <f t="shared" si="3"/>
        <v>2</v>
      </c>
    </row>
    <row r="44" spans="1:11" x14ac:dyDescent="0.25">
      <c r="A44" s="1942"/>
      <c r="B44" s="19" t="s">
        <v>34</v>
      </c>
      <c r="C44" s="22"/>
      <c r="D44" s="625">
        <v>3</v>
      </c>
      <c r="E44" s="616">
        <v>0</v>
      </c>
      <c r="F44" s="623">
        <v>0</v>
      </c>
      <c r="G44" s="21">
        <f t="shared" si="1"/>
        <v>3</v>
      </c>
      <c r="H44" s="625">
        <v>3</v>
      </c>
      <c r="I44" s="616">
        <v>0</v>
      </c>
      <c r="J44" s="623">
        <v>0</v>
      </c>
      <c r="K44" s="21">
        <f t="shared" si="3"/>
        <v>3</v>
      </c>
    </row>
    <row r="45" spans="1:11" x14ac:dyDescent="0.25">
      <c r="A45" s="1935" t="s">
        <v>15</v>
      </c>
      <c r="B45" s="19" t="s">
        <v>32</v>
      </c>
      <c r="C45" s="22"/>
      <c r="D45" s="661">
        <v>16</v>
      </c>
      <c r="E45" s="674">
        <f>1.5*$E$3</f>
        <v>0</v>
      </c>
      <c r="F45" s="15">
        <v>0</v>
      </c>
      <c r="G45" s="21">
        <f t="shared" si="1"/>
        <v>16</v>
      </c>
      <c r="H45" s="661">
        <v>16</v>
      </c>
      <c r="I45" s="674">
        <f>1.5*$E$3</f>
        <v>0</v>
      </c>
      <c r="J45" s="616">
        <v>0</v>
      </c>
      <c r="K45" s="21">
        <f t="shared" si="3"/>
        <v>16</v>
      </c>
    </row>
    <row r="46" spans="1:11" x14ac:dyDescent="0.25">
      <c r="A46" s="1935"/>
      <c r="B46" s="19" t="s">
        <v>33</v>
      </c>
      <c r="C46" s="22"/>
      <c r="D46" s="615">
        <v>24</v>
      </c>
      <c r="E46" s="674">
        <f>1.5*$E$3</f>
        <v>0</v>
      </c>
      <c r="F46" s="15">
        <v>0</v>
      </c>
      <c r="G46" s="21">
        <f t="shared" si="1"/>
        <v>24</v>
      </c>
      <c r="H46" s="615">
        <v>24</v>
      </c>
      <c r="I46" s="674">
        <f>1.5*$E$3</f>
        <v>0</v>
      </c>
      <c r="J46" s="616">
        <v>0</v>
      </c>
      <c r="K46" s="21">
        <f t="shared" si="3"/>
        <v>24</v>
      </c>
    </row>
    <row r="47" spans="1:11" x14ac:dyDescent="0.25">
      <c r="A47" s="1935"/>
      <c r="B47" s="19" t="s">
        <v>34</v>
      </c>
      <c r="C47" s="22"/>
      <c r="D47" s="673">
        <v>32</v>
      </c>
      <c r="E47" s="674">
        <f>1.5*$E$3</f>
        <v>0</v>
      </c>
      <c r="F47" s="15">
        <v>0</v>
      </c>
      <c r="G47" s="21">
        <f t="shared" si="1"/>
        <v>32</v>
      </c>
      <c r="H47" s="673">
        <v>32</v>
      </c>
      <c r="I47" s="674">
        <f>1.5*$E$3</f>
        <v>0</v>
      </c>
      <c r="J47" s="616">
        <v>0</v>
      </c>
      <c r="K47" s="21">
        <f t="shared" si="3"/>
        <v>32</v>
      </c>
    </row>
    <row r="48" spans="1:11" x14ac:dyDescent="0.25">
      <c r="A48" s="1935" t="s">
        <v>16</v>
      </c>
      <c r="B48" s="19" t="s">
        <v>32</v>
      </c>
      <c r="C48" s="22"/>
      <c r="D48" s="631">
        <f>1*D$3</f>
        <v>0</v>
      </c>
      <c r="E48" s="616">
        <v>0</v>
      </c>
      <c r="F48" s="689">
        <v>0</v>
      </c>
      <c r="G48" s="21">
        <f t="shared" si="1"/>
        <v>0</v>
      </c>
      <c r="H48" s="631">
        <f>1*H$3</f>
        <v>0</v>
      </c>
      <c r="I48" s="616">
        <v>0</v>
      </c>
      <c r="J48" s="689">
        <v>0</v>
      </c>
      <c r="K48" s="21">
        <f t="shared" si="3"/>
        <v>0</v>
      </c>
    </row>
    <row r="49" spans="1:11" x14ac:dyDescent="0.25">
      <c r="A49" s="1935"/>
      <c r="B49" s="19" t="s">
        <v>33</v>
      </c>
      <c r="C49" s="22"/>
      <c r="D49" s="631">
        <f>1.5*D$3</f>
        <v>0</v>
      </c>
      <c r="E49" s="616">
        <v>0</v>
      </c>
      <c r="F49" s="689">
        <v>0</v>
      </c>
      <c r="G49" s="21">
        <f t="shared" si="1"/>
        <v>0</v>
      </c>
      <c r="H49" s="631">
        <f>1.5*H$3</f>
        <v>0</v>
      </c>
      <c r="I49" s="616">
        <v>0</v>
      </c>
      <c r="J49" s="689">
        <v>0</v>
      </c>
      <c r="K49" s="21">
        <f t="shared" si="3"/>
        <v>0</v>
      </c>
    </row>
    <row r="50" spans="1:11" x14ac:dyDescent="0.25">
      <c r="A50" s="1935"/>
      <c r="B50" s="19" t="s">
        <v>34</v>
      </c>
      <c r="C50" s="22"/>
      <c r="D50" s="631">
        <f>2*D$3</f>
        <v>0</v>
      </c>
      <c r="E50" s="616">
        <v>0</v>
      </c>
      <c r="F50" s="689">
        <v>0</v>
      </c>
      <c r="G50" s="21">
        <f t="shared" si="1"/>
        <v>0</v>
      </c>
      <c r="H50" s="631">
        <f>2*H$3</f>
        <v>0</v>
      </c>
      <c r="I50" s="616">
        <v>0</v>
      </c>
      <c r="J50" s="689">
        <v>0</v>
      </c>
      <c r="K50" s="21">
        <f t="shared" si="3"/>
        <v>0</v>
      </c>
    </row>
    <row r="51" spans="1:11" x14ac:dyDescent="0.25">
      <c r="A51" s="1935" t="s">
        <v>17</v>
      </c>
      <c r="B51" s="19" t="s">
        <v>32</v>
      </c>
      <c r="C51" s="22"/>
      <c r="D51" s="631">
        <f>1*D$3</f>
        <v>0</v>
      </c>
      <c r="E51" s="616">
        <v>0</v>
      </c>
      <c r="F51" s="689">
        <v>0</v>
      </c>
      <c r="G51" s="21">
        <f t="shared" si="1"/>
        <v>0</v>
      </c>
      <c r="H51" s="631">
        <f>1*H$3</f>
        <v>0</v>
      </c>
      <c r="I51" s="616">
        <v>0</v>
      </c>
      <c r="J51" s="689">
        <v>0</v>
      </c>
      <c r="K51" s="21">
        <f t="shared" si="3"/>
        <v>0</v>
      </c>
    </row>
    <row r="52" spans="1:11" x14ac:dyDescent="0.25">
      <c r="A52" s="1935"/>
      <c r="B52" s="19" t="s">
        <v>33</v>
      </c>
      <c r="C52" s="22"/>
      <c r="D52" s="631">
        <f>1.5*D$3</f>
        <v>0</v>
      </c>
      <c r="E52" s="616">
        <v>0</v>
      </c>
      <c r="F52" s="689">
        <v>0</v>
      </c>
      <c r="G52" s="21">
        <f t="shared" si="1"/>
        <v>0</v>
      </c>
      <c r="H52" s="631">
        <f>1.5*H$3</f>
        <v>0</v>
      </c>
      <c r="I52" s="616">
        <v>0</v>
      </c>
      <c r="J52" s="689">
        <v>0</v>
      </c>
      <c r="K52" s="21">
        <f t="shared" si="3"/>
        <v>0</v>
      </c>
    </row>
    <row r="53" spans="1:11" x14ac:dyDescent="0.25">
      <c r="A53" s="1935"/>
      <c r="B53" s="19" t="s">
        <v>34</v>
      </c>
      <c r="C53" s="22"/>
      <c r="D53" s="631">
        <f>2*D$3</f>
        <v>0</v>
      </c>
      <c r="E53" s="616">
        <v>0</v>
      </c>
      <c r="F53" s="689">
        <v>0</v>
      </c>
      <c r="G53" s="21">
        <f t="shared" si="1"/>
        <v>0</v>
      </c>
      <c r="H53" s="631">
        <f>2*H$3</f>
        <v>0</v>
      </c>
      <c r="I53" s="616">
        <v>0</v>
      </c>
      <c r="J53" s="689">
        <v>0</v>
      </c>
      <c r="K53" s="21">
        <f t="shared" si="3"/>
        <v>0</v>
      </c>
    </row>
    <row r="54" spans="1:11" x14ac:dyDescent="0.25">
      <c r="A54" s="1935" t="s">
        <v>18</v>
      </c>
      <c r="B54" s="19" t="s">
        <v>32</v>
      </c>
      <c r="C54" s="22"/>
      <c r="D54" s="631">
        <f>1*D$3</f>
        <v>0</v>
      </c>
      <c r="E54" s="616">
        <v>0</v>
      </c>
      <c r="F54" s="616">
        <v>0</v>
      </c>
      <c r="G54" s="21">
        <f t="shared" si="1"/>
        <v>0</v>
      </c>
      <c r="H54" s="631">
        <f>1*H$3</f>
        <v>0</v>
      </c>
      <c r="I54" s="616">
        <v>0</v>
      </c>
      <c r="J54" s="616">
        <v>0</v>
      </c>
      <c r="K54" s="21">
        <f t="shared" si="3"/>
        <v>0</v>
      </c>
    </row>
    <row r="55" spans="1:11" x14ac:dyDescent="0.25">
      <c r="A55" s="1935"/>
      <c r="B55" s="19" t="s">
        <v>33</v>
      </c>
      <c r="C55" s="22"/>
      <c r="D55" s="631">
        <f>1*D$3</f>
        <v>0</v>
      </c>
      <c r="E55" s="616">
        <v>0</v>
      </c>
      <c r="F55" s="616">
        <v>0</v>
      </c>
      <c r="G55" s="21">
        <f t="shared" si="1"/>
        <v>0</v>
      </c>
      <c r="H55" s="631">
        <f>1*H$3</f>
        <v>0</v>
      </c>
      <c r="I55" s="616">
        <v>0</v>
      </c>
      <c r="J55" s="616">
        <v>0</v>
      </c>
      <c r="K55" s="21">
        <f t="shared" si="3"/>
        <v>0</v>
      </c>
    </row>
    <row r="56" spans="1:11" x14ac:dyDescent="0.25">
      <c r="A56" s="1935"/>
      <c r="B56" s="19" t="s">
        <v>34</v>
      </c>
      <c r="C56" s="22"/>
      <c r="D56" s="631">
        <f>1*D$3</f>
        <v>0</v>
      </c>
      <c r="E56" s="616">
        <v>0</v>
      </c>
      <c r="F56" s="616">
        <v>0</v>
      </c>
      <c r="G56" s="21">
        <f t="shared" si="1"/>
        <v>0</v>
      </c>
      <c r="H56" s="631">
        <f>1*H$3</f>
        <v>0</v>
      </c>
      <c r="I56" s="616">
        <v>0</v>
      </c>
      <c r="J56" s="616">
        <v>0</v>
      </c>
      <c r="K56" s="21">
        <f t="shared" si="3"/>
        <v>0</v>
      </c>
    </row>
    <row r="57" spans="1:11" x14ac:dyDescent="0.25">
      <c r="A57" s="1935" t="s">
        <v>19</v>
      </c>
      <c r="B57" s="19" t="s">
        <v>32</v>
      </c>
      <c r="C57" s="22"/>
      <c r="D57" s="625">
        <v>4</v>
      </c>
      <c r="E57" s="616">
        <v>0</v>
      </c>
      <c r="F57" s="616">
        <v>0</v>
      </c>
      <c r="G57" s="21">
        <f t="shared" si="1"/>
        <v>4</v>
      </c>
      <c r="H57" s="625">
        <v>4</v>
      </c>
      <c r="I57" s="616">
        <v>0</v>
      </c>
      <c r="J57" s="616">
        <v>0</v>
      </c>
      <c r="K57" s="21">
        <f t="shared" si="3"/>
        <v>4</v>
      </c>
    </row>
    <row r="58" spans="1:11" x14ac:dyDescent="0.25">
      <c r="A58" s="1935"/>
      <c r="B58" s="19" t="s">
        <v>33</v>
      </c>
      <c r="C58" s="22"/>
      <c r="D58" s="625">
        <v>6</v>
      </c>
      <c r="E58" s="616">
        <v>0</v>
      </c>
      <c r="F58" s="616">
        <v>0</v>
      </c>
      <c r="G58" s="21">
        <f t="shared" si="1"/>
        <v>6</v>
      </c>
      <c r="H58" s="625">
        <v>6</v>
      </c>
      <c r="I58" s="616">
        <v>0</v>
      </c>
      <c r="J58" s="616">
        <v>0</v>
      </c>
      <c r="K58" s="21">
        <f t="shared" si="3"/>
        <v>6</v>
      </c>
    </row>
    <row r="59" spans="1:11" x14ac:dyDescent="0.25">
      <c r="A59" s="1935"/>
      <c r="B59" s="19" t="s">
        <v>34</v>
      </c>
      <c r="C59" s="22"/>
      <c r="D59" s="625">
        <v>8</v>
      </c>
      <c r="E59" s="616">
        <v>0</v>
      </c>
      <c r="F59" s="616">
        <v>0</v>
      </c>
      <c r="G59" s="21">
        <f t="shared" si="1"/>
        <v>8</v>
      </c>
      <c r="H59" s="625">
        <v>8</v>
      </c>
      <c r="I59" s="616">
        <v>0</v>
      </c>
      <c r="J59" s="616">
        <v>0</v>
      </c>
      <c r="K59" s="21">
        <f t="shared" si="3"/>
        <v>8</v>
      </c>
    </row>
    <row r="60" spans="1:11" x14ac:dyDescent="0.25">
      <c r="A60" s="1935"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35"/>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35"/>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35" t="s">
        <v>451</v>
      </c>
      <c r="B63" s="19" t="s">
        <v>32</v>
      </c>
      <c r="C63" s="22"/>
      <c r="D63" s="482">
        <v>0.25</v>
      </c>
      <c r="E63" s="691">
        <v>0</v>
      </c>
      <c r="F63" s="495">
        <v>0</v>
      </c>
      <c r="G63" s="21">
        <f t="shared" si="1"/>
        <v>0.25</v>
      </c>
      <c r="H63" s="482">
        <v>0.25</v>
      </c>
      <c r="I63" s="691">
        <v>0</v>
      </c>
      <c r="J63" s="495">
        <v>0</v>
      </c>
      <c r="K63" s="21">
        <f t="shared" si="3"/>
        <v>0.25</v>
      </c>
    </row>
    <row r="64" spans="1:11" x14ac:dyDescent="0.25">
      <c r="A64" s="1935"/>
      <c r="B64" s="19" t="s">
        <v>33</v>
      </c>
      <c r="C64" s="22"/>
      <c r="D64" s="625">
        <v>0.5</v>
      </c>
      <c r="E64" s="691">
        <v>0</v>
      </c>
      <c r="F64" s="495">
        <v>0</v>
      </c>
      <c r="G64" s="21">
        <f t="shared" si="1"/>
        <v>0.5</v>
      </c>
      <c r="H64" s="625">
        <v>0.5</v>
      </c>
      <c r="I64" s="691">
        <v>0</v>
      </c>
      <c r="J64" s="495">
        <v>0</v>
      </c>
      <c r="K64" s="21">
        <f t="shared" si="3"/>
        <v>0.5</v>
      </c>
    </row>
    <row r="65" spans="1:11" x14ac:dyDescent="0.25">
      <c r="A65" s="1935"/>
      <c r="B65" s="19" t="s">
        <v>34</v>
      </c>
      <c r="C65" s="22"/>
      <c r="D65" s="625">
        <v>1</v>
      </c>
      <c r="E65" s="691">
        <v>0</v>
      </c>
      <c r="F65" s="495">
        <v>0</v>
      </c>
      <c r="G65" s="21">
        <f t="shared" si="1"/>
        <v>1</v>
      </c>
      <c r="H65" s="625">
        <v>1</v>
      </c>
      <c r="I65" s="691">
        <v>0</v>
      </c>
      <c r="J65" s="495">
        <v>0</v>
      </c>
      <c r="K65" s="21">
        <f t="shared" si="3"/>
        <v>1</v>
      </c>
    </row>
    <row r="66" spans="1:11" x14ac:dyDescent="0.25">
      <c r="A66" s="1935" t="s">
        <v>452</v>
      </c>
      <c r="B66" s="19" t="s">
        <v>32</v>
      </c>
      <c r="C66" s="22"/>
      <c r="D66" s="482">
        <v>0.25</v>
      </c>
      <c r="E66" s="691">
        <v>0</v>
      </c>
      <c r="F66" s="495">
        <v>0</v>
      </c>
      <c r="G66" s="21">
        <f t="shared" si="1"/>
        <v>0.25</v>
      </c>
      <c r="H66" s="482">
        <v>0.25</v>
      </c>
      <c r="I66" s="691">
        <v>0</v>
      </c>
      <c r="J66" s="495">
        <v>0</v>
      </c>
      <c r="K66" s="21">
        <f t="shared" si="3"/>
        <v>0.25</v>
      </c>
    </row>
    <row r="67" spans="1:11" x14ac:dyDescent="0.25">
      <c r="A67" s="1935"/>
      <c r="B67" s="19" t="s">
        <v>33</v>
      </c>
      <c r="C67" s="22"/>
      <c r="D67" s="625">
        <v>0.5</v>
      </c>
      <c r="E67" s="691">
        <v>0</v>
      </c>
      <c r="F67" s="495">
        <v>0</v>
      </c>
      <c r="G67" s="21">
        <f t="shared" si="1"/>
        <v>0.5</v>
      </c>
      <c r="H67" s="625">
        <v>0.5</v>
      </c>
      <c r="I67" s="691">
        <v>0</v>
      </c>
      <c r="J67" s="495">
        <v>0</v>
      </c>
      <c r="K67" s="21">
        <f t="shared" si="3"/>
        <v>0.5</v>
      </c>
    </row>
    <row r="68" spans="1:11" x14ac:dyDescent="0.25">
      <c r="A68" s="1935"/>
      <c r="B68" s="19" t="s">
        <v>34</v>
      </c>
      <c r="C68" s="22"/>
      <c r="D68" s="625">
        <v>1</v>
      </c>
      <c r="E68" s="691">
        <v>0</v>
      </c>
      <c r="F68" s="495">
        <v>0</v>
      </c>
      <c r="G68" s="21">
        <f t="shared" si="1"/>
        <v>1</v>
      </c>
      <c r="H68" s="625">
        <v>1</v>
      </c>
      <c r="I68" s="691">
        <v>0</v>
      </c>
      <c r="J68" s="495">
        <v>0</v>
      </c>
      <c r="K68" s="21">
        <f t="shared" si="3"/>
        <v>1</v>
      </c>
    </row>
    <row r="69" spans="1:11" x14ac:dyDescent="0.25">
      <c r="A69" s="1945" t="s">
        <v>533</v>
      </c>
      <c r="B69" s="19" t="s">
        <v>32</v>
      </c>
      <c r="C69" s="22"/>
      <c r="D69" s="625">
        <v>2</v>
      </c>
      <c r="E69" s="623">
        <v>0</v>
      </c>
      <c r="F69" s="623">
        <v>0</v>
      </c>
      <c r="G69" s="21">
        <f t="shared" si="1"/>
        <v>2</v>
      </c>
      <c r="H69" s="625">
        <v>2</v>
      </c>
      <c r="I69" s="623">
        <v>0</v>
      </c>
      <c r="J69" s="623">
        <v>0</v>
      </c>
      <c r="K69" s="21">
        <f t="shared" si="3"/>
        <v>2</v>
      </c>
    </row>
    <row r="70" spans="1:11" x14ac:dyDescent="0.25">
      <c r="A70" s="1945"/>
      <c r="B70" s="19" t="s">
        <v>33</v>
      </c>
      <c r="C70" s="22"/>
      <c r="D70" s="625">
        <v>4</v>
      </c>
      <c r="E70" s="623">
        <v>0</v>
      </c>
      <c r="F70" s="623">
        <v>0</v>
      </c>
      <c r="G70" s="21">
        <f t="shared" si="1"/>
        <v>4</v>
      </c>
      <c r="H70" s="625">
        <v>4</v>
      </c>
      <c r="I70" s="623">
        <v>0</v>
      </c>
      <c r="J70" s="623">
        <v>0</v>
      </c>
      <c r="K70" s="21">
        <f t="shared" si="3"/>
        <v>4</v>
      </c>
    </row>
    <row r="71" spans="1:11" x14ac:dyDescent="0.25">
      <c r="A71" s="1945"/>
      <c r="B71" s="19" t="s">
        <v>34</v>
      </c>
      <c r="C71" s="22"/>
      <c r="D71" s="625">
        <v>6</v>
      </c>
      <c r="E71" s="623">
        <v>0</v>
      </c>
      <c r="F71" s="623">
        <v>0</v>
      </c>
      <c r="G71" s="21">
        <f t="shared" si="1"/>
        <v>6</v>
      </c>
      <c r="H71" s="625">
        <v>6</v>
      </c>
      <c r="I71" s="623">
        <v>0</v>
      </c>
      <c r="J71" s="623">
        <v>0</v>
      </c>
      <c r="K71" s="21">
        <f t="shared" si="3"/>
        <v>6</v>
      </c>
    </row>
    <row r="72" spans="1:11" x14ac:dyDescent="0.25">
      <c r="A72" s="1935" t="s">
        <v>534</v>
      </c>
      <c r="B72" s="19" t="s">
        <v>32</v>
      </c>
      <c r="C72" s="22"/>
      <c r="D72" s="625">
        <v>4</v>
      </c>
      <c r="E72" s="623">
        <v>0</v>
      </c>
      <c r="F72" s="623">
        <v>0</v>
      </c>
      <c r="G72" s="21">
        <f t="shared" si="1"/>
        <v>4</v>
      </c>
      <c r="H72" s="625">
        <v>4</v>
      </c>
      <c r="I72" s="623">
        <v>0</v>
      </c>
      <c r="J72" s="623">
        <v>0</v>
      </c>
      <c r="K72" s="21">
        <f t="shared" si="3"/>
        <v>4</v>
      </c>
    </row>
    <row r="73" spans="1:11" x14ac:dyDescent="0.25">
      <c r="A73" s="1935"/>
      <c r="B73" s="19" t="s">
        <v>33</v>
      </c>
      <c r="C73" s="22"/>
      <c r="D73" s="625">
        <v>6</v>
      </c>
      <c r="E73" s="623">
        <v>0</v>
      </c>
      <c r="F73" s="623">
        <v>0</v>
      </c>
      <c r="G73" s="21">
        <f t="shared" si="1"/>
        <v>6</v>
      </c>
      <c r="H73" s="625">
        <v>6</v>
      </c>
      <c r="I73" s="623">
        <v>0</v>
      </c>
      <c r="J73" s="623">
        <v>0</v>
      </c>
      <c r="K73" s="21">
        <f t="shared" si="3"/>
        <v>6</v>
      </c>
    </row>
    <row r="74" spans="1:11" x14ac:dyDescent="0.25">
      <c r="A74" s="1935"/>
      <c r="B74" s="19" t="s">
        <v>34</v>
      </c>
      <c r="C74" s="22"/>
      <c r="D74" s="625">
        <v>8</v>
      </c>
      <c r="E74" s="623">
        <v>0</v>
      </c>
      <c r="F74" s="623">
        <v>0</v>
      </c>
      <c r="G74" s="21">
        <f t="shared" si="1"/>
        <v>8</v>
      </c>
      <c r="H74" s="625">
        <v>8</v>
      </c>
      <c r="I74" s="623">
        <v>0</v>
      </c>
      <c r="J74" s="623">
        <v>0</v>
      </c>
      <c r="K74" s="21">
        <f t="shared" si="3"/>
        <v>8</v>
      </c>
    </row>
    <row r="75" spans="1:11" x14ac:dyDescent="0.25">
      <c r="A75" s="1935"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5"/>
      <c r="B76" s="19" t="s">
        <v>33</v>
      </c>
      <c r="C76" s="22"/>
      <c r="D76" s="38" t="s">
        <v>90</v>
      </c>
      <c r="E76" s="38" t="s">
        <v>90</v>
      </c>
      <c r="F76" s="38" t="s">
        <v>90</v>
      </c>
      <c r="G76" s="21">
        <f t="shared" si="1"/>
        <v>0</v>
      </c>
      <c r="H76" s="38" t="s">
        <v>90</v>
      </c>
      <c r="I76" s="38" t="s">
        <v>90</v>
      </c>
      <c r="J76" s="38" t="s">
        <v>90</v>
      </c>
      <c r="K76" s="21">
        <f t="shared" si="3"/>
        <v>0</v>
      </c>
    </row>
    <row r="77" spans="1:11" x14ac:dyDescent="0.25">
      <c r="A77" s="1935"/>
      <c r="B77" s="13" t="s">
        <v>34</v>
      </c>
      <c r="C77" s="34"/>
      <c r="D77" s="38" t="s">
        <v>90</v>
      </c>
      <c r="E77" s="38" t="s">
        <v>90</v>
      </c>
      <c r="F77" s="38" t="s">
        <v>90</v>
      </c>
      <c r="G77" s="21">
        <f t="shared" si="1"/>
        <v>0</v>
      </c>
      <c r="H77" s="38" t="s">
        <v>90</v>
      </c>
      <c r="I77" s="38" t="s">
        <v>90</v>
      </c>
      <c r="J77" s="38" t="s">
        <v>90</v>
      </c>
      <c r="K77" s="21">
        <f t="shared" si="3"/>
        <v>0</v>
      </c>
    </row>
    <row r="78" spans="1:11" x14ac:dyDescent="0.25">
      <c r="A78" s="1935"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35"/>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35"/>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35"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35"/>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35"/>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44"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44"/>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44"/>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2"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42"/>
      <c r="B89" s="19" t="s">
        <v>33</v>
      </c>
      <c r="C89" s="22"/>
      <c r="D89" s="625">
        <v>0.25</v>
      </c>
      <c r="E89" s="616">
        <v>0</v>
      </c>
      <c r="F89" s="623">
        <v>0</v>
      </c>
      <c r="G89" s="21">
        <f t="shared" si="1"/>
        <v>0.25</v>
      </c>
      <c r="H89" s="625">
        <v>0.25</v>
      </c>
      <c r="I89" s="616">
        <v>0</v>
      </c>
      <c r="J89" s="623">
        <v>0</v>
      </c>
      <c r="K89" s="21">
        <f t="shared" si="6"/>
        <v>0.25</v>
      </c>
    </row>
    <row r="90" spans="1:11" x14ac:dyDescent="0.25">
      <c r="A90" s="1942"/>
      <c r="B90" s="19" t="s">
        <v>34</v>
      </c>
      <c r="C90" s="22"/>
      <c r="D90" s="625">
        <v>0.25</v>
      </c>
      <c r="E90" s="616">
        <v>0</v>
      </c>
      <c r="F90" s="623">
        <v>0</v>
      </c>
      <c r="G90" s="21">
        <f t="shared" si="1"/>
        <v>0.25</v>
      </c>
      <c r="H90" s="625">
        <v>0.25</v>
      </c>
      <c r="I90" s="616">
        <v>0</v>
      </c>
      <c r="J90" s="623">
        <v>0</v>
      </c>
      <c r="K90" s="21">
        <f t="shared" si="6"/>
        <v>0.25</v>
      </c>
    </row>
    <row r="91" spans="1:11" x14ac:dyDescent="0.25">
      <c r="A91" s="1935"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35"/>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35"/>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35"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35"/>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35"/>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35" t="s">
        <v>26</v>
      </c>
      <c r="B97" s="19" t="s">
        <v>32</v>
      </c>
      <c r="C97" s="22"/>
      <c r="D97" s="631">
        <f>4+(0.5*D$3)</f>
        <v>4</v>
      </c>
      <c r="E97" s="625">
        <v>0</v>
      </c>
      <c r="F97" s="625">
        <v>0</v>
      </c>
      <c r="G97" s="21">
        <f t="shared" si="9"/>
        <v>4</v>
      </c>
      <c r="H97" s="631">
        <f>4+(0.5*H$3)</f>
        <v>4</v>
      </c>
      <c r="I97" s="625">
        <v>0</v>
      </c>
      <c r="J97" s="625">
        <v>0</v>
      </c>
      <c r="K97" s="21">
        <f t="shared" si="10"/>
        <v>4</v>
      </c>
    </row>
    <row r="98" spans="1:11" x14ac:dyDescent="0.25">
      <c r="A98" s="1935"/>
      <c r="B98" s="19" t="s">
        <v>33</v>
      </c>
      <c r="C98" s="22"/>
      <c r="D98" s="631">
        <f>4+(0.5*D$3)</f>
        <v>4</v>
      </c>
      <c r="E98" s="625">
        <v>0</v>
      </c>
      <c r="F98" s="625">
        <v>0</v>
      </c>
      <c r="G98" s="21">
        <f t="shared" si="9"/>
        <v>4</v>
      </c>
      <c r="H98" s="631">
        <f>4+(0.5*H$3)</f>
        <v>4</v>
      </c>
      <c r="I98" s="625">
        <v>0</v>
      </c>
      <c r="J98" s="625">
        <v>0</v>
      </c>
      <c r="K98" s="21">
        <f t="shared" si="10"/>
        <v>4</v>
      </c>
    </row>
    <row r="99" spans="1:11" x14ac:dyDescent="0.25">
      <c r="A99" s="1935"/>
      <c r="B99" s="19" t="s">
        <v>34</v>
      </c>
      <c r="C99" s="22"/>
      <c r="D99" s="631">
        <f>4+(0.5*D$3)</f>
        <v>4</v>
      </c>
      <c r="E99" s="625">
        <v>0</v>
      </c>
      <c r="F99" s="625">
        <v>0</v>
      </c>
      <c r="G99" s="21">
        <f t="shared" si="9"/>
        <v>4</v>
      </c>
      <c r="H99" s="631">
        <f>4+(0.5*H$3)</f>
        <v>4</v>
      </c>
      <c r="I99" s="625">
        <v>0</v>
      </c>
      <c r="J99" s="625">
        <v>0</v>
      </c>
      <c r="K99" s="21">
        <f t="shared" si="10"/>
        <v>4</v>
      </c>
    </row>
    <row r="100" spans="1:11" x14ac:dyDescent="0.25">
      <c r="A100" s="1935"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35"/>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35"/>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42"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42"/>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43"/>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30" t="str">
        <f>'Служебный АСУТП'!AD2</f>
        <v>MaxPatrol XDR/EDR</v>
      </c>
      <c r="E1" s="1931"/>
      <c r="F1" s="1931"/>
      <c r="G1" s="1932"/>
      <c r="H1" s="1930" t="str">
        <f>'Служебный АСУТП'!AD3</f>
        <v>Kaspersky EDR</v>
      </c>
      <c r="I1" s="1931"/>
      <c r="J1" s="1931"/>
      <c r="K1" s="1932"/>
    </row>
    <row r="2" spans="1:11" ht="15.75" x14ac:dyDescent="0.25">
      <c r="B2" s="41" t="s">
        <v>37</v>
      </c>
      <c r="C2" s="1940" t="s">
        <v>35</v>
      </c>
      <c r="D2" s="835" t="s">
        <v>1821</v>
      </c>
      <c r="E2" s="717" t="s">
        <v>1822</v>
      </c>
      <c r="F2" s="191" t="s">
        <v>568</v>
      </c>
      <c r="G2" s="1933" t="s">
        <v>38</v>
      </c>
      <c r="H2" s="835" t="s">
        <v>1821</v>
      </c>
      <c r="I2" s="717" t="s">
        <v>1822</v>
      </c>
      <c r="J2" s="191" t="s">
        <v>568</v>
      </c>
      <c r="K2" s="1933" t="s">
        <v>38</v>
      </c>
    </row>
    <row r="3" spans="1:11"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row>
    <row r="4" spans="1:11" ht="16.5" thickBot="1" x14ac:dyDescent="0.3">
      <c r="A4" s="326" t="s">
        <v>448</v>
      </c>
      <c r="B4" s="327"/>
      <c r="C4" s="327"/>
      <c r="D4" s="327"/>
      <c r="E4" s="327"/>
      <c r="F4" s="327"/>
      <c r="G4" s="327"/>
      <c r="H4" s="327"/>
      <c r="I4" s="327"/>
      <c r="J4" s="327"/>
      <c r="K4" s="396"/>
    </row>
    <row r="5" spans="1:11" x14ac:dyDescent="0.25">
      <c r="A5" s="1942"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42"/>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75"/>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42"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42"/>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42"/>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52"/>
      <c r="D11" s="327"/>
      <c r="E11" s="327"/>
      <c r="F11" s="327"/>
      <c r="G11" s="327"/>
      <c r="H11" s="327"/>
      <c r="I11" s="327"/>
      <c r="J11" s="327"/>
      <c r="K11" s="396"/>
    </row>
    <row r="12" spans="1:11" x14ac:dyDescent="0.25">
      <c r="A12" s="1942"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42"/>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42"/>
      <c r="B14" s="13" t="s">
        <v>34</v>
      </c>
      <c r="C14" s="820"/>
      <c r="D14" s="1749">
        <v>2</v>
      </c>
      <c r="E14" s="478">
        <f>IF(E$3&gt;2,0.5*E$3,1)</f>
        <v>1</v>
      </c>
      <c r="F14" s="630">
        <f>IF(F$3=1,18,0)</f>
        <v>0</v>
      </c>
      <c r="G14" s="77">
        <f t="shared" si="3"/>
        <v>3</v>
      </c>
      <c r="H14" s="1749">
        <v>2</v>
      </c>
      <c r="I14" s="478">
        <f>IF(I$3&gt;2,0.5*I$3,1)</f>
        <v>1</v>
      </c>
      <c r="J14" s="630">
        <f>IF(J$3=1,18,0)</f>
        <v>0</v>
      </c>
      <c r="K14" s="77">
        <f xml:space="preserve"> SUM(H14:J14) + $C14</f>
        <v>3</v>
      </c>
    </row>
    <row r="15" spans="1:11" ht="16.5" thickBot="1" x14ac:dyDescent="0.3">
      <c r="A15" s="330" t="s">
        <v>3</v>
      </c>
      <c r="B15" s="329"/>
      <c r="C15" s="1753"/>
      <c r="D15" s="329"/>
      <c r="E15" s="329"/>
      <c r="F15" s="329"/>
      <c r="G15" s="327"/>
      <c r="H15" s="329"/>
      <c r="I15" s="329"/>
      <c r="J15" s="329"/>
      <c r="K15" s="396"/>
    </row>
    <row r="16" spans="1:11" x14ac:dyDescent="0.25">
      <c r="A16" s="1939"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38"/>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38"/>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38"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38"/>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38"/>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38"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38"/>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38"/>
      <c r="B24" s="19" t="s">
        <v>34</v>
      </c>
      <c r="C24" s="817"/>
      <c r="D24" s="1749">
        <v>2</v>
      </c>
      <c r="E24" s="478">
        <f>IF(E$3&gt;2,0.5*E$3,1)</f>
        <v>1</v>
      </c>
      <c r="F24" s="630">
        <f>IF(F$3=1,18,0)</f>
        <v>0</v>
      </c>
      <c r="G24" s="21">
        <f t="shared" si="3"/>
        <v>3</v>
      </c>
      <c r="H24" s="1749">
        <v>2</v>
      </c>
      <c r="I24" s="478">
        <f>IF(I$3&gt;2,0.5*I$3,1)</f>
        <v>1</v>
      </c>
      <c r="J24" s="630">
        <f>IF(J$3=1,18,0)</f>
        <v>0</v>
      </c>
      <c r="K24" s="21">
        <f t="shared" si="4"/>
        <v>3</v>
      </c>
    </row>
    <row r="25" spans="1:11" x14ac:dyDescent="0.25">
      <c r="A25" s="1938" t="s">
        <v>7</v>
      </c>
      <c r="B25" s="1728" t="s">
        <v>32</v>
      </c>
      <c r="C25" s="1729"/>
      <c r="D25" s="1735">
        <v>2</v>
      </c>
      <c r="E25" s="1736">
        <v>0</v>
      </c>
      <c r="F25" s="1737">
        <v>0</v>
      </c>
      <c r="G25" s="1730">
        <f t="shared" si="3"/>
        <v>2</v>
      </c>
      <c r="H25" s="1735">
        <v>2</v>
      </c>
      <c r="I25" s="1736">
        <v>0</v>
      </c>
      <c r="J25" s="1737">
        <v>0</v>
      </c>
      <c r="K25" s="1730">
        <f t="shared" si="4"/>
        <v>2</v>
      </c>
    </row>
    <row r="26" spans="1:11" x14ac:dyDescent="0.25">
      <c r="A26" s="1938"/>
      <c r="B26" s="19" t="s">
        <v>33</v>
      </c>
      <c r="C26" s="817"/>
      <c r="D26" s="821">
        <v>1</v>
      </c>
      <c r="E26" s="814">
        <v>0</v>
      </c>
      <c r="F26" s="630">
        <f>IF(F$3=1,4,0)</f>
        <v>0</v>
      </c>
      <c r="G26" s="21">
        <f t="shared" si="3"/>
        <v>1</v>
      </c>
      <c r="H26" s="821">
        <v>1</v>
      </c>
      <c r="I26" s="814">
        <v>0</v>
      </c>
      <c r="J26" s="630">
        <f>IF(J$3=1,4,0)</f>
        <v>0</v>
      </c>
      <c r="K26" s="21">
        <f t="shared" si="4"/>
        <v>1</v>
      </c>
    </row>
    <row r="27" spans="1:11" x14ac:dyDescent="0.25">
      <c r="A27" s="1938"/>
      <c r="B27" s="19" t="s">
        <v>34</v>
      </c>
      <c r="C27" s="817"/>
      <c r="D27" s="807">
        <v>2</v>
      </c>
      <c r="E27" s="814">
        <v>0</v>
      </c>
      <c r="F27" s="630">
        <f>IF(F$3=1,8,0)</f>
        <v>0</v>
      </c>
      <c r="G27" s="21">
        <f t="shared" si="3"/>
        <v>2</v>
      </c>
      <c r="H27" s="807">
        <v>2</v>
      </c>
      <c r="I27" s="814">
        <v>0</v>
      </c>
      <c r="J27" s="630">
        <f>IF(J$3=1,8,0)</f>
        <v>0</v>
      </c>
      <c r="K27" s="21">
        <f t="shared" si="4"/>
        <v>2</v>
      </c>
    </row>
    <row r="28" spans="1:11" x14ac:dyDescent="0.25">
      <c r="A28" s="1938" t="s">
        <v>8</v>
      </c>
      <c r="B28" s="1728" t="s">
        <v>32</v>
      </c>
      <c r="C28" s="1729"/>
      <c r="D28" s="1735">
        <v>2</v>
      </c>
      <c r="E28" s="1736">
        <v>0</v>
      </c>
      <c r="F28" s="1738">
        <v>0</v>
      </c>
      <c r="G28" s="1730">
        <f t="shared" si="3"/>
        <v>2</v>
      </c>
      <c r="H28" s="1735">
        <v>2</v>
      </c>
      <c r="I28" s="1736">
        <v>0</v>
      </c>
      <c r="J28" s="1738">
        <v>0</v>
      </c>
      <c r="K28" s="1730">
        <f t="shared" si="4"/>
        <v>2</v>
      </c>
    </row>
    <row r="29" spans="1:11" x14ac:dyDescent="0.25">
      <c r="A29" s="1938"/>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38"/>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38"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38"/>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38"/>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38"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38"/>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36"/>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53"/>
      <c r="D37" s="329"/>
      <c r="E37" s="329"/>
      <c r="F37" s="329"/>
      <c r="G37" s="327"/>
      <c r="H37" s="329"/>
      <c r="I37" s="329"/>
      <c r="J37" s="329"/>
      <c r="K37" s="396"/>
    </row>
    <row r="38" spans="1:11" x14ac:dyDescent="0.25">
      <c r="A38" s="1942" t="s">
        <v>12</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42"/>
      <c r="B39" s="19" t="s">
        <v>33</v>
      </c>
      <c r="C39" s="817"/>
      <c r="D39" s="1750">
        <v>4</v>
      </c>
      <c r="E39" s="478">
        <f>IF(E$3&gt;0,2,0)</f>
        <v>0</v>
      </c>
      <c r="F39" s="630">
        <f>IF(F$3=1,12,0)</f>
        <v>0</v>
      </c>
      <c r="G39" s="21">
        <f t="shared" si="3"/>
        <v>4</v>
      </c>
      <c r="H39" s="1750">
        <v>4</v>
      </c>
      <c r="I39" s="478">
        <f>IF(I$3&gt;0,2,0)</f>
        <v>0</v>
      </c>
      <c r="J39" s="630">
        <f>IF(J$3=1,12,0)</f>
        <v>0</v>
      </c>
      <c r="K39" s="21">
        <f xml:space="preserve"> SUM(H39:J39) + $C39</f>
        <v>4</v>
      </c>
    </row>
    <row r="40" spans="1:11" ht="15.75" thickBot="1" x14ac:dyDescent="0.3">
      <c r="A40" s="1942"/>
      <c r="B40" s="13" t="s">
        <v>34</v>
      </c>
      <c r="C40" s="820"/>
      <c r="D40" s="1750">
        <v>6</v>
      </c>
      <c r="E40" s="478">
        <f>IF(E$3&gt;0,2,0)</f>
        <v>0</v>
      </c>
      <c r="F40" s="630">
        <f>IF(F$3=1,20,0)</f>
        <v>0</v>
      </c>
      <c r="G40" s="77">
        <f t="shared" si="3"/>
        <v>6</v>
      </c>
      <c r="H40" s="1750">
        <v>6</v>
      </c>
      <c r="I40" s="478">
        <f>IF(I$3&gt;0,2,0)</f>
        <v>0</v>
      </c>
      <c r="J40" s="630">
        <f>IF(J$3=1,20,0)</f>
        <v>0</v>
      </c>
      <c r="K40" s="77">
        <f xml:space="preserve"> SUM(H40:J40) + $C40</f>
        <v>6</v>
      </c>
    </row>
    <row r="41" spans="1:11" ht="16.5" thickBot="1" x14ac:dyDescent="0.3">
      <c r="A41" s="330" t="s">
        <v>13</v>
      </c>
      <c r="B41" s="329"/>
      <c r="C41" s="1753"/>
      <c r="D41" s="329"/>
      <c r="E41" s="329"/>
      <c r="F41" s="329"/>
      <c r="G41" s="327"/>
      <c r="H41" s="329"/>
      <c r="I41" s="329"/>
      <c r="J41" s="329"/>
      <c r="K41" s="396"/>
    </row>
    <row r="42" spans="1:11" x14ac:dyDescent="0.25">
      <c r="A42" s="1942" t="s">
        <v>14</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42"/>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42"/>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35"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5"/>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35"/>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35" t="s">
        <v>16</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5"/>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35"/>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35" t="s">
        <v>17</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5"/>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35"/>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35" t="s">
        <v>18</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5"/>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35"/>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35" t="s">
        <v>19</v>
      </c>
      <c r="B57" s="1728" t="s">
        <v>32</v>
      </c>
      <c r="C57" s="1729"/>
      <c r="D57" s="1735">
        <v>2</v>
      </c>
      <c r="E57" s="1736">
        <v>0</v>
      </c>
      <c r="F57" s="1736">
        <v>0</v>
      </c>
      <c r="G57" s="1730">
        <f t="shared" si="3"/>
        <v>2</v>
      </c>
      <c r="H57" s="1735">
        <v>2</v>
      </c>
      <c r="I57" s="1736">
        <v>0</v>
      </c>
      <c r="J57" s="1736">
        <v>0</v>
      </c>
      <c r="K57" s="1730">
        <f t="shared" si="7"/>
        <v>2</v>
      </c>
    </row>
    <row r="58" spans="1:11" x14ac:dyDescent="0.25">
      <c r="A58" s="1935"/>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35"/>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35"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5"/>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35"/>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35"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5"/>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5"/>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5"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5"/>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35"/>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45"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45"/>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45"/>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5"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5"/>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5"/>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5"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5"/>
      <c r="B76" s="19" t="s">
        <v>33</v>
      </c>
      <c r="C76" s="817"/>
      <c r="D76" s="821" t="s">
        <v>90</v>
      </c>
      <c r="E76" s="821" t="s">
        <v>90</v>
      </c>
      <c r="F76" s="821" t="s">
        <v>90</v>
      </c>
      <c r="G76" s="21">
        <f t="shared" si="3"/>
        <v>0</v>
      </c>
      <c r="H76" s="821" t="s">
        <v>90</v>
      </c>
      <c r="I76" s="821" t="s">
        <v>90</v>
      </c>
      <c r="J76" s="821" t="s">
        <v>90</v>
      </c>
      <c r="K76" s="21">
        <f t="shared" si="7"/>
        <v>0</v>
      </c>
    </row>
    <row r="77" spans="1:11" x14ac:dyDescent="0.25">
      <c r="A77" s="1935"/>
      <c r="B77" s="13" t="s">
        <v>34</v>
      </c>
      <c r="C77" s="820"/>
      <c r="D77" s="821" t="s">
        <v>90</v>
      </c>
      <c r="E77" s="821" t="s">
        <v>90</v>
      </c>
      <c r="F77" s="821" t="s">
        <v>90</v>
      </c>
      <c r="G77" s="21">
        <f t="shared" si="3"/>
        <v>0</v>
      </c>
      <c r="H77" s="821" t="s">
        <v>90</v>
      </c>
      <c r="I77" s="821" t="s">
        <v>90</v>
      </c>
      <c r="J77" s="821" t="s">
        <v>90</v>
      </c>
      <c r="K77" s="21">
        <f t="shared" si="7"/>
        <v>0</v>
      </c>
    </row>
    <row r="78" spans="1:11" x14ac:dyDescent="0.25">
      <c r="A78" s="1935"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5"/>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35"/>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35"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5"/>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35"/>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44"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44"/>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44"/>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53"/>
      <c r="D87" s="329"/>
      <c r="E87" s="329"/>
      <c r="F87" s="329"/>
      <c r="G87" s="327"/>
      <c r="H87" s="329"/>
      <c r="I87" s="329"/>
      <c r="J87" s="329"/>
      <c r="K87" s="396"/>
    </row>
    <row r="88" spans="1:11" x14ac:dyDescent="0.25">
      <c r="A88" s="1942" t="s">
        <v>23</v>
      </c>
      <c r="B88" s="1723" t="s">
        <v>32</v>
      </c>
      <c r="C88" s="1724"/>
      <c r="D88" s="1742">
        <v>0.25</v>
      </c>
      <c r="E88" s="1733">
        <v>0</v>
      </c>
      <c r="F88" s="1743">
        <v>0</v>
      </c>
      <c r="G88" s="1727">
        <f t="shared" si="3"/>
        <v>0.25</v>
      </c>
      <c r="H88" s="1742">
        <v>0.25</v>
      </c>
      <c r="I88" s="1733">
        <v>0</v>
      </c>
      <c r="J88" s="1743">
        <v>0</v>
      </c>
      <c r="K88" s="1727">
        <f t="shared" ref="K88:K93" si="12" xml:space="preserve"> SUM(H88:J88) + $C88</f>
        <v>0.25</v>
      </c>
    </row>
    <row r="89" spans="1:11" x14ac:dyDescent="0.25">
      <c r="A89" s="1942"/>
      <c r="B89" s="19" t="s">
        <v>33</v>
      </c>
      <c r="C89" s="817"/>
      <c r="D89" s="503" t="s">
        <v>1772</v>
      </c>
      <c r="E89" s="482" t="s">
        <v>1772</v>
      </c>
      <c r="F89" s="1760" t="s">
        <v>1772</v>
      </c>
      <c r="G89" s="21">
        <f t="shared" si="3"/>
        <v>0</v>
      </c>
      <c r="H89" s="503" t="s">
        <v>1772</v>
      </c>
      <c r="I89" s="482" t="s">
        <v>1772</v>
      </c>
      <c r="J89" s="1760" t="s">
        <v>1772</v>
      </c>
      <c r="K89" s="21">
        <f t="shared" si="12"/>
        <v>0</v>
      </c>
    </row>
    <row r="90" spans="1:11" x14ac:dyDescent="0.25">
      <c r="A90" s="1942"/>
      <c r="B90" s="19" t="s">
        <v>34</v>
      </c>
      <c r="C90" s="817"/>
      <c r="D90" s="503" t="s">
        <v>1772</v>
      </c>
      <c r="E90" s="482" t="s">
        <v>1772</v>
      </c>
      <c r="F90" s="1760" t="s">
        <v>1772</v>
      </c>
      <c r="G90" s="21">
        <f t="shared" si="3"/>
        <v>0</v>
      </c>
      <c r="H90" s="503" t="s">
        <v>1772</v>
      </c>
      <c r="I90" s="482" t="s">
        <v>1772</v>
      </c>
      <c r="J90" s="1760" t="s">
        <v>1772</v>
      </c>
      <c r="K90" s="21">
        <f t="shared" si="12"/>
        <v>0</v>
      </c>
    </row>
    <row r="91" spans="1:11" x14ac:dyDescent="0.25">
      <c r="A91" s="1935" t="s">
        <v>24</v>
      </c>
      <c r="B91" s="1728" t="s">
        <v>32</v>
      </c>
      <c r="C91" s="1729"/>
      <c r="D91" s="1740">
        <v>6</v>
      </c>
      <c r="E91" s="1737">
        <f>1*E$3</f>
        <v>0</v>
      </c>
      <c r="F91" s="1744">
        <f>0.5*F$3</f>
        <v>0</v>
      </c>
      <c r="G91" s="1730">
        <f t="shared" si="3"/>
        <v>6</v>
      </c>
      <c r="H91" s="1740">
        <v>6</v>
      </c>
      <c r="I91" s="1737">
        <f>1*I$3</f>
        <v>0</v>
      </c>
      <c r="J91" s="1744">
        <f>0.5*J$3</f>
        <v>0</v>
      </c>
      <c r="K91" s="1730">
        <f t="shared" si="12"/>
        <v>6</v>
      </c>
    </row>
    <row r="92" spans="1:11" x14ac:dyDescent="0.25">
      <c r="A92" s="1935"/>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35"/>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35" t="s">
        <v>25</v>
      </c>
      <c r="B94" s="1728" t="s">
        <v>32</v>
      </c>
      <c r="C94" s="1729"/>
      <c r="D94" s="1740">
        <v>2</v>
      </c>
      <c r="E94" s="1738">
        <v>0</v>
      </c>
      <c r="F94" s="1741">
        <v>0</v>
      </c>
      <c r="G94" s="1730">
        <f t="shared" ref="G94:G105" si="13" xml:space="preserve"> SUM(D94:F94) + $C94</f>
        <v>2</v>
      </c>
      <c r="H94" s="1740">
        <v>2</v>
      </c>
      <c r="I94" s="1738">
        <v>0</v>
      </c>
      <c r="J94" s="1741">
        <v>0</v>
      </c>
      <c r="K94" s="1730">
        <f t="shared" ref="K94:K105" si="14" xml:space="preserve"> SUM(H94:J94) + $C94</f>
        <v>2</v>
      </c>
    </row>
    <row r="95" spans="1:11" x14ac:dyDescent="0.25">
      <c r="A95" s="1935"/>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35"/>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35" t="s">
        <v>26</v>
      </c>
      <c r="B97" s="1728" t="s">
        <v>32</v>
      </c>
      <c r="C97" s="1729"/>
      <c r="D97" s="1740">
        <v>12</v>
      </c>
      <c r="E97" s="1725">
        <f>E$3*2</f>
        <v>0</v>
      </c>
      <c r="F97" s="1745">
        <f>1*F$3</f>
        <v>0</v>
      </c>
      <c r="G97" s="1730">
        <f t="shared" si="13"/>
        <v>12</v>
      </c>
      <c r="H97" s="1740">
        <v>12</v>
      </c>
      <c r="I97" s="1725">
        <f>I$3*2</f>
        <v>0</v>
      </c>
      <c r="J97" s="1745">
        <f>1*J$3</f>
        <v>0</v>
      </c>
      <c r="K97" s="1730">
        <f t="shared" si="14"/>
        <v>12</v>
      </c>
    </row>
    <row r="98" spans="1:11" x14ac:dyDescent="0.25">
      <c r="A98" s="1935"/>
      <c r="B98" s="19" t="s">
        <v>33</v>
      </c>
      <c r="C98" s="817"/>
      <c r="D98" s="1761">
        <f>IF(D$3&gt;1,D$3*0.25+1,1)</f>
        <v>1</v>
      </c>
      <c r="E98" s="478">
        <f>IF(E$3&gt;1,1,0)</f>
        <v>0</v>
      </c>
      <c r="F98" s="229">
        <f>IF(F$3=1,4,0)</f>
        <v>0</v>
      </c>
      <c r="G98" s="21">
        <f t="shared" si="13"/>
        <v>1</v>
      </c>
      <c r="H98" s="1761">
        <f>IF(H$3&gt;1,H$3*0.25+1,1)</f>
        <v>1</v>
      </c>
      <c r="I98" s="478">
        <f>IF(I$3&gt;1,1,0)</f>
        <v>0</v>
      </c>
      <c r="J98" s="229">
        <f>IF(J$3=1,4,0)</f>
        <v>0</v>
      </c>
      <c r="K98" s="21">
        <f t="shared" si="14"/>
        <v>1</v>
      </c>
    </row>
    <row r="99" spans="1:11" x14ac:dyDescent="0.25">
      <c r="A99" s="1935"/>
      <c r="B99" s="19" t="s">
        <v>34</v>
      </c>
      <c r="C99" s="817"/>
      <c r="D99" s="1761">
        <f>IF(D$3&gt;1,D$3*0.25+2,2)</f>
        <v>2</v>
      </c>
      <c r="E99" s="478">
        <f>IF(E$3&gt;1,1,0)</f>
        <v>0</v>
      </c>
      <c r="F99" s="229">
        <f>IF(F$3=1,6,0)</f>
        <v>0</v>
      </c>
      <c r="G99" s="21">
        <f t="shared" si="13"/>
        <v>2</v>
      </c>
      <c r="H99" s="1761">
        <f>IF(H$3&gt;1,H$3*0.25+2,2)</f>
        <v>2</v>
      </c>
      <c r="I99" s="478">
        <f>IF(I$3&gt;1,1,0)</f>
        <v>0</v>
      </c>
      <c r="J99" s="229">
        <f>IF(J$3=1,6,0)</f>
        <v>0</v>
      </c>
      <c r="K99" s="21">
        <f t="shared" si="14"/>
        <v>2</v>
      </c>
    </row>
    <row r="100" spans="1:11" x14ac:dyDescent="0.25">
      <c r="A100" s="1935" t="s">
        <v>27</v>
      </c>
      <c r="B100" s="1728" t="s">
        <v>32</v>
      </c>
      <c r="C100" s="1729"/>
      <c r="D100" s="1740">
        <v>6</v>
      </c>
      <c r="E100" s="1725">
        <f>E$3*2</f>
        <v>0</v>
      </c>
      <c r="F100" s="1745">
        <f>1*F$3</f>
        <v>0</v>
      </c>
      <c r="G100" s="1730">
        <f t="shared" si="13"/>
        <v>6</v>
      </c>
      <c r="H100" s="1740">
        <v>6</v>
      </c>
      <c r="I100" s="1725">
        <f>I$3*2</f>
        <v>0</v>
      </c>
      <c r="J100" s="1745">
        <f>1*J$3</f>
        <v>0</v>
      </c>
      <c r="K100" s="1730">
        <f t="shared" si="14"/>
        <v>6</v>
      </c>
    </row>
    <row r="101" spans="1:11" x14ac:dyDescent="0.25">
      <c r="A101" s="1935"/>
      <c r="B101" s="19" t="s">
        <v>33</v>
      </c>
      <c r="C101" s="817"/>
      <c r="D101" s="1761">
        <f>IF(D$3&gt;1,D$3*0.25+1,1)</f>
        <v>1</v>
      </c>
      <c r="E101" s="478">
        <f>IF(E$3&gt;1,1,0)</f>
        <v>0</v>
      </c>
      <c r="F101" s="229">
        <f>IF(F$3=1,4,0)</f>
        <v>0</v>
      </c>
      <c r="G101" s="21">
        <f t="shared" si="13"/>
        <v>1</v>
      </c>
      <c r="H101" s="1761">
        <f>IF(H$3&gt;1,H$3*0.25+1,1)</f>
        <v>1</v>
      </c>
      <c r="I101" s="478">
        <f>IF(I$3&gt;1,1,0)</f>
        <v>0</v>
      </c>
      <c r="J101" s="229">
        <f>IF(J$3=1,4,0)</f>
        <v>0</v>
      </c>
      <c r="K101" s="21">
        <f t="shared" si="14"/>
        <v>1</v>
      </c>
    </row>
    <row r="102" spans="1:11" x14ac:dyDescent="0.25">
      <c r="A102" s="1935"/>
      <c r="B102" s="19" t="s">
        <v>34</v>
      </c>
      <c r="C102" s="817"/>
      <c r="D102" s="1761">
        <f>IF(D$3&gt;1,D$3*0.25+2,2)</f>
        <v>2</v>
      </c>
      <c r="E102" s="478">
        <f>IF(E$3&gt;1,1,0)</f>
        <v>0</v>
      </c>
      <c r="F102" s="229">
        <f>IF(F$3=1,6,0)</f>
        <v>0</v>
      </c>
      <c r="G102" s="21">
        <f t="shared" si="13"/>
        <v>2</v>
      </c>
      <c r="H102" s="1761">
        <f>IF(H$3&gt;1,H$3*0.25+2,2)</f>
        <v>2</v>
      </c>
      <c r="I102" s="478">
        <f>IF(I$3&gt;1,1,0)</f>
        <v>0</v>
      </c>
      <c r="J102" s="229">
        <f>IF(J$3=1,6,0)</f>
        <v>0</v>
      </c>
      <c r="K102" s="21">
        <f t="shared" si="14"/>
        <v>2</v>
      </c>
    </row>
    <row r="103" spans="1:11" x14ac:dyDescent="0.25">
      <c r="A103" s="1942" t="s">
        <v>28</v>
      </c>
      <c r="B103" s="1728" t="s">
        <v>32</v>
      </c>
      <c r="C103" s="1729"/>
      <c r="D103" s="1740">
        <v>2</v>
      </c>
      <c r="E103" s="1746">
        <f t="shared" ref="E103:F103" si="15">0.5*E$3</f>
        <v>0</v>
      </c>
      <c r="F103" s="1747">
        <f t="shared" si="15"/>
        <v>0</v>
      </c>
      <c r="G103" s="1730">
        <f t="shared" si="13"/>
        <v>2</v>
      </c>
      <c r="H103" s="1740">
        <v>2</v>
      </c>
      <c r="I103" s="1746">
        <f t="shared" ref="I103:J103" si="16">0.5*I$3</f>
        <v>0</v>
      </c>
      <c r="J103" s="1747">
        <f t="shared" si="16"/>
        <v>0</v>
      </c>
      <c r="K103" s="1730">
        <f t="shared" si="14"/>
        <v>2</v>
      </c>
    </row>
    <row r="104" spans="1:11" x14ac:dyDescent="0.25">
      <c r="A104" s="1942"/>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43"/>
      <c r="B105" s="20" t="s">
        <v>34</v>
      </c>
      <c r="C105" s="818"/>
      <c r="D105" s="507">
        <v>2</v>
      </c>
      <c r="E105" s="1762">
        <f>IF(E$3&gt;1,1,0)</f>
        <v>0</v>
      </c>
      <c r="F105" s="1695">
        <f>IF(F$3=1,4,0)</f>
        <v>0</v>
      </c>
      <c r="G105" s="24">
        <f t="shared" si="13"/>
        <v>2</v>
      </c>
      <c r="H105" s="507">
        <v>2</v>
      </c>
      <c r="I105" s="1762">
        <f>IF(I$3&gt;1,1,0)</f>
        <v>0</v>
      </c>
      <c r="J105" s="1695">
        <f>IF(J$3=1,4,0)</f>
        <v>0</v>
      </c>
      <c r="K105" s="24">
        <f t="shared" si="14"/>
        <v>2</v>
      </c>
    </row>
    <row r="107" spans="1:11" ht="15.75" x14ac:dyDescent="0.25">
      <c r="A107" s="1691" t="s">
        <v>1706</v>
      </c>
      <c r="B107" s="1691" t="s">
        <v>1707</v>
      </c>
      <c r="C107" s="1748"/>
      <c r="D107" s="1696"/>
      <c r="E107" s="1748" t="s">
        <v>1708</v>
      </c>
      <c r="F107" s="1748"/>
    </row>
    <row r="108" spans="1:11" ht="130.15" customHeight="1" x14ac:dyDescent="0.25">
      <c r="A108" s="1692" t="s">
        <v>1821</v>
      </c>
      <c r="B108" s="1692" t="s">
        <v>1785</v>
      </c>
      <c r="C108" s="1748"/>
      <c r="D108" s="1748"/>
      <c r="E108" s="1748"/>
      <c r="F108" s="1748"/>
    </row>
    <row r="109" spans="1:11" ht="45" x14ac:dyDescent="0.25">
      <c r="A109" s="1692" t="s">
        <v>1822</v>
      </c>
      <c r="B109" s="1692" t="s">
        <v>1823</v>
      </c>
      <c r="C109" s="1748"/>
      <c r="D109" s="1748"/>
      <c r="E109" s="1748"/>
      <c r="F109" s="1748"/>
    </row>
    <row r="110" spans="1:11" ht="60" x14ac:dyDescent="0.25">
      <c r="A110" s="1692" t="s">
        <v>1819</v>
      </c>
      <c r="B110" s="1692" t="s">
        <v>1820</v>
      </c>
      <c r="C110" s="1748"/>
      <c r="D110" s="1748"/>
      <c r="E110" s="1748"/>
      <c r="F110" s="1748"/>
    </row>
    <row r="111" spans="1:11" x14ac:dyDescent="0.25">
      <c r="A111" s="1748"/>
      <c r="B111" s="1748"/>
      <c r="C111" s="1748"/>
      <c r="D111" s="1748"/>
      <c r="E111" s="1748"/>
      <c r="F111" s="1748"/>
    </row>
    <row r="112" spans="1:11" x14ac:dyDescent="0.25">
      <c r="A112" s="1693" t="s">
        <v>89</v>
      </c>
      <c r="B112" s="1748"/>
      <c r="C112" s="1748"/>
      <c r="D112" s="1748"/>
      <c r="E112" s="1748"/>
      <c r="F112" s="1748"/>
    </row>
    <row r="113" spans="1:6" ht="15.75" x14ac:dyDescent="0.25">
      <c r="A113" s="1946" t="str">
        <f>A5</f>
        <v>ТЗ</v>
      </c>
      <c r="B113" s="1947"/>
      <c r="C113" s="1748"/>
      <c r="D113" s="1694" t="s">
        <v>66</v>
      </c>
      <c r="E113" s="1694" t="s">
        <v>65</v>
      </c>
      <c r="F113" s="1694" t="s">
        <v>64</v>
      </c>
    </row>
    <row r="114" spans="1:6" x14ac:dyDescent="0.25">
      <c r="A114" s="132" t="s">
        <v>1711</v>
      </c>
      <c r="B114" s="905" t="s">
        <v>33</v>
      </c>
      <c r="C114" s="1748"/>
      <c r="D114" s="658"/>
      <c r="E114" s="658"/>
      <c r="F114" s="658" t="s">
        <v>1810</v>
      </c>
    </row>
    <row r="115" spans="1:6" x14ac:dyDescent="0.25">
      <c r="A115" s="132" t="s">
        <v>1712</v>
      </c>
      <c r="B115" s="905" t="s">
        <v>34</v>
      </c>
      <c r="C115" s="1748"/>
      <c r="D115" s="658"/>
      <c r="E115" s="658"/>
      <c r="F115" s="658" t="s">
        <v>1808</v>
      </c>
    </row>
    <row r="116" spans="1:6" ht="15.75" x14ac:dyDescent="0.25">
      <c r="A116" s="1946" t="str">
        <f>A8</f>
        <v>ФТТ</v>
      </c>
      <c r="B116" s="1947"/>
      <c r="C116" s="1748"/>
      <c r="D116" s="1694" t="s">
        <v>66</v>
      </c>
      <c r="E116" s="1694" t="s">
        <v>65</v>
      </c>
      <c r="F116" s="1694" t="s">
        <v>64</v>
      </c>
    </row>
    <row r="117" spans="1:6" x14ac:dyDescent="0.25">
      <c r="A117" s="132" t="s">
        <v>1713</v>
      </c>
      <c r="B117" s="905" t="s">
        <v>33</v>
      </c>
      <c r="C117" s="1748"/>
      <c r="D117" s="658"/>
      <c r="E117" s="658"/>
      <c r="F117" s="658" t="s">
        <v>1810</v>
      </c>
    </row>
    <row r="118" spans="1:6" x14ac:dyDescent="0.25">
      <c r="A118" s="132" t="s">
        <v>1714</v>
      </c>
      <c r="B118" s="905" t="s">
        <v>34</v>
      </c>
      <c r="C118" s="1748"/>
      <c r="D118" s="658"/>
      <c r="E118" s="658"/>
      <c r="F118" s="658" t="s">
        <v>1808</v>
      </c>
    </row>
    <row r="119" spans="1:6" ht="15.75" x14ac:dyDescent="0.25">
      <c r="A119" s="1946" t="str">
        <f>A12</f>
        <v>Пояснительная записка к эскизному проекту</v>
      </c>
      <c r="B119" s="1947"/>
      <c r="C119" s="1748"/>
      <c r="D119" s="1694" t="s">
        <v>66</v>
      </c>
      <c r="E119" s="1694" t="s">
        <v>65</v>
      </c>
      <c r="F119" s="1694" t="s">
        <v>64</v>
      </c>
    </row>
    <row r="120" spans="1:6" x14ac:dyDescent="0.25">
      <c r="A120" s="132" t="s">
        <v>1715</v>
      </c>
      <c r="B120" s="905" t="s">
        <v>33</v>
      </c>
      <c r="C120" s="1748"/>
      <c r="D120" s="658"/>
      <c r="E120" s="658" t="s">
        <v>1825</v>
      </c>
      <c r="F120" s="658" t="s">
        <v>1813</v>
      </c>
    </row>
    <row r="121" spans="1:6" x14ac:dyDescent="0.25">
      <c r="A121" s="132" t="s">
        <v>1716</v>
      </c>
      <c r="B121" s="905" t="s">
        <v>34</v>
      </c>
      <c r="C121" s="1748"/>
      <c r="D121" s="658"/>
      <c r="E121" s="658" t="s">
        <v>1825</v>
      </c>
      <c r="F121" s="658" t="s">
        <v>1833</v>
      </c>
    </row>
    <row r="122" spans="1:6" ht="15.75" x14ac:dyDescent="0.25">
      <c r="A122" s="1946" t="str">
        <f>A19</f>
        <v xml:space="preserve">Ведомость покупных изделий </v>
      </c>
      <c r="B122" s="1947"/>
      <c r="C122" s="1748"/>
      <c r="D122" s="1694" t="s">
        <v>66</v>
      </c>
      <c r="E122" s="1694" t="s">
        <v>65</v>
      </c>
      <c r="F122" s="1694" t="s">
        <v>64</v>
      </c>
    </row>
    <row r="123" spans="1:6" x14ac:dyDescent="0.25">
      <c r="A123" s="132" t="s">
        <v>1717</v>
      </c>
      <c r="B123" s="905" t="s">
        <v>33</v>
      </c>
      <c r="C123" s="1748"/>
      <c r="D123" s="658" t="s">
        <v>1777</v>
      </c>
      <c r="E123" s="658" t="s">
        <v>1826</v>
      </c>
      <c r="F123" s="658"/>
    </row>
    <row r="124" spans="1:6" x14ac:dyDescent="0.25">
      <c r="A124" s="132" t="s">
        <v>1718</v>
      </c>
      <c r="B124" s="905" t="s">
        <v>34</v>
      </c>
      <c r="C124" s="1748"/>
      <c r="D124" s="658" t="s">
        <v>1777</v>
      </c>
      <c r="E124" s="658" t="s">
        <v>1826</v>
      </c>
      <c r="F124" s="658"/>
    </row>
    <row r="125" spans="1:6" ht="15.75" x14ac:dyDescent="0.25">
      <c r="A125" s="1946" t="str">
        <f>A22</f>
        <v xml:space="preserve">Пояснительная записка к техническому проекту </v>
      </c>
      <c r="B125" s="1947"/>
      <c r="C125" s="1748"/>
      <c r="D125" s="1694" t="s">
        <v>66</v>
      </c>
      <c r="E125" s="1694" t="s">
        <v>65</v>
      </c>
      <c r="F125" s="1694" t="s">
        <v>64</v>
      </c>
    </row>
    <row r="126" spans="1:6" x14ac:dyDescent="0.25">
      <c r="A126" s="132" t="s">
        <v>1719</v>
      </c>
      <c r="B126" s="905" t="s">
        <v>33</v>
      </c>
      <c r="C126" s="1748"/>
      <c r="D126" s="658"/>
      <c r="E126" s="658" t="s">
        <v>1825</v>
      </c>
      <c r="F126" s="658" t="s">
        <v>1813</v>
      </c>
    </row>
    <row r="127" spans="1:6" x14ac:dyDescent="0.25">
      <c r="A127" s="132" t="s">
        <v>1720</v>
      </c>
      <c r="B127" s="905" t="s">
        <v>34</v>
      </c>
      <c r="C127" s="1748"/>
      <c r="D127" s="658"/>
      <c r="E127" s="658" t="s">
        <v>1825</v>
      </c>
      <c r="F127" s="658" t="s">
        <v>1833</v>
      </c>
    </row>
    <row r="128" spans="1:6" ht="15.75" x14ac:dyDescent="0.25">
      <c r="A128" s="1946" t="str">
        <f>A25</f>
        <v xml:space="preserve">Описание комплекса технических средств </v>
      </c>
      <c r="B128" s="1947"/>
      <c r="C128" s="1748"/>
      <c r="D128" s="1694" t="s">
        <v>66</v>
      </c>
      <c r="E128" s="1694" t="s">
        <v>65</v>
      </c>
      <c r="F128" s="1694" t="s">
        <v>64</v>
      </c>
    </row>
    <row r="129" spans="1:6" x14ac:dyDescent="0.25">
      <c r="A129" s="132" t="s">
        <v>1721</v>
      </c>
      <c r="B129" s="905" t="s">
        <v>33</v>
      </c>
      <c r="C129" s="1748"/>
      <c r="D129" s="658"/>
      <c r="E129" s="658"/>
      <c r="F129" s="658" t="s">
        <v>1808</v>
      </c>
    </row>
    <row r="130" spans="1:6" x14ac:dyDescent="0.25">
      <c r="A130" s="132" t="s">
        <v>1722</v>
      </c>
      <c r="B130" s="905" t="s">
        <v>34</v>
      </c>
      <c r="C130" s="1748"/>
      <c r="D130" s="658"/>
      <c r="E130" s="658"/>
      <c r="F130" s="658" t="s">
        <v>1809</v>
      </c>
    </row>
    <row r="131" spans="1:6" ht="15.75" x14ac:dyDescent="0.25">
      <c r="A131" s="1946" t="str">
        <f>A28</f>
        <v xml:space="preserve">Описание программного обеспечения </v>
      </c>
      <c r="B131" s="1947"/>
      <c r="C131" s="1748"/>
      <c r="D131" s="1694" t="s">
        <v>66</v>
      </c>
      <c r="E131" s="1694" t="s">
        <v>65</v>
      </c>
      <c r="F131" s="1694" t="s">
        <v>64</v>
      </c>
    </row>
    <row r="132" spans="1:6" x14ac:dyDescent="0.25">
      <c r="A132" s="132" t="s">
        <v>1723</v>
      </c>
      <c r="B132" s="905" t="s">
        <v>33</v>
      </c>
      <c r="C132" s="1748"/>
      <c r="D132" s="658"/>
      <c r="E132" s="658" t="s">
        <v>1830</v>
      </c>
      <c r="F132" s="658" t="s">
        <v>1813</v>
      </c>
    </row>
    <row r="133" spans="1:6" x14ac:dyDescent="0.25">
      <c r="A133" s="132" t="s">
        <v>1724</v>
      </c>
      <c r="B133" s="905" t="s">
        <v>34</v>
      </c>
      <c r="C133" s="1748"/>
      <c r="D133" s="658"/>
      <c r="E133" s="658" t="s">
        <v>1831</v>
      </c>
      <c r="F133" s="658" t="s">
        <v>1829</v>
      </c>
    </row>
    <row r="134" spans="1:6" ht="15.75" x14ac:dyDescent="0.25">
      <c r="A134" s="1946" t="str">
        <f>A31</f>
        <v>Схема структурная</v>
      </c>
      <c r="B134" s="1947"/>
      <c r="C134" s="1748"/>
      <c r="D134" s="1694" t="s">
        <v>66</v>
      </c>
      <c r="E134" s="1694" t="s">
        <v>65</v>
      </c>
      <c r="F134" s="1694" t="s">
        <v>64</v>
      </c>
    </row>
    <row r="135" spans="1:6" x14ac:dyDescent="0.25">
      <c r="A135" s="132" t="s">
        <v>1725</v>
      </c>
      <c r="B135" s="905" t="s">
        <v>33</v>
      </c>
      <c r="C135" s="1748"/>
      <c r="D135" s="658" t="s">
        <v>1777</v>
      </c>
      <c r="E135" s="658" t="s">
        <v>1832</v>
      </c>
      <c r="F135" s="658" t="s">
        <v>1810</v>
      </c>
    </row>
    <row r="136" spans="1:6" x14ac:dyDescent="0.25">
      <c r="A136" s="132" t="s">
        <v>1726</v>
      </c>
      <c r="B136" s="905" t="s">
        <v>34</v>
      </c>
      <c r="C136" s="1748"/>
      <c r="D136" s="658" t="s">
        <v>1777</v>
      </c>
      <c r="E136" s="658" t="s">
        <v>1832</v>
      </c>
      <c r="F136" s="658" t="s">
        <v>1808</v>
      </c>
    </row>
    <row r="137" spans="1:6" ht="15.75" x14ac:dyDescent="0.25">
      <c r="A137" s="1946" t="str">
        <f>A34</f>
        <v>Схема функциональная</v>
      </c>
      <c r="B137" s="1947"/>
      <c r="C137" s="1748"/>
      <c r="D137" s="1694" t="s">
        <v>66</v>
      </c>
      <c r="E137" s="1694" t="s">
        <v>65</v>
      </c>
      <c r="F137" s="1694" t="s">
        <v>64</v>
      </c>
    </row>
    <row r="138" spans="1:6" x14ac:dyDescent="0.25">
      <c r="A138" s="132" t="s">
        <v>1727</v>
      </c>
      <c r="B138" s="905" t="s">
        <v>33</v>
      </c>
      <c r="C138" s="1748"/>
      <c r="D138" s="658"/>
      <c r="E138" s="658" t="s">
        <v>1830</v>
      </c>
      <c r="F138" s="658" t="s">
        <v>1808</v>
      </c>
    </row>
    <row r="139" spans="1:6" x14ac:dyDescent="0.25">
      <c r="A139" s="132" t="s">
        <v>1728</v>
      </c>
      <c r="B139" s="905" t="s">
        <v>34</v>
      </c>
      <c r="C139" s="1748"/>
      <c r="D139" s="658"/>
      <c r="E139" s="658" t="s">
        <v>1831</v>
      </c>
      <c r="F139" s="658" t="s">
        <v>1811</v>
      </c>
    </row>
    <row r="140" spans="1:6" ht="15.75" x14ac:dyDescent="0.25">
      <c r="A140" s="1946" t="str">
        <f>A38</f>
        <v xml:space="preserve">Пояснительная записка к технорабочему проекту </v>
      </c>
      <c r="B140" s="1947"/>
      <c r="C140" s="1748"/>
      <c r="D140" s="1694" t="s">
        <v>66</v>
      </c>
      <c r="E140" s="1694" t="s">
        <v>65</v>
      </c>
      <c r="F140" s="1694" t="s">
        <v>64</v>
      </c>
    </row>
    <row r="141" spans="1:6" x14ac:dyDescent="0.25">
      <c r="A141" s="132" t="s">
        <v>1729</v>
      </c>
      <c r="B141" s="905" t="s">
        <v>33</v>
      </c>
      <c r="C141" s="1748"/>
      <c r="D141" s="658"/>
      <c r="E141" s="658" t="s">
        <v>1831</v>
      </c>
      <c r="F141" s="658" t="s">
        <v>1815</v>
      </c>
    </row>
    <row r="142" spans="1:6" x14ac:dyDescent="0.25">
      <c r="A142" s="132" t="s">
        <v>1730</v>
      </c>
      <c r="B142" s="905" t="s">
        <v>34</v>
      </c>
      <c r="C142" s="1748"/>
      <c r="D142" s="658"/>
      <c r="E142" s="658" t="s">
        <v>1831</v>
      </c>
      <c r="F142" s="658" t="s">
        <v>1828</v>
      </c>
    </row>
    <row r="143" spans="1:6" ht="15.75" x14ac:dyDescent="0.25">
      <c r="A143" s="1946" t="str">
        <f>A42</f>
        <v xml:space="preserve">Спецификация оборудования </v>
      </c>
      <c r="B143" s="1947"/>
      <c r="C143" s="1748"/>
      <c r="D143" s="1694" t="s">
        <v>66</v>
      </c>
      <c r="E143" s="1694" t="s">
        <v>65</v>
      </c>
      <c r="F143" s="1694" t="s">
        <v>64</v>
      </c>
    </row>
    <row r="144" spans="1:6" x14ac:dyDescent="0.25">
      <c r="A144" s="132" t="s">
        <v>1731</v>
      </c>
      <c r="B144" s="905" t="s">
        <v>33</v>
      </c>
      <c r="C144" s="1748"/>
      <c r="D144" s="658" t="s">
        <v>1777</v>
      </c>
      <c r="E144" s="658" t="s">
        <v>1826</v>
      </c>
      <c r="F144" s="658"/>
    </row>
    <row r="145" spans="1:6" x14ac:dyDescent="0.25">
      <c r="A145" s="132" t="s">
        <v>1732</v>
      </c>
      <c r="B145" s="905" t="s">
        <v>34</v>
      </c>
      <c r="C145" s="1748"/>
      <c r="D145" s="658" t="s">
        <v>1777</v>
      </c>
      <c r="E145" s="658" t="s">
        <v>1826</v>
      </c>
      <c r="F145" s="658"/>
    </row>
    <row r="146" spans="1:6" ht="15.75" x14ac:dyDescent="0.25">
      <c r="A146" s="1946" t="str">
        <f>A45</f>
        <v>Инструкция по установке и настройке</v>
      </c>
      <c r="B146" s="1947"/>
      <c r="C146" s="1748"/>
      <c r="D146" s="1694" t="s">
        <v>66</v>
      </c>
      <c r="E146" s="1694" t="s">
        <v>65</v>
      </c>
      <c r="F146" s="1694" t="s">
        <v>64</v>
      </c>
    </row>
    <row r="147" spans="1:6" x14ac:dyDescent="0.25">
      <c r="A147" s="132" t="s">
        <v>1733</v>
      </c>
      <c r="B147" s="905" t="s">
        <v>33</v>
      </c>
      <c r="C147" s="1748"/>
      <c r="D147" s="658"/>
      <c r="E147" s="658" t="s">
        <v>1831</v>
      </c>
      <c r="F147" s="658" t="s">
        <v>1803</v>
      </c>
    </row>
    <row r="148" spans="1:6" x14ac:dyDescent="0.25">
      <c r="A148" s="132" t="s">
        <v>1734</v>
      </c>
      <c r="B148" s="905" t="s">
        <v>34</v>
      </c>
      <c r="C148" s="1748"/>
      <c r="D148" s="658"/>
      <c r="E148" s="658" t="s">
        <v>1834</v>
      </c>
      <c r="F148" s="658" t="s">
        <v>1810</v>
      </c>
    </row>
    <row r="149" spans="1:6" ht="15.75" x14ac:dyDescent="0.25">
      <c r="A149" s="1946" t="str">
        <f>A48</f>
        <v xml:space="preserve">Схема соединений внешних проводок </v>
      </c>
      <c r="B149" s="1947"/>
      <c r="C149" s="1748"/>
      <c r="D149" s="1694" t="s">
        <v>66</v>
      </c>
      <c r="E149" s="1694" t="s">
        <v>65</v>
      </c>
      <c r="F149" s="1694" t="s">
        <v>64</v>
      </c>
    </row>
    <row r="150" spans="1:6" x14ac:dyDescent="0.25">
      <c r="A150" s="132" t="s">
        <v>1735</v>
      </c>
      <c r="B150" s="905" t="s">
        <v>33</v>
      </c>
      <c r="C150" s="1748"/>
      <c r="D150" s="658" t="s">
        <v>1773</v>
      </c>
      <c r="E150" s="658" t="s">
        <v>1835</v>
      </c>
      <c r="F150" s="658" t="s">
        <v>1803</v>
      </c>
    </row>
    <row r="151" spans="1:6" x14ac:dyDescent="0.25">
      <c r="A151" s="132" t="s">
        <v>1736</v>
      </c>
      <c r="B151" s="905" t="s">
        <v>34</v>
      </c>
      <c r="C151" s="1748"/>
      <c r="D151" s="658" t="s">
        <v>1773</v>
      </c>
      <c r="E151" s="658" t="s">
        <v>1835</v>
      </c>
      <c r="F151" s="658" t="s">
        <v>1803</v>
      </c>
    </row>
    <row r="152" spans="1:6" ht="15.75" x14ac:dyDescent="0.25">
      <c r="A152" s="1946" t="str">
        <f>A51</f>
        <v xml:space="preserve">Таблица соединений и подключений </v>
      </c>
      <c r="B152" s="1947"/>
      <c r="C152" s="1748"/>
      <c r="D152" s="1694" t="s">
        <v>66</v>
      </c>
      <c r="E152" s="1694" t="s">
        <v>65</v>
      </c>
      <c r="F152" s="1694" t="s">
        <v>64</v>
      </c>
    </row>
    <row r="153" spans="1:6" x14ac:dyDescent="0.25">
      <c r="A153" s="132" t="s">
        <v>1737</v>
      </c>
      <c r="B153" s="905" t="s">
        <v>33</v>
      </c>
      <c r="C153" s="1748"/>
      <c r="D153" s="658" t="s">
        <v>1773</v>
      </c>
      <c r="E153" s="658" t="s">
        <v>1835</v>
      </c>
      <c r="F153" s="658" t="s">
        <v>1803</v>
      </c>
    </row>
    <row r="154" spans="1:6" x14ac:dyDescent="0.25">
      <c r="A154" s="132" t="s">
        <v>1738</v>
      </c>
      <c r="B154" s="905" t="s">
        <v>34</v>
      </c>
      <c r="C154" s="1748"/>
      <c r="D154" s="658" t="s">
        <v>1773</v>
      </c>
      <c r="E154" s="658" t="s">
        <v>1835</v>
      </c>
      <c r="F154" s="658" t="s">
        <v>1803</v>
      </c>
    </row>
    <row r="155" spans="1:6" ht="15.75" x14ac:dyDescent="0.25">
      <c r="A155" s="1946" t="str">
        <f>A54</f>
        <v xml:space="preserve">План расположения </v>
      </c>
      <c r="B155" s="1947"/>
      <c r="C155" s="1748"/>
      <c r="D155" s="1694" t="s">
        <v>66</v>
      </c>
      <c r="E155" s="1694" t="s">
        <v>65</v>
      </c>
      <c r="F155" s="1694" t="s">
        <v>64</v>
      </c>
    </row>
    <row r="156" spans="1:6" x14ac:dyDescent="0.25">
      <c r="A156" s="132" t="s">
        <v>1739</v>
      </c>
      <c r="B156" s="905" t="s">
        <v>33</v>
      </c>
      <c r="C156" s="1748"/>
      <c r="D156" s="658" t="s">
        <v>1777</v>
      </c>
      <c r="E156" s="658" t="s">
        <v>1835</v>
      </c>
      <c r="F156" s="658" t="s">
        <v>1803</v>
      </c>
    </row>
    <row r="157" spans="1:6" x14ac:dyDescent="0.25">
      <c r="A157" s="132" t="s">
        <v>1740</v>
      </c>
      <c r="B157" s="905" t="s">
        <v>34</v>
      </c>
      <c r="C157" s="1748"/>
      <c r="D157" s="658" t="s">
        <v>1777</v>
      </c>
      <c r="E157" s="658" t="s">
        <v>1835</v>
      </c>
      <c r="F157" s="658" t="s">
        <v>1803</v>
      </c>
    </row>
    <row r="158" spans="1:6" ht="15.75" x14ac:dyDescent="0.25">
      <c r="A158" s="1946" t="str">
        <f>A57</f>
        <v>Паспорт</v>
      </c>
      <c r="B158" s="1947"/>
      <c r="C158" s="1748"/>
      <c r="D158" s="1694" t="s">
        <v>66</v>
      </c>
      <c r="E158" s="1694" t="s">
        <v>65</v>
      </c>
      <c r="F158" s="1694" t="s">
        <v>64</v>
      </c>
    </row>
    <row r="159" spans="1:6" x14ac:dyDescent="0.25">
      <c r="A159" s="132" t="s">
        <v>1748</v>
      </c>
      <c r="B159" s="905" t="s">
        <v>33</v>
      </c>
      <c r="C159" s="1748"/>
      <c r="D159" s="658"/>
      <c r="E159" s="658" t="s">
        <v>1830</v>
      </c>
      <c r="F159" s="658" t="s">
        <v>1813</v>
      </c>
    </row>
    <row r="160" spans="1:6" x14ac:dyDescent="0.25">
      <c r="A160" s="132" t="s">
        <v>1747</v>
      </c>
      <c r="B160" s="905" t="s">
        <v>34</v>
      </c>
      <c r="C160" s="1748"/>
      <c r="D160" s="658"/>
      <c r="E160" s="658" t="s">
        <v>1830</v>
      </c>
      <c r="F160" s="658" t="s">
        <v>1814</v>
      </c>
    </row>
    <row r="161" spans="1:6" ht="15.75" x14ac:dyDescent="0.25">
      <c r="A161" s="1946" t="str">
        <f>A60</f>
        <v>ПиМИ</v>
      </c>
      <c r="B161" s="1947"/>
      <c r="C161" s="1748"/>
      <c r="D161" s="1694" t="s">
        <v>66</v>
      </c>
      <c r="E161" s="1694" t="s">
        <v>65</v>
      </c>
      <c r="F161" s="1694" t="s">
        <v>64</v>
      </c>
    </row>
    <row r="162" spans="1:6" x14ac:dyDescent="0.25">
      <c r="A162" s="132" t="s">
        <v>1746</v>
      </c>
      <c r="B162" s="905" t="s">
        <v>33</v>
      </c>
      <c r="C162" s="1748"/>
      <c r="D162" s="658"/>
      <c r="E162" s="658" t="s">
        <v>1830</v>
      </c>
      <c r="F162" s="658" t="s">
        <v>1808</v>
      </c>
    </row>
    <row r="163" spans="1:6" x14ac:dyDescent="0.25">
      <c r="A163" s="132" t="s">
        <v>1745</v>
      </c>
      <c r="B163" s="905" t="s">
        <v>34</v>
      </c>
      <c r="C163" s="1748"/>
      <c r="D163" s="658"/>
      <c r="E163" s="658" t="s">
        <v>1831</v>
      </c>
      <c r="F163" s="658" t="s">
        <v>1811</v>
      </c>
    </row>
    <row r="164" spans="1:6" ht="15.75" x14ac:dyDescent="0.25">
      <c r="A164" s="1946" t="str">
        <f>A63</f>
        <v>Технические условия для монтажа оборудования</v>
      </c>
      <c r="B164" s="1947"/>
      <c r="C164" s="1748"/>
      <c r="D164" s="1694" t="s">
        <v>66</v>
      </c>
      <c r="E164" s="1694" t="s">
        <v>65</v>
      </c>
      <c r="F164" s="1694" t="s">
        <v>64</v>
      </c>
    </row>
    <row r="165" spans="1:6" x14ac:dyDescent="0.25">
      <c r="A165" s="132" t="s">
        <v>1744</v>
      </c>
      <c r="B165" s="905" t="s">
        <v>33</v>
      </c>
      <c r="C165" s="1748"/>
      <c r="D165" s="658"/>
      <c r="E165" s="658"/>
      <c r="F165" s="658"/>
    </row>
    <row r="166" spans="1:6" x14ac:dyDescent="0.25">
      <c r="A166" s="132" t="s">
        <v>1743</v>
      </c>
      <c r="B166" s="905" t="s">
        <v>34</v>
      </c>
      <c r="C166" s="1748"/>
      <c r="D166" s="658"/>
      <c r="E166" s="658"/>
      <c r="F166" s="658"/>
    </row>
    <row r="167" spans="1:6" ht="15.75" x14ac:dyDescent="0.25">
      <c r="A167" s="1946" t="str">
        <f>A66</f>
        <v>Эскизная схема расположения оборудования</v>
      </c>
      <c r="B167" s="1947"/>
      <c r="C167" s="1748"/>
      <c r="D167" s="1694" t="s">
        <v>66</v>
      </c>
      <c r="E167" s="1694" t="s">
        <v>65</v>
      </c>
      <c r="F167" s="1694" t="s">
        <v>64</v>
      </c>
    </row>
    <row r="168" spans="1:6" x14ac:dyDescent="0.25">
      <c r="A168" s="132" t="s">
        <v>1741</v>
      </c>
      <c r="B168" s="905" t="s">
        <v>33</v>
      </c>
      <c r="C168" s="1748"/>
      <c r="D168" s="658" t="s">
        <v>1777</v>
      </c>
      <c r="E168" s="658" t="s">
        <v>1836</v>
      </c>
      <c r="F168" s="658" t="s">
        <v>1803</v>
      </c>
    </row>
    <row r="169" spans="1:6" x14ac:dyDescent="0.25">
      <c r="A169" s="132" t="s">
        <v>1742</v>
      </c>
      <c r="B169" s="905" t="s">
        <v>34</v>
      </c>
      <c r="C169" s="1748"/>
      <c r="D169" s="658" t="s">
        <v>1777</v>
      </c>
      <c r="E169" s="658" t="s">
        <v>1836</v>
      </c>
      <c r="F169" s="658" t="s">
        <v>1803</v>
      </c>
    </row>
    <row r="170" spans="1:6" ht="15.75" x14ac:dyDescent="0.25">
      <c r="A170" s="1946" t="str">
        <f>A69</f>
        <v>Сетевая схема L2</v>
      </c>
      <c r="B170" s="1947"/>
      <c r="C170" s="1748"/>
      <c r="D170" s="1694" t="s">
        <v>66</v>
      </c>
      <c r="E170" s="1694" t="s">
        <v>65</v>
      </c>
      <c r="F170" s="1694" t="s">
        <v>64</v>
      </c>
    </row>
    <row r="171" spans="1:6" x14ac:dyDescent="0.25">
      <c r="A171" s="132" t="s">
        <v>1749</v>
      </c>
      <c r="B171" s="905" t="s">
        <v>33</v>
      </c>
      <c r="C171" s="1748"/>
      <c r="D171" s="658"/>
      <c r="E171" s="658"/>
      <c r="F171" s="658"/>
    </row>
    <row r="172" spans="1:6" x14ac:dyDescent="0.25">
      <c r="A172" s="132" t="s">
        <v>1750</v>
      </c>
      <c r="B172" s="905" t="s">
        <v>34</v>
      </c>
      <c r="C172" s="1748"/>
      <c r="D172" s="658"/>
      <c r="E172" s="658"/>
      <c r="F172" s="658"/>
    </row>
    <row r="173" spans="1:6" ht="15.75" x14ac:dyDescent="0.25">
      <c r="A173" s="1946" t="str">
        <f>A72</f>
        <v>Сетевая схема L3</v>
      </c>
      <c r="B173" s="1947"/>
      <c r="C173" s="1748"/>
      <c r="D173" s="1694" t="s">
        <v>66</v>
      </c>
      <c r="E173" s="1694" t="s">
        <v>65</v>
      </c>
      <c r="F173" s="1694" t="s">
        <v>64</v>
      </c>
    </row>
    <row r="174" spans="1:6" x14ac:dyDescent="0.25">
      <c r="A174" s="132" t="s">
        <v>1751</v>
      </c>
      <c r="B174" s="905" t="s">
        <v>33</v>
      </c>
      <c r="C174" s="1748"/>
      <c r="D174" s="658"/>
      <c r="E174" s="658"/>
      <c r="F174" s="658"/>
    </row>
    <row r="175" spans="1:6" x14ac:dyDescent="0.25">
      <c r="A175" s="132" t="s">
        <v>1752</v>
      </c>
      <c r="B175" s="905" t="s">
        <v>34</v>
      </c>
      <c r="C175" s="1748"/>
      <c r="D175" s="658"/>
      <c r="E175" s="658"/>
      <c r="F175" s="658"/>
    </row>
    <row r="176" spans="1:6" ht="15.75" x14ac:dyDescent="0.25">
      <c r="A176" s="1946" t="str">
        <f>A78</f>
        <v>Принципиальная схема электропитания оборудования (СБ)</v>
      </c>
      <c r="B176" s="1947"/>
      <c r="C176" s="1748"/>
      <c r="D176" s="1694" t="s">
        <v>66</v>
      </c>
      <c r="E176" s="1694" t="s">
        <v>65</v>
      </c>
      <c r="F176" s="1694" t="s">
        <v>64</v>
      </c>
    </row>
    <row r="177" spans="1:6" x14ac:dyDescent="0.25">
      <c r="A177" s="132" t="s">
        <v>1753</v>
      </c>
      <c r="B177" s="905" t="s">
        <v>33</v>
      </c>
      <c r="C177" s="1748"/>
      <c r="D177" s="658" t="s">
        <v>1801</v>
      </c>
      <c r="E177" s="658" t="s">
        <v>1835</v>
      </c>
      <c r="F177" s="658" t="s">
        <v>1803</v>
      </c>
    </row>
    <row r="178" spans="1:6" x14ac:dyDescent="0.25">
      <c r="A178" s="132" t="s">
        <v>1754</v>
      </c>
      <c r="B178" s="905" t="s">
        <v>34</v>
      </c>
      <c r="C178" s="1748"/>
      <c r="D178" s="658" t="s">
        <v>1801</v>
      </c>
      <c r="E178" s="658" t="s">
        <v>1835</v>
      </c>
      <c r="F178" s="658" t="s">
        <v>1803</v>
      </c>
    </row>
    <row r="179" spans="1:6" ht="15.75" x14ac:dyDescent="0.25">
      <c r="A179" s="1946" t="str">
        <f>A81</f>
        <v>Схема подключения внешних проводок (С5)</v>
      </c>
      <c r="B179" s="1947"/>
      <c r="C179" s="1748"/>
      <c r="D179" s="1694" t="s">
        <v>66</v>
      </c>
      <c r="E179" s="1694" t="s">
        <v>65</v>
      </c>
      <c r="F179" s="1694" t="s">
        <v>64</v>
      </c>
    </row>
    <row r="180" spans="1:6" x14ac:dyDescent="0.25">
      <c r="A180" s="132" t="s">
        <v>1755</v>
      </c>
      <c r="B180" s="905" t="s">
        <v>33</v>
      </c>
      <c r="C180" s="1748"/>
      <c r="D180" s="658" t="s">
        <v>1773</v>
      </c>
      <c r="E180" s="658" t="s">
        <v>1835</v>
      </c>
      <c r="F180" s="658" t="s">
        <v>1803</v>
      </c>
    </row>
    <row r="181" spans="1:6" x14ac:dyDescent="0.25">
      <c r="A181" s="132" t="s">
        <v>1756</v>
      </c>
      <c r="B181" s="905" t="s">
        <v>34</v>
      </c>
      <c r="C181" s="1748"/>
      <c r="D181" s="658" t="s">
        <v>1773</v>
      </c>
      <c r="E181" s="658" t="s">
        <v>1835</v>
      </c>
      <c r="F181" s="658" t="s">
        <v>1803</v>
      </c>
    </row>
    <row r="182" spans="1:6" ht="15.75" x14ac:dyDescent="0.25">
      <c r="A182" s="1946" t="str">
        <f>A84</f>
        <v>Чертеж установки технических средств (СА)</v>
      </c>
      <c r="B182" s="1947"/>
      <c r="C182" s="1748"/>
      <c r="D182" s="1694" t="s">
        <v>66</v>
      </c>
      <c r="E182" s="1694" t="s">
        <v>65</v>
      </c>
      <c r="F182" s="1694" t="s">
        <v>64</v>
      </c>
    </row>
    <row r="183" spans="1:6" x14ac:dyDescent="0.25">
      <c r="A183" s="132" t="s">
        <v>1757</v>
      </c>
      <c r="B183" s="905" t="s">
        <v>33</v>
      </c>
      <c r="C183" s="1748"/>
      <c r="D183" s="658" t="s">
        <v>1777</v>
      </c>
      <c r="E183" s="658" t="s">
        <v>1835</v>
      </c>
      <c r="F183" s="658" t="s">
        <v>1803</v>
      </c>
    </row>
    <row r="184" spans="1:6" x14ac:dyDescent="0.25">
      <c r="A184" s="132" t="s">
        <v>1758</v>
      </c>
      <c r="B184" s="905" t="s">
        <v>34</v>
      </c>
      <c r="C184" s="1748"/>
      <c r="D184" s="658" t="s">
        <v>1777</v>
      </c>
      <c r="E184" s="658" t="s">
        <v>1835</v>
      </c>
      <c r="F184" s="658" t="s">
        <v>1803</v>
      </c>
    </row>
    <row r="185" spans="1:6" ht="15.75" x14ac:dyDescent="0.25">
      <c r="A185" s="1946" t="str">
        <f>A88</f>
        <v xml:space="preserve">Ведомость эксплуатационных документов </v>
      </c>
      <c r="B185" s="1947"/>
      <c r="C185" s="1748"/>
      <c r="D185" s="1694" t="s">
        <v>66</v>
      </c>
      <c r="E185" s="1694" t="s">
        <v>65</v>
      </c>
      <c r="F185" s="1694" t="s">
        <v>64</v>
      </c>
    </row>
    <row r="186" spans="1:6" x14ac:dyDescent="0.25">
      <c r="A186" s="132" t="s">
        <v>1759</v>
      </c>
      <c r="B186" s="905" t="s">
        <v>33</v>
      </c>
      <c r="C186" s="1748"/>
      <c r="D186" s="658"/>
      <c r="E186" s="658"/>
      <c r="F186" s="658"/>
    </row>
    <row r="187" spans="1:6" x14ac:dyDescent="0.25">
      <c r="A187" s="132" t="s">
        <v>1760</v>
      </c>
      <c r="B187" s="905" t="s">
        <v>34</v>
      </c>
      <c r="C187" s="1748"/>
      <c r="D187" s="658"/>
      <c r="E187" s="658"/>
      <c r="F187" s="658"/>
    </row>
    <row r="188" spans="1:6" ht="15.75" x14ac:dyDescent="0.25">
      <c r="A188" s="1946" t="str">
        <f>A91</f>
        <v>Руководство администратора</v>
      </c>
      <c r="B188" s="1947"/>
      <c r="C188" s="1748"/>
      <c r="D188" s="1694" t="s">
        <v>66</v>
      </c>
      <c r="E188" s="1694" t="s">
        <v>65</v>
      </c>
      <c r="F188" s="1694" t="s">
        <v>64</v>
      </c>
    </row>
    <row r="189" spans="1:6" x14ac:dyDescent="0.25">
      <c r="A189" s="132" t="s">
        <v>1761</v>
      </c>
      <c r="B189" s="905" t="s">
        <v>33</v>
      </c>
      <c r="C189" s="1748"/>
      <c r="D189" s="658"/>
      <c r="E189" s="658" t="s">
        <v>1830</v>
      </c>
      <c r="F189" s="658" t="s">
        <v>1809</v>
      </c>
    </row>
    <row r="190" spans="1:6" x14ac:dyDescent="0.25">
      <c r="A190" s="132" t="s">
        <v>1762</v>
      </c>
      <c r="B190" s="905" t="s">
        <v>34</v>
      </c>
      <c r="C190" s="1748"/>
      <c r="D190" s="658"/>
      <c r="E190" s="658" t="s">
        <v>1830</v>
      </c>
      <c r="F190" s="658" t="s">
        <v>1815</v>
      </c>
    </row>
    <row r="191" spans="1:6" ht="15.75" x14ac:dyDescent="0.25">
      <c r="A191" s="1946" t="str">
        <f>A94</f>
        <v xml:space="preserve">Руководство пользователя </v>
      </c>
      <c r="B191" s="1947"/>
      <c r="C191" s="1748"/>
      <c r="D191" s="1694" t="s">
        <v>66</v>
      </c>
      <c r="E191" s="1694" t="s">
        <v>65</v>
      </c>
      <c r="F191" s="1694" t="s">
        <v>64</v>
      </c>
    </row>
    <row r="192" spans="1:6" x14ac:dyDescent="0.25">
      <c r="A192" s="132" t="s">
        <v>1763</v>
      </c>
      <c r="B192" s="905" t="s">
        <v>33</v>
      </c>
      <c r="C192" s="1748"/>
      <c r="D192" s="658"/>
      <c r="E192" s="658" t="s">
        <v>1831</v>
      </c>
      <c r="F192" s="658" t="s">
        <v>1809</v>
      </c>
    </row>
    <row r="193" spans="1:6" x14ac:dyDescent="0.25">
      <c r="A193" s="132" t="s">
        <v>1764</v>
      </c>
      <c r="B193" s="905" t="s">
        <v>34</v>
      </c>
      <c r="C193" s="1748"/>
      <c r="D193" s="658"/>
      <c r="E193" s="658" t="s">
        <v>1831</v>
      </c>
      <c r="F193" s="658" t="s">
        <v>1815</v>
      </c>
    </row>
    <row r="194" spans="1:6" ht="15.75" x14ac:dyDescent="0.25">
      <c r="A194" s="1946" t="str">
        <f>A97</f>
        <v>Руководство по мониторингу</v>
      </c>
      <c r="B194" s="1947"/>
      <c r="C194" s="1748"/>
      <c r="D194" s="1694" t="s">
        <v>66</v>
      </c>
      <c r="E194" s="1694" t="s">
        <v>65</v>
      </c>
      <c r="F194" s="1694" t="s">
        <v>64</v>
      </c>
    </row>
    <row r="195" spans="1:6" x14ac:dyDescent="0.25">
      <c r="A195" s="132" t="s">
        <v>1765</v>
      </c>
      <c r="B195" s="905" t="s">
        <v>33</v>
      </c>
      <c r="C195" s="1748"/>
      <c r="D195" s="658" t="s">
        <v>1801</v>
      </c>
      <c r="E195" s="658" t="s">
        <v>1830</v>
      </c>
      <c r="F195" s="658" t="s">
        <v>1808</v>
      </c>
    </row>
    <row r="196" spans="1:6" x14ac:dyDescent="0.25">
      <c r="A196" s="132" t="s">
        <v>1766</v>
      </c>
      <c r="B196" s="905" t="s">
        <v>34</v>
      </c>
      <c r="C196" s="1748"/>
      <c r="D196" s="658" t="s">
        <v>1816</v>
      </c>
      <c r="E196" s="658" t="s">
        <v>1830</v>
      </c>
      <c r="F196" s="658" t="s">
        <v>1811</v>
      </c>
    </row>
    <row r="197" spans="1:6" ht="15.75" x14ac:dyDescent="0.25">
      <c r="A197" s="1946" t="str">
        <f>A100</f>
        <v>План резервного копирования</v>
      </c>
      <c r="B197" s="1947"/>
      <c r="C197" s="1748"/>
      <c r="D197" s="1694" t="s">
        <v>66</v>
      </c>
      <c r="E197" s="1694" t="s">
        <v>65</v>
      </c>
      <c r="F197" s="1694" t="s">
        <v>64</v>
      </c>
    </row>
    <row r="198" spans="1:6" x14ac:dyDescent="0.25">
      <c r="A198" s="132" t="s">
        <v>1767</v>
      </c>
      <c r="B198" s="905" t="s">
        <v>33</v>
      </c>
      <c r="C198" s="1748"/>
      <c r="D198" s="658" t="s">
        <v>1801</v>
      </c>
      <c r="E198" s="658" t="s">
        <v>1830</v>
      </c>
      <c r="F198" s="658" t="s">
        <v>1808</v>
      </c>
    </row>
    <row r="199" spans="1:6" x14ac:dyDescent="0.25">
      <c r="A199" s="132" t="s">
        <v>1768</v>
      </c>
      <c r="B199" s="905" t="s">
        <v>34</v>
      </c>
      <c r="C199" s="1748"/>
      <c r="D199" s="658" t="s">
        <v>1816</v>
      </c>
      <c r="E199" s="658" t="s">
        <v>1830</v>
      </c>
      <c r="F199" s="658" t="s">
        <v>1811</v>
      </c>
    </row>
    <row r="200" spans="1:6" ht="15.75" x14ac:dyDescent="0.25">
      <c r="A200" s="1946" t="str">
        <f>A103</f>
        <v>План опытной эксплуатации</v>
      </c>
      <c r="B200" s="1947"/>
      <c r="C200" s="1748"/>
      <c r="D200" s="1694" t="s">
        <v>66</v>
      </c>
      <c r="E200" s="1694" t="s">
        <v>65</v>
      </c>
      <c r="F200" s="1694" t="s">
        <v>64</v>
      </c>
    </row>
    <row r="201" spans="1:6" x14ac:dyDescent="0.25">
      <c r="A201" s="132" t="s">
        <v>1769</v>
      </c>
      <c r="B201" s="905" t="s">
        <v>33</v>
      </c>
      <c r="C201" s="1748"/>
      <c r="D201" s="658"/>
      <c r="E201" s="658" t="s">
        <v>1830</v>
      </c>
      <c r="F201" s="658" t="s">
        <v>1810</v>
      </c>
    </row>
    <row r="202" spans="1:6" x14ac:dyDescent="0.25">
      <c r="A202" s="132" t="s">
        <v>1770</v>
      </c>
      <c r="B202" s="905" t="s">
        <v>34</v>
      </c>
      <c r="C202" s="1748"/>
      <c r="D202" s="658"/>
      <c r="E202" s="658" t="s">
        <v>1830</v>
      </c>
      <c r="F202" s="658" t="s">
        <v>1808</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34" t="str">
        <f>'Служебный АСУТП'!X2</f>
        <v>Efros Defence Operations</v>
      </c>
      <c r="E1" s="1934"/>
      <c r="F1" s="1934"/>
      <c r="G1" s="1934"/>
    </row>
    <row r="2" spans="1:7" ht="15.75" x14ac:dyDescent="0.25">
      <c r="B2" s="41" t="s">
        <v>37</v>
      </c>
      <c r="C2" s="1940" t="s">
        <v>35</v>
      </c>
      <c r="D2" s="439" t="s">
        <v>1855</v>
      </c>
      <c r="E2" s="191" t="s">
        <v>1858</v>
      </c>
      <c r="F2" s="191" t="s">
        <v>1856</v>
      </c>
      <c r="G2" s="1933" t="s">
        <v>38</v>
      </c>
    </row>
    <row r="3" spans="1:7"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row>
    <row r="4" spans="1:7" ht="16.5" thickBot="1" x14ac:dyDescent="0.3">
      <c r="A4" s="326" t="s">
        <v>0</v>
      </c>
      <c r="B4" s="327"/>
      <c r="C4" s="327"/>
      <c r="D4" s="327"/>
      <c r="E4" s="327"/>
      <c r="F4" s="327"/>
      <c r="G4" s="396"/>
    </row>
    <row r="5" spans="1:7" x14ac:dyDescent="0.25">
      <c r="A5" s="1942" t="s">
        <v>0</v>
      </c>
      <c r="B5" s="1723" t="s">
        <v>32</v>
      </c>
      <c r="C5" s="1724"/>
      <c r="D5" s="1725">
        <v>2</v>
      </c>
      <c r="E5" s="1725">
        <v>0.5</v>
      </c>
      <c r="F5" s="1725">
        <v>0</v>
      </c>
      <c r="G5" s="1727">
        <f xml:space="preserve"> SUM(D5:F5) + $C5</f>
        <v>2.5</v>
      </c>
    </row>
    <row r="6" spans="1:7" x14ac:dyDescent="0.25">
      <c r="A6" s="1942"/>
      <c r="B6" s="19" t="s">
        <v>33</v>
      </c>
      <c r="C6" s="22"/>
      <c r="D6" s="446">
        <v>1</v>
      </c>
      <c r="E6" s="478">
        <f>IF(E$3&gt;1,E$3*0.25,0.25)</f>
        <v>0.25</v>
      </c>
      <c r="F6" s="630">
        <f>IF(F$3=1,D6+E6+4,0)</f>
        <v>0</v>
      </c>
      <c r="G6" s="21">
        <f xml:space="preserve"> SUM(D6:F6) + $C6</f>
        <v>1.25</v>
      </c>
    </row>
    <row r="7" spans="1:7" x14ac:dyDescent="0.25">
      <c r="A7" s="1975"/>
      <c r="B7" s="19" t="s">
        <v>34</v>
      </c>
      <c r="C7" s="22"/>
      <c r="D7" s="446">
        <v>2</v>
      </c>
      <c r="E7" s="478">
        <f>IF(E$3&gt;1,E$3*0.25,0.25)</f>
        <v>0.25</v>
      </c>
      <c r="F7" s="630">
        <f>IF(F$3=1,D7+E7+8,0)</f>
        <v>0</v>
      </c>
      <c r="G7" s="21">
        <f xml:space="preserve"> SUM(D7:F7) + $C7</f>
        <v>2.25</v>
      </c>
    </row>
    <row r="8" spans="1:7" x14ac:dyDescent="0.25">
      <c r="A8" s="1942" t="s">
        <v>449</v>
      </c>
      <c r="B8" s="1723" t="s">
        <v>32</v>
      </c>
      <c r="C8" s="1724"/>
      <c r="D8" s="1725">
        <v>2</v>
      </c>
      <c r="E8" s="1737">
        <v>0.5</v>
      </c>
      <c r="F8" s="1737">
        <v>0</v>
      </c>
      <c r="G8" s="1730">
        <f xml:space="preserve"> SUM(D8:F8) + $C8</f>
        <v>2.5</v>
      </c>
    </row>
    <row r="9" spans="1:7" x14ac:dyDescent="0.25">
      <c r="A9" s="1942"/>
      <c r="B9" s="19" t="s">
        <v>33</v>
      </c>
      <c r="C9" s="22"/>
      <c r="D9" s="446">
        <v>1</v>
      </c>
      <c r="E9" s="478">
        <f>IF(E$3&gt;1,E$3*0.25,0.25)</f>
        <v>0.25</v>
      </c>
      <c r="F9" s="630">
        <f>IF(F$3=1,D9+E9+4,0)</f>
        <v>0</v>
      </c>
      <c r="G9" s="21">
        <f t="shared" ref="G9:G93" si="0" xml:space="preserve"> SUM(D9:F9) + $C9</f>
        <v>1.25</v>
      </c>
    </row>
    <row r="10" spans="1:7" ht="15.75" thickBot="1" x14ac:dyDescent="0.3">
      <c r="A10" s="1942"/>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42" t="s">
        <v>2</v>
      </c>
      <c r="B12" s="1723" t="s">
        <v>32</v>
      </c>
      <c r="C12" s="1724"/>
      <c r="D12" s="1725">
        <v>8</v>
      </c>
      <c r="E12" s="1725">
        <f>2*E$3</f>
        <v>0</v>
      </c>
      <c r="F12" s="1725">
        <v>0</v>
      </c>
      <c r="G12" s="1727">
        <f t="shared" si="0"/>
        <v>8</v>
      </c>
    </row>
    <row r="13" spans="1:7" x14ac:dyDescent="0.25">
      <c r="A13" s="1942"/>
      <c r="B13" s="19" t="s">
        <v>33</v>
      </c>
      <c r="C13" s="22"/>
      <c r="D13" s="501">
        <v>2</v>
      </c>
      <c r="E13" s="478">
        <f>IF(E$3&gt;1,E$3*0.5,0.5)</f>
        <v>0.5</v>
      </c>
      <c r="F13" s="630">
        <f>IF(F$3=1,D13+E13+16,0)</f>
        <v>0</v>
      </c>
      <c r="G13" s="21">
        <f t="shared" si="0"/>
        <v>2.5</v>
      </c>
    </row>
    <row r="14" spans="1:7" ht="15.75" thickBot="1" x14ac:dyDescent="0.3">
      <c r="A14" s="1942"/>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39" t="s">
        <v>4</v>
      </c>
      <c r="B16" s="1731" t="s">
        <v>32</v>
      </c>
      <c r="C16" s="1724"/>
      <c r="D16" s="1786">
        <v>0.25</v>
      </c>
      <c r="E16" s="1755">
        <v>0</v>
      </c>
      <c r="F16" s="1756">
        <v>0</v>
      </c>
      <c r="G16" s="1727">
        <f t="shared" si="0"/>
        <v>0.25</v>
      </c>
    </row>
    <row r="17" spans="1:7" x14ac:dyDescent="0.25">
      <c r="A17" s="1938"/>
      <c r="B17" s="18" t="s">
        <v>33</v>
      </c>
      <c r="C17" s="22"/>
      <c r="D17" s="482" t="s">
        <v>1772</v>
      </c>
      <c r="E17" s="482" t="s">
        <v>1772</v>
      </c>
      <c r="F17" s="482" t="s">
        <v>1772</v>
      </c>
      <c r="G17" s="21">
        <f t="shared" si="0"/>
        <v>0</v>
      </c>
    </row>
    <row r="18" spans="1:7" x14ac:dyDescent="0.25">
      <c r="A18" s="1938"/>
      <c r="B18" s="18" t="s">
        <v>34</v>
      </c>
      <c r="C18" s="22"/>
      <c r="D18" s="482" t="s">
        <v>1772</v>
      </c>
      <c r="E18" s="482" t="s">
        <v>1772</v>
      </c>
      <c r="F18" s="482" t="s">
        <v>1772</v>
      </c>
      <c r="G18" s="21">
        <f t="shared" si="0"/>
        <v>0</v>
      </c>
    </row>
    <row r="19" spans="1:7" x14ac:dyDescent="0.25">
      <c r="A19" s="1938" t="s">
        <v>5</v>
      </c>
      <c r="B19" s="1728" t="s">
        <v>32</v>
      </c>
      <c r="C19" s="1729"/>
      <c r="D19" s="1735">
        <v>1</v>
      </c>
      <c r="E19" s="1736">
        <v>0</v>
      </c>
      <c r="F19" s="1738">
        <v>0</v>
      </c>
      <c r="G19" s="1730">
        <f t="shared" si="0"/>
        <v>1</v>
      </c>
    </row>
    <row r="20" spans="1:7" x14ac:dyDescent="0.25">
      <c r="A20" s="1938"/>
      <c r="B20" s="19" t="s">
        <v>33</v>
      </c>
      <c r="C20" s="22"/>
      <c r="D20" s="493">
        <f>IF(D$3&gt;0,0.25*D$3+1,1)</f>
        <v>1</v>
      </c>
      <c r="E20" s="478">
        <f>IF(E$3&gt;1,E$3*0.25,0.25)</f>
        <v>0.25</v>
      </c>
      <c r="F20" s="814">
        <v>0</v>
      </c>
      <c r="G20" s="21">
        <f t="shared" si="0"/>
        <v>1.25</v>
      </c>
    </row>
    <row r="21" spans="1:7" x14ac:dyDescent="0.25">
      <c r="A21" s="1938"/>
      <c r="B21" s="19" t="s">
        <v>34</v>
      </c>
      <c r="C21" s="22"/>
      <c r="D21" s="493">
        <f>IF(D$3&gt;0,0.25*D$3+1,1)</f>
        <v>1</v>
      </c>
      <c r="E21" s="478">
        <f>IF(E$3&gt;1,E$3*0.25,0.25)</f>
        <v>0.25</v>
      </c>
      <c r="F21" s="814">
        <v>0</v>
      </c>
      <c r="G21" s="21">
        <f t="shared" si="0"/>
        <v>1.25</v>
      </c>
    </row>
    <row r="22" spans="1:7" x14ac:dyDescent="0.25">
      <c r="A22" s="1938" t="s">
        <v>6</v>
      </c>
      <c r="B22" s="1728" t="s">
        <v>32</v>
      </c>
      <c r="C22" s="1729"/>
      <c r="D22" s="1737">
        <v>8</v>
      </c>
      <c r="E22" s="1737">
        <f>1*E$3</f>
        <v>0</v>
      </c>
      <c r="F22" s="1737">
        <v>0</v>
      </c>
      <c r="G22" s="1730">
        <f t="shared" si="0"/>
        <v>8</v>
      </c>
    </row>
    <row r="23" spans="1:7" x14ac:dyDescent="0.25">
      <c r="A23" s="1938"/>
      <c r="B23" s="19" t="s">
        <v>33</v>
      </c>
      <c r="C23" s="22"/>
      <c r="D23" s="501">
        <v>2</v>
      </c>
      <c r="E23" s="478">
        <f>IF(E$3&gt;1,E$3*0.5,0.5)</f>
        <v>0.5</v>
      </c>
      <c r="F23" s="630">
        <f>IF(F$3=1,D23+E23+16,0)</f>
        <v>0</v>
      </c>
      <c r="G23" s="21">
        <f t="shared" si="0"/>
        <v>2.5</v>
      </c>
    </row>
    <row r="24" spans="1:7" x14ac:dyDescent="0.25">
      <c r="A24" s="1938"/>
      <c r="B24" s="19" t="s">
        <v>34</v>
      </c>
      <c r="C24" s="22"/>
      <c r="D24" s="501">
        <v>4</v>
      </c>
      <c r="E24" s="478">
        <f>IF(E$3&gt;1,E$3*0.5,0.5)</f>
        <v>0.5</v>
      </c>
      <c r="F24" s="630">
        <f>IF(F$3=1,D24+E24+32,0)</f>
        <v>0</v>
      </c>
      <c r="G24" s="21">
        <f t="shared" si="0"/>
        <v>4.5</v>
      </c>
    </row>
    <row r="25" spans="1:7" x14ac:dyDescent="0.25">
      <c r="A25" s="1938" t="s">
        <v>7</v>
      </c>
      <c r="B25" s="1728" t="s">
        <v>32</v>
      </c>
      <c r="C25" s="1729"/>
      <c r="D25" s="1735">
        <v>4</v>
      </c>
      <c r="E25" s="1736">
        <v>0</v>
      </c>
      <c r="F25" s="1738">
        <v>0</v>
      </c>
      <c r="G25" s="1730">
        <f t="shared" si="0"/>
        <v>4</v>
      </c>
    </row>
    <row r="26" spans="1:7" x14ac:dyDescent="0.25">
      <c r="A26" s="1938"/>
      <c r="B26" s="19" t="s">
        <v>33</v>
      </c>
      <c r="C26" s="22"/>
      <c r="D26" s="821">
        <v>2</v>
      </c>
      <c r="E26" s="814">
        <v>0</v>
      </c>
      <c r="F26" s="630">
        <f>IF(F$3=1,12,0)</f>
        <v>0</v>
      </c>
      <c r="G26" s="21">
        <f t="shared" si="0"/>
        <v>2</v>
      </c>
    </row>
    <row r="27" spans="1:7" x14ac:dyDescent="0.25">
      <c r="A27" s="1938"/>
      <c r="B27" s="19" t="s">
        <v>34</v>
      </c>
      <c r="C27" s="22"/>
      <c r="D27" s="807">
        <v>4</v>
      </c>
      <c r="E27" s="814">
        <v>0</v>
      </c>
      <c r="F27" s="630">
        <f>IF(F$3=1,20,0)</f>
        <v>0</v>
      </c>
      <c r="G27" s="21">
        <f t="shared" si="0"/>
        <v>4</v>
      </c>
    </row>
    <row r="28" spans="1:7" x14ac:dyDescent="0.25">
      <c r="A28" s="1938" t="s">
        <v>8</v>
      </c>
      <c r="B28" s="1728" t="s">
        <v>32</v>
      </c>
      <c r="C28" s="1729"/>
      <c r="D28" s="1735">
        <v>3</v>
      </c>
      <c r="E28" s="1736">
        <v>0</v>
      </c>
      <c r="F28" s="1738">
        <v>0</v>
      </c>
      <c r="G28" s="1730">
        <f t="shared" si="0"/>
        <v>3</v>
      </c>
    </row>
    <row r="29" spans="1:7" x14ac:dyDescent="0.25">
      <c r="A29" s="1938"/>
      <c r="B29" s="19" t="s">
        <v>33</v>
      </c>
      <c r="C29" s="22"/>
      <c r="D29" s="821">
        <v>4</v>
      </c>
      <c r="E29" s="478">
        <f>IF(E$3&gt;1,E$3*0.5,0.5)</f>
        <v>0.5</v>
      </c>
      <c r="F29" s="630">
        <f>IF(F$3=1,12,0)</f>
        <v>0</v>
      </c>
      <c r="G29" s="21">
        <f t="shared" si="0"/>
        <v>4.5</v>
      </c>
    </row>
    <row r="30" spans="1:7" x14ac:dyDescent="0.25">
      <c r="A30" s="1938"/>
      <c r="B30" s="19" t="s">
        <v>34</v>
      </c>
      <c r="C30" s="22"/>
      <c r="D30" s="807">
        <v>6</v>
      </c>
      <c r="E30" s="478">
        <f>IF(E$3&gt;1,E$3*0.5,0.5)</f>
        <v>0.5</v>
      </c>
      <c r="F30" s="630">
        <f>IF(F$3=1,20,0)</f>
        <v>0</v>
      </c>
      <c r="G30" s="21">
        <f t="shared" si="0"/>
        <v>6.5</v>
      </c>
    </row>
    <row r="31" spans="1:7" x14ac:dyDescent="0.25">
      <c r="A31" s="1938" t="s">
        <v>9</v>
      </c>
      <c r="B31" s="1728" t="s">
        <v>32</v>
      </c>
      <c r="C31" s="1729"/>
      <c r="D31" s="1735">
        <f>1+(0.5*D$3)</f>
        <v>1</v>
      </c>
      <c r="E31" s="1736">
        <v>0</v>
      </c>
      <c r="F31" s="1736">
        <v>0</v>
      </c>
      <c r="G31" s="1730">
        <f t="shared" si="0"/>
        <v>1</v>
      </c>
    </row>
    <row r="32" spans="1:7" x14ac:dyDescent="0.25">
      <c r="A32" s="1938"/>
      <c r="B32" s="19" t="s">
        <v>33</v>
      </c>
      <c r="C32" s="22"/>
      <c r="D32" s="501">
        <v>1</v>
      </c>
      <c r="E32" s="814">
        <v>0</v>
      </c>
      <c r="F32" s="630">
        <f>IF(F$3=1,4,0)</f>
        <v>0</v>
      </c>
      <c r="G32" s="21">
        <f t="shared" si="0"/>
        <v>1</v>
      </c>
    </row>
    <row r="33" spans="1:7" x14ac:dyDescent="0.25">
      <c r="A33" s="1938"/>
      <c r="B33" s="19" t="s">
        <v>34</v>
      </c>
      <c r="C33" s="22"/>
      <c r="D33" s="501">
        <v>2</v>
      </c>
      <c r="E33" s="814">
        <v>0</v>
      </c>
      <c r="F33" s="630">
        <f>IF(F$3=1,6,0)</f>
        <v>0</v>
      </c>
      <c r="G33" s="21">
        <f t="shared" si="0"/>
        <v>2</v>
      </c>
    </row>
    <row r="34" spans="1:7" x14ac:dyDescent="0.25">
      <c r="A34" s="1938" t="s">
        <v>10</v>
      </c>
      <c r="B34" s="1728" t="s">
        <v>32</v>
      </c>
      <c r="C34" s="1729"/>
      <c r="D34" s="1735">
        <v>2</v>
      </c>
      <c r="E34" s="1736">
        <v>0</v>
      </c>
      <c r="F34" s="1736">
        <v>0</v>
      </c>
      <c r="G34" s="1730">
        <f t="shared" si="0"/>
        <v>2</v>
      </c>
    </row>
    <row r="35" spans="1:7" x14ac:dyDescent="0.25">
      <c r="A35" s="1938"/>
      <c r="B35" s="19" t="s">
        <v>33</v>
      </c>
      <c r="C35" s="22"/>
      <c r="D35" s="625">
        <v>2</v>
      </c>
      <c r="E35" s="478">
        <f>IF(E$3&gt;1,E$3*0.5,0.5)</f>
        <v>0.5</v>
      </c>
      <c r="F35" s="630">
        <f>IF(F$3=1,4,0)</f>
        <v>0</v>
      </c>
      <c r="G35" s="21">
        <f t="shared" si="0"/>
        <v>2.5</v>
      </c>
    </row>
    <row r="36" spans="1:7" ht="15.75" thickBot="1" x14ac:dyDescent="0.3">
      <c r="A36" s="1936"/>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42" t="s">
        <v>12</v>
      </c>
      <c r="B38" s="1723" t="s">
        <v>32</v>
      </c>
      <c r="C38" s="1724"/>
      <c r="D38" s="1725">
        <v>32</v>
      </c>
      <c r="E38" s="1725">
        <f>1*E$3</f>
        <v>0</v>
      </c>
      <c r="F38" s="1725">
        <v>0</v>
      </c>
      <c r="G38" s="1727">
        <f t="shared" si="0"/>
        <v>32</v>
      </c>
    </row>
    <row r="39" spans="1:7" x14ac:dyDescent="0.25">
      <c r="A39" s="1942"/>
      <c r="B39" s="19" t="s">
        <v>33</v>
      </c>
      <c r="C39" s="22"/>
      <c r="D39" s="615">
        <v>8</v>
      </c>
      <c r="E39" s="478">
        <f>IF(E$3&gt;1,E$3*0.5,0.5)</f>
        <v>0.5</v>
      </c>
      <c r="F39" s="630">
        <f>IF(F$3=1,16,0)</f>
        <v>0</v>
      </c>
      <c r="G39" s="21">
        <f t="shared" si="0"/>
        <v>8.5</v>
      </c>
    </row>
    <row r="40" spans="1:7" ht="15.75" thickBot="1" x14ac:dyDescent="0.3">
      <c r="A40" s="1942"/>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42" t="s">
        <v>14</v>
      </c>
      <c r="B42" s="1723" t="s">
        <v>32</v>
      </c>
      <c r="C42" s="1724"/>
      <c r="D42" s="1735">
        <v>1</v>
      </c>
      <c r="E42" s="1736">
        <v>0</v>
      </c>
      <c r="F42" s="1738">
        <v>0</v>
      </c>
      <c r="G42" s="1727">
        <f t="shared" si="0"/>
        <v>1</v>
      </c>
    </row>
    <row r="43" spans="1:7" x14ac:dyDescent="0.25">
      <c r="A43" s="1942"/>
      <c r="B43" s="19" t="s">
        <v>33</v>
      </c>
      <c r="C43" s="22"/>
      <c r="D43" s="493">
        <f>IF(D$3&gt;0,0.25*D$3+1,1)</f>
        <v>1</v>
      </c>
      <c r="E43" s="478">
        <f>IF(E$3&gt;1,E$3*0.25,0.25)</f>
        <v>0.25</v>
      </c>
      <c r="F43" s="814">
        <v>0</v>
      </c>
      <c r="G43" s="21">
        <f t="shared" si="0"/>
        <v>1.25</v>
      </c>
    </row>
    <row r="44" spans="1:7" x14ac:dyDescent="0.25">
      <c r="A44" s="1942"/>
      <c r="B44" s="19" t="s">
        <v>34</v>
      </c>
      <c r="C44" s="22"/>
      <c r="D44" s="493">
        <f>IF(D$3&gt;0,0.25*D$3+1,1)</f>
        <v>1</v>
      </c>
      <c r="E44" s="478">
        <f>IF(E$3&gt;1,E$3*0.25,0.25)</f>
        <v>0.25</v>
      </c>
      <c r="F44" s="814">
        <v>0</v>
      </c>
      <c r="G44" s="21">
        <f t="shared" si="0"/>
        <v>1.25</v>
      </c>
    </row>
    <row r="45" spans="1:7" x14ac:dyDescent="0.25">
      <c r="A45" s="1935" t="s">
        <v>15</v>
      </c>
      <c r="B45" s="1728" t="s">
        <v>32</v>
      </c>
      <c r="C45" s="1729"/>
      <c r="D45" s="1735">
        <v>16</v>
      </c>
      <c r="E45" s="1725">
        <f>2*E$3</f>
        <v>0</v>
      </c>
      <c r="F45" s="1736">
        <v>0</v>
      </c>
      <c r="G45" s="1730">
        <f t="shared" si="0"/>
        <v>16</v>
      </c>
    </row>
    <row r="46" spans="1:7" x14ac:dyDescent="0.25">
      <c r="A46" s="1935"/>
      <c r="B46" s="19" t="s">
        <v>33</v>
      </c>
      <c r="C46" s="22"/>
      <c r="D46" s="821">
        <v>6</v>
      </c>
      <c r="E46" s="478">
        <f t="shared" ref="E46:E47" si="1">IF(E$3&gt;1,E$3*0.5,0.5)</f>
        <v>0.5</v>
      </c>
      <c r="F46" s="630">
        <f>IF(F$3=1,6,0)</f>
        <v>0</v>
      </c>
      <c r="G46" s="21">
        <f t="shared" si="0"/>
        <v>6.5</v>
      </c>
    </row>
    <row r="47" spans="1:7" x14ac:dyDescent="0.25">
      <c r="A47" s="1935"/>
      <c r="B47" s="19" t="s">
        <v>34</v>
      </c>
      <c r="C47" s="22"/>
      <c r="D47" s="821">
        <v>10</v>
      </c>
      <c r="E47" s="478">
        <f t="shared" si="1"/>
        <v>0.5</v>
      </c>
      <c r="F47" s="630">
        <f>IF(F$3=1,6,0)</f>
        <v>0</v>
      </c>
      <c r="G47" s="21">
        <f t="shared" si="0"/>
        <v>10.5</v>
      </c>
    </row>
    <row r="48" spans="1:7" x14ac:dyDescent="0.25">
      <c r="A48" s="1935" t="s">
        <v>16</v>
      </c>
      <c r="B48" s="1728" t="s">
        <v>32</v>
      </c>
      <c r="C48" s="1729"/>
      <c r="D48" s="1735">
        <f>1*D$3+(0.5*E$3)</f>
        <v>0</v>
      </c>
      <c r="E48" s="1736">
        <v>0</v>
      </c>
      <c r="F48" s="1738">
        <v>0</v>
      </c>
      <c r="G48" s="1730">
        <f t="shared" si="0"/>
        <v>0</v>
      </c>
    </row>
    <row r="49" spans="1:7" x14ac:dyDescent="0.25">
      <c r="A49" s="1935"/>
      <c r="B49" s="19" t="s">
        <v>33</v>
      </c>
      <c r="C49" s="22"/>
      <c r="D49" s="478">
        <f>IF(D$3&gt;1,D$3*0.5,0.5)</f>
        <v>0.5</v>
      </c>
      <c r="E49" s="486"/>
      <c r="F49" s="630">
        <f>IF(F$3=1,1,0)</f>
        <v>0</v>
      </c>
      <c r="G49" s="21">
        <f t="shared" si="0"/>
        <v>0.5</v>
      </c>
    </row>
    <row r="50" spans="1:7" x14ac:dyDescent="0.25">
      <c r="A50" s="1935"/>
      <c r="B50" s="19" t="s">
        <v>34</v>
      </c>
      <c r="C50" s="22"/>
      <c r="D50" s="478">
        <f>IF(D$3&gt;1,D$3*0.5,0.5)</f>
        <v>0.5</v>
      </c>
      <c r="E50" s="486"/>
      <c r="F50" s="630">
        <f>IF(F$3=1,1,0)</f>
        <v>0</v>
      </c>
      <c r="G50" s="21">
        <f t="shared" si="0"/>
        <v>0.5</v>
      </c>
    </row>
    <row r="51" spans="1:7" x14ac:dyDescent="0.25">
      <c r="A51" s="1935" t="s">
        <v>17</v>
      </c>
      <c r="B51" s="1728" t="s">
        <v>32</v>
      </c>
      <c r="C51" s="1729"/>
      <c r="D51" s="1735">
        <f>1*D$3+(0.5*E$3)</f>
        <v>0</v>
      </c>
      <c r="E51" s="1736">
        <v>0</v>
      </c>
      <c r="F51" s="1736">
        <v>0</v>
      </c>
      <c r="G51" s="1730">
        <f t="shared" si="0"/>
        <v>0</v>
      </c>
    </row>
    <row r="52" spans="1:7" x14ac:dyDescent="0.25">
      <c r="A52" s="1935"/>
      <c r="B52" s="19" t="s">
        <v>33</v>
      </c>
      <c r="C52" s="22"/>
      <c r="D52" s="478">
        <f>IF(D$3&gt;1,D$3*0.5,0.5)</f>
        <v>0.5</v>
      </c>
      <c r="E52" s="486"/>
      <c r="F52" s="630">
        <f>IF(F$3=1,1,0)</f>
        <v>0</v>
      </c>
      <c r="G52" s="21">
        <f t="shared" si="0"/>
        <v>0.5</v>
      </c>
    </row>
    <row r="53" spans="1:7" x14ac:dyDescent="0.25">
      <c r="A53" s="1935"/>
      <c r="B53" s="19" t="s">
        <v>34</v>
      </c>
      <c r="C53" s="22"/>
      <c r="D53" s="478">
        <f>IF(D$3&gt;1,D$3*0.5,0.5)</f>
        <v>0.5</v>
      </c>
      <c r="E53" s="486"/>
      <c r="F53" s="630">
        <f>IF(F$3=1,1,0)</f>
        <v>0</v>
      </c>
      <c r="G53" s="21">
        <f t="shared" si="0"/>
        <v>0.5</v>
      </c>
    </row>
    <row r="54" spans="1:7" x14ac:dyDescent="0.25">
      <c r="A54" s="1935" t="s">
        <v>18</v>
      </c>
      <c r="B54" s="1728" t="s">
        <v>32</v>
      </c>
      <c r="C54" s="1729"/>
      <c r="D54" s="1735">
        <f>1*D$3</f>
        <v>0</v>
      </c>
      <c r="E54" s="1736">
        <v>0</v>
      </c>
      <c r="F54" s="1736">
        <v>0</v>
      </c>
      <c r="G54" s="1730">
        <f t="shared" si="0"/>
        <v>0</v>
      </c>
    </row>
    <row r="55" spans="1:7" x14ac:dyDescent="0.25">
      <c r="A55" s="1935"/>
      <c r="B55" s="19" t="s">
        <v>33</v>
      </c>
      <c r="C55" s="22"/>
      <c r="D55" s="476">
        <f>IF(D$3&gt;0,D$3*0.25,0.25)</f>
        <v>0.25</v>
      </c>
      <c r="E55" s="616">
        <v>0</v>
      </c>
      <c r="F55" s="630">
        <f>IF(F$3=1,1,0)</f>
        <v>0</v>
      </c>
      <c r="G55" s="21">
        <f t="shared" si="0"/>
        <v>0.25</v>
      </c>
    </row>
    <row r="56" spans="1:7" x14ac:dyDescent="0.25">
      <c r="A56" s="1935"/>
      <c r="B56" s="19" t="s">
        <v>34</v>
      </c>
      <c r="C56" s="22"/>
      <c r="D56" s="476">
        <f>IF(D$3&gt;0,D$3*0.25,0.25)</f>
        <v>0.25</v>
      </c>
      <c r="E56" s="616">
        <v>0</v>
      </c>
      <c r="F56" s="630">
        <f>IF(F$3=1,1,0)</f>
        <v>0</v>
      </c>
      <c r="G56" s="21">
        <f t="shared" si="0"/>
        <v>0.25</v>
      </c>
    </row>
    <row r="57" spans="1:7" x14ac:dyDescent="0.25">
      <c r="A57" s="1935" t="s">
        <v>19</v>
      </c>
      <c r="B57" s="1728" t="s">
        <v>32</v>
      </c>
      <c r="C57" s="1729"/>
      <c r="D57" s="1735">
        <v>2</v>
      </c>
      <c r="E57" s="1736">
        <v>0</v>
      </c>
      <c r="F57" s="1736">
        <v>0</v>
      </c>
      <c r="G57" s="1730">
        <f t="shared" si="0"/>
        <v>2</v>
      </c>
    </row>
    <row r="58" spans="1:7" x14ac:dyDescent="0.25">
      <c r="A58" s="1935"/>
      <c r="B58" s="19" t="s">
        <v>33</v>
      </c>
      <c r="C58" s="22"/>
      <c r="D58" s="821">
        <v>4</v>
      </c>
      <c r="E58" s="478">
        <f t="shared" ref="E58:E62" si="2">IF(E$3&gt;1,E$3*0.5,0.5)</f>
        <v>0.5</v>
      </c>
      <c r="F58" s="630">
        <f>IF(F$3=1,16,0)</f>
        <v>0</v>
      </c>
      <c r="G58" s="21">
        <f t="shared" si="0"/>
        <v>4.5</v>
      </c>
    </row>
    <row r="59" spans="1:7" x14ac:dyDescent="0.25">
      <c r="A59" s="1935"/>
      <c r="B59" s="19" t="s">
        <v>34</v>
      </c>
      <c r="C59" s="22"/>
      <c r="D59" s="821">
        <v>6</v>
      </c>
      <c r="E59" s="478">
        <f t="shared" si="2"/>
        <v>0.5</v>
      </c>
      <c r="F59" s="630">
        <f>IF(F$3=1,32,0)</f>
        <v>0</v>
      </c>
      <c r="G59" s="21">
        <f t="shared" si="0"/>
        <v>6.5</v>
      </c>
    </row>
    <row r="60" spans="1:7" x14ac:dyDescent="0.25">
      <c r="A60" s="1935" t="s">
        <v>20</v>
      </c>
      <c r="B60" s="1728" t="s">
        <v>32</v>
      </c>
      <c r="C60" s="1729"/>
      <c r="D60" s="1735">
        <v>8</v>
      </c>
      <c r="E60" s="1737">
        <f>1*$E$3</f>
        <v>0</v>
      </c>
      <c r="F60" s="1738">
        <v>0</v>
      </c>
      <c r="G60" s="1730">
        <f t="shared" si="0"/>
        <v>8</v>
      </c>
    </row>
    <row r="61" spans="1:7" x14ac:dyDescent="0.25">
      <c r="A61" s="1935"/>
      <c r="B61" s="19" t="s">
        <v>33</v>
      </c>
      <c r="C61" s="22"/>
      <c r="D61" s="625">
        <v>4</v>
      </c>
      <c r="E61" s="478">
        <f t="shared" si="2"/>
        <v>0.5</v>
      </c>
      <c r="F61" s="630">
        <f>IF(F$3=1,4,0)</f>
        <v>0</v>
      </c>
      <c r="G61" s="21">
        <f t="shared" si="0"/>
        <v>4.5</v>
      </c>
    </row>
    <row r="62" spans="1:7" x14ac:dyDescent="0.25">
      <c r="A62" s="1935"/>
      <c r="B62" s="19" t="s">
        <v>34</v>
      </c>
      <c r="C62" s="22"/>
      <c r="D62" s="625">
        <v>6</v>
      </c>
      <c r="E62" s="478">
        <f t="shared" si="2"/>
        <v>0.5</v>
      </c>
      <c r="F62" s="630">
        <f>IF(F$3=1,8,0)</f>
        <v>0</v>
      </c>
      <c r="G62" s="21">
        <f t="shared" si="0"/>
        <v>6.5</v>
      </c>
    </row>
    <row r="63" spans="1:7" x14ac:dyDescent="0.25">
      <c r="A63" s="1935" t="s">
        <v>451</v>
      </c>
      <c r="B63" s="1728" t="s">
        <v>32</v>
      </c>
      <c r="C63" s="1729"/>
      <c r="D63" s="1739">
        <v>0.25</v>
      </c>
      <c r="E63" s="1737">
        <v>0</v>
      </c>
      <c r="F63" s="1738">
        <v>0</v>
      </c>
      <c r="G63" s="1730">
        <f t="shared" si="0"/>
        <v>0.25</v>
      </c>
    </row>
    <row r="64" spans="1:7" x14ac:dyDescent="0.25">
      <c r="A64" s="1935"/>
      <c r="B64" s="19" t="s">
        <v>33</v>
      </c>
      <c r="C64" s="22"/>
      <c r="D64" s="482" t="s">
        <v>1772</v>
      </c>
      <c r="E64" s="482" t="s">
        <v>1772</v>
      </c>
      <c r="F64" s="482" t="s">
        <v>1772</v>
      </c>
      <c r="G64" s="21">
        <f t="shared" si="0"/>
        <v>0</v>
      </c>
    </row>
    <row r="65" spans="1:7" x14ac:dyDescent="0.25">
      <c r="A65" s="1935"/>
      <c r="B65" s="19" t="s">
        <v>34</v>
      </c>
      <c r="C65" s="22"/>
      <c r="D65" s="482" t="s">
        <v>1772</v>
      </c>
      <c r="E65" s="482" t="s">
        <v>1772</v>
      </c>
      <c r="F65" s="482" t="s">
        <v>1772</v>
      </c>
      <c r="G65" s="21">
        <f t="shared" si="0"/>
        <v>0</v>
      </c>
    </row>
    <row r="66" spans="1:7" x14ac:dyDescent="0.25">
      <c r="A66" s="1935" t="s">
        <v>452</v>
      </c>
      <c r="B66" s="1728" t="s">
        <v>32</v>
      </c>
      <c r="C66" s="1729"/>
      <c r="D66" s="1739">
        <v>0.25</v>
      </c>
      <c r="E66" s="1737">
        <v>0</v>
      </c>
      <c r="F66" s="1738">
        <v>0</v>
      </c>
      <c r="G66" s="1730">
        <f t="shared" si="0"/>
        <v>0.25</v>
      </c>
    </row>
    <row r="67" spans="1:7" x14ac:dyDescent="0.25">
      <c r="A67" s="1935"/>
      <c r="B67" s="19" t="s">
        <v>33</v>
      </c>
      <c r="C67" s="22"/>
      <c r="D67" s="476">
        <f>IF(D$3&gt;0,D$3*0.25,0.25)</f>
        <v>0.25</v>
      </c>
      <c r="E67" s="814">
        <v>0</v>
      </c>
      <c r="F67" s="630">
        <f>IF(F$3=1,1,0)</f>
        <v>0</v>
      </c>
      <c r="G67" s="21">
        <f t="shared" si="0"/>
        <v>0.25</v>
      </c>
    </row>
    <row r="68" spans="1:7" x14ac:dyDescent="0.25">
      <c r="A68" s="1935"/>
      <c r="B68" s="19" t="s">
        <v>34</v>
      </c>
      <c r="C68" s="22"/>
      <c r="D68" s="476">
        <f>IF(D$3&gt;0,D$3*0.25,0.25)</f>
        <v>0.25</v>
      </c>
      <c r="E68" s="814">
        <v>0</v>
      </c>
      <c r="F68" s="630">
        <f>IF(F$3=1,1,0)</f>
        <v>0</v>
      </c>
      <c r="G68" s="21">
        <f t="shared" si="0"/>
        <v>0.25</v>
      </c>
    </row>
    <row r="69" spans="1:7" x14ac:dyDescent="0.25">
      <c r="A69" s="1945" t="s">
        <v>533</v>
      </c>
      <c r="B69" s="1728" t="s">
        <v>32</v>
      </c>
      <c r="C69" s="1729"/>
      <c r="D69" s="1735">
        <v>3</v>
      </c>
      <c r="E69" s="1737">
        <f t="shared" ref="E69:E72" si="3">1*$E$3</f>
        <v>0</v>
      </c>
      <c r="F69" s="1738">
        <v>0</v>
      </c>
      <c r="G69" s="1730">
        <f t="shared" si="0"/>
        <v>3</v>
      </c>
    </row>
    <row r="70" spans="1:7" x14ac:dyDescent="0.25">
      <c r="A70" s="1945"/>
      <c r="B70" s="19" t="s">
        <v>33</v>
      </c>
      <c r="C70" s="22"/>
      <c r="D70" s="482" t="s">
        <v>1772</v>
      </c>
      <c r="E70" s="482" t="s">
        <v>1772</v>
      </c>
      <c r="F70" s="482" t="s">
        <v>1772</v>
      </c>
      <c r="G70" s="21">
        <f t="shared" si="0"/>
        <v>0</v>
      </c>
    </row>
    <row r="71" spans="1:7" x14ac:dyDescent="0.25">
      <c r="A71" s="1945"/>
      <c r="B71" s="19" t="s">
        <v>34</v>
      </c>
      <c r="C71" s="22"/>
      <c r="D71" s="482" t="s">
        <v>1772</v>
      </c>
      <c r="E71" s="482" t="s">
        <v>1772</v>
      </c>
      <c r="F71" s="482" t="s">
        <v>1772</v>
      </c>
      <c r="G71" s="21">
        <f t="shared" si="0"/>
        <v>0</v>
      </c>
    </row>
    <row r="72" spans="1:7" x14ac:dyDescent="0.25">
      <c r="A72" s="1935" t="s">
        <v>534</v>
      </c>
      <c r="B72" s="1728" t="s">
        <v>32</v>
      </c>
      <c r="C72" s="1729"/>
      <c r="D72" s="1735">
        <v>4</v>
      </c>
      <c r="E72" s="1737">
        <f t="shared" si="3"/>
        <v>0</v>
      </c>
      <c r="F72" s="1738">
        <v>0</v>
      </c>
      <c r="G72" s="1730">
        <f t="shared" si="0"/>
        <v>4</v>
      </c>
    </row>
    <row r="73" spans="1:7" x14ac:dyDescent="0.25">
      <c r="A73" s="1935"/>
      <c r="B73" s="19" t="s">
        <v>33</v>
      </c>
      <c r="C73" s="22"/>
      <c r="D73" s="482" t="s">
        <v>1772</v>
      </c>
      <c r="E73" s="482" t="s">
        <v>1772</v>
      </c>
      <c r="F73" s="482" t="s">
        <v>1772</v>
      </c>
      <c r="G73" s="21">
        <f t="shared" si="0"/>
        <v>0</v>
      </c>
    </row>
    <row r="74" spans="1:7" x14ac:dyDescent="0.25">
      <c r="A74" s="1935"/>
      <c r="B74" s="19" t="s">
        <v>34</v>
      </c>
      <c r="C74" s="22"/>
      <c r="D74" s="482" t="s">
        <v>1772</v>
      </c>
      <c r="E74" s="482" t="s">
        <v>1772</v>
      </c>
      <c r="F74" s="482" t="s">
        <v>1772</v>
      </c>
      <c r="G74" s="21">
        <f t="shared" si="0"/>
        <v>0</v>
      </c>
    </row>
    <row r="75" spans="1:7" x14ac:dyDescent="0.25">
      <c r="A75" s="1935" t="s">
        <v>21</v>
      </c>
      <c r="B75" s="1728" t="s">
        <v>32</v>
      </c>
      <c r="C75" s="1729"/>
      <c r="D75" s="1735" t="s">
        <v>90</v>
      </c>
      <c r="E75" s="1735" t="s">
        <v>90</v>
      </c>
      <c r="F75" s="1735" t="s">
        <v>90</v>
      </c>
      <c r="G75" s="1730">
        <f t="shared" si="0"/>
        <v>0</v>
      </c>
    </row>
    <row r="76" spans="1:7" x14ac:dyDescent="0.25">
      <c r="A76" s="1935"/>
      <c r="B76" s="19" t="s">
        <v>33</v>
      </c>
      <c r="C76" s="22"/>
      <c r="D76" s="38" t="s">
        <v>90</v>
      </c>
      <c r="E76" s="38" t="s">
        <v>90</v>
      </c>
      <c r="F76" s="38" t="s">
        <v>90</v>
      </c>
      <c r="G76" s="21">
        <f t="shared" si="0"/>
        <v>0</v>
      </c>
    </row>
    <row r="77" spans="1:7" x14ac:dyDescent="0.25">
      <c r="A77" s="1935"/>
      <c r="B77" s="13" t="s">
        <v>34</v>
      </c>
      <c r="C77" s="34"/>
      <c r="D77" s="38" t="s">
        <v>90</v>
      </c>
      <c r="E77" s="38" t="s">
        <v>90</v>
      </c>
      <c r="F77" s="38" t="s">
        <v>90</v>
      </c>
      <c r="G77" s="21">
        <f t="shared" si="0"/>
        <v>0</v>
      </c>
    </row>
    <row r="78" spans="1:7" ht="15.75" thickBot="1" x14ac:dyDescent="0.3">
      <c r="A78" s="1935" t="s">
        <v>181</v>
      </c>
      <c r="B78" s="1728" t="s">
        <v>32</v>
      </c>
      <c r="C78" s="1788"/>
      <c r="D78" s="1740">
        <f>0.5*D$3</f>
        <v>0</v>
      </c>
      <c r="E78" s="1736">
        <v>0</v>
      </c>
      <c r="F78" s="1741">
        <v>0</v>
      </c>
      <c r="G78" s="1730">
        <f t="shared" si="0"/>
        <v>0</v>
      </c>
    </row>
    <row r="79" spans="1:7" x14ac:dyDescent="0.25">
      <c r="A79" s="1935"/>
      <c r="B79" s="19" t="s">
        <v>33</v>
      </c>
      <c r="C79" s="822"/>
      <c r="D79" s="476">
        <f>IF(D$3&gt;1,D$3*0.5,0.5)</f>
        <v>0.5</v>
      </c>
      <c r="E79" s="486">
        <v>1</v>
      </c>
      <c r="F79" s="630">
        <f>IF(F$3=1,1,0)</f>
        <v>0</v>
      </c>
      <c r="G79" s="21">
        <f t="shared" si="0"/>
        <v>1.5</v>
      </c>
    </row>
    <row r="80" spans="1:7" x14ac:dyDescent="0.25">
      <c r="A80" s="1935"/>
      <c r="B80" s="19" t="s">
        <v>34</v>
      </c>
      <c r="C80" s="817"/>
      <c r="D80" s="476">
        <f>IF(D$3&gt;1,D$3*0.5,0.5)</f>
        <v>0.5</v>
      </c>
      <c r="E80" s="486">
        <v>1</v>
      </c>
      <c r="F80" s="630">
        <f>IF(F$3=1,1,0)</f>
        <v>0</v>
      </c>
      <c r="G80" s="21">
        <f t="shared" si="0"/>
        <v>1.5</v>
      </c>
    </row>
    <row r="81" spans="1:7" ht="15.75" thickBot="1" x14ac:dyDescent="0.3">
      <c r="A81" s="1935" t="s">
        <v>182</v>
      </c>
      <c r="B81" s="1728" t="s">
        <v>32</v>
      </c>
      <c r="C81" s="1789"/>
      <c r="D81" s="1740">
        <f t="shared" ref="D81:D84" si="4">0.5*D$3</f>
        <v>0</v>
      </c>
      <c r="E81" s="1736">
        <v>0</v>
      </c>
      <c r="F81" s="1741">
        <v>0</v>
      </c>
      <c r="G81" s="1730">
        <f t="shared" si="0"/>
        <v>0</v>
      </c>
    </row>
    <row r="82" spans="1:7" x14ac:dyDescent="0.25">
      <c r="A82" s="1935"/>
      <c r="B82" s="19" t="s">
        <v>33</v>
      </c>
      <c r="C82" s="822"/>
      <c r="D82" s="476">
        <f>IF(D$3&gt;1,D$3*0.5,0.5)</f>
        <v>0.5</v>
      </c>
      <c r="E82" s="486"/>
      <c r="F82" s="630">
        <f>IF(F$3=1,1,0)</f>
        <v>0</v>
      </c>
      <c r="G82" s="21">
        <f t="shared" si="0"/>
        <v>0.5</v>
      </c>
    </row>
    <row r="83" spans="1:7" x14ac:dyDescent="0.25">
      <c r="A83" s="1935"/>
      <c r="B83" s="19" t="s">
        <v>34</v>
      </c>
      <c r="C83" s="817"/>
      <c r="D83" s="476">
        <f>IF(D$3&gt;1,D$3*0.5,0.5)</f>
        <v>0.5</v>
      </c>
      <c r="E83" s="486"/>
      <c r="F83" s="630">
        <f>IF(F$3=1,1,0)</f>
        <v>0</v>
      </c>
      <c r="G83" s="21">
        <f t="shared" si="0"/>
        <v>0.5</v>
      </c>
    </row>
    <row r="84" spans="1:7" x14ac:dyDescent="0.25">
      <c r="A84" s="1944" t="s">
        <v>183</v>
      </c>
      <c r="B84" s="1728" t="s">
        <v>32</v>
      </c>
      <c r="C84" s="1729"/>
      <c r="D84" s="1740">
        <f t="shared" si="4"/>
        <v>0</v>
      </c>
      <c r="E84" s="1736">
        <v>0</v>
      </c>
      <c r="F84" s="1741">
        <v>0</v>
      </c>
      <c r="G84" s="1730">
        <f t="shared" si="0"/>
        <v>0</v>
      </c>
    </row>
    <row r="85" spans="1:7" x14ac:dyDescent="0.25">
      <c r="A85" s="1944"/>
      <c r="B85" s="19" t="s">
        <v>33</v>
      </c>
      <c r="C85" s="324"/>
      <c r="D85" s="476">
        <f>IF(D$3&gt;0,D$3*0.25,0.25)</f>
        <v>0.25</v>
      </c>
      <c r="E85" s="486"/>
      <c r="F85" s="630">
        <f>IF(F$3=1,1,0)</f>
        <v>0</v>
      </c>
      <c r="G85" s="21">
        <f t="shared" si="0"/>
        <v>0.25</v>
      </c>
    </row>
    <row r="86" spans="1:7" ht="15.75" thickBot="1" x14ac:dyDescent="0.3">
      <c r="A86" s="1944"/>
      <c r="B86" s="13" t="s">
        <v>34</v>
      </c>
      <c r="C86" s="818"/>
      <c r="D86" s="476">
        <f>IF(D$3&gt;0,D$3*0.25,0.25)</f>
        <v>0.25</v>
      </c>
      <c r="E86" s="486"/>
      <c r="F86" s="630">
        <f>IF(F$3=1,1,0)</f>
        <v>0</v>
      </c>
      <c r="G86" s="77">
        <f t="shared" si="0"/>
        <v>0.25</v>
      </c>
    </row>
    <row r="87" spans="1:7" ht="16.5" thickBot="1" x14ac:dyDescent="0.3">
      <c r="A87" s="330" t="s">
        <v>22</v>
      </c>
      <c r="B87" s="329"/>
      <c r="C87" s="1790"/>
      <c r="D87" s="329"/>
      <c r="E87" s="329"/>
      <c r="F87" s="327"/>
      <c r="G87" s="396"/>
    </row>
    <row r="88" spans="1:7" x14ac:dyDescent="0.25">
      <c r="A88" s="1942" t="s">
        <v>23</v>
      </c>
      <c r="B88" s="1723" t="s">
        <v>32</v>
      </c>
      <c r="C88" s="1724"/>
      <c r="D88" s="1787">
        <v>0.25</v>
      </c>
      <c r="E88" s="1733">
        <v>0</v>
      </c>
      <c r="F88" s="1743">
        <v>0</v>
      </c>
      <c r="G88" s="1727">
        <f t="shared" si="0"/>
        <v>0.25</v>
      </c>
    </row>
    <row r="89" spans="1:7" x14ac:dyDescent="0.25">
      <c r="A89" s="1942"/>
      <c r="B89" s="19" t="s">
        <v>33</v>
      </c>
      <c r="C89" s="22"/>
      <c r="D89" s="482" t="s">
        <v>1772</v>
      </c>
      <c r="E89" s="482" t="s">
        <v>1772</v>
      </c>
      <c r="F89" s="482" t="s">
        <v>1772</v>
      </c>
      <c r="G89" s="21">
        <f t="shared" si="0"/>
        <v>0</v>
      </c>
    </row>
    <row r="90" spans="1:7" x14ac:dyDescent="0.25">
      <c r="A90" s="1942"/>
      <c r="B90" s="19" t="s">
        <v>34</v>
      </c>
      <c r="C90" s="22"/>
      <c r="D90" s="482" t="s">
        <v>1772</v>
      </c>
      <c r="E90" s="482" t="s">
        <v>1772</v>
      </c>
      <c r="F90" s="482" t="s">
        <v>1772</v>
      </c>
      <c r="G90" s="21">
        <f t="shared" si="0"/>
        <v>0</v>
      </c>
    </row>
    <row r="91" spans="1:7" x14ac:dyDescent="0.25">
      <c r="A91" s="1935" t="s">
        <v>24</v>
      </c>
      <c r="B91" s="1728" t="s">
        <v>32</v>
      </c>
      <c r="C91" s="1729"/>
      <c r="D91" s="1740">
        <v>8</v>
      </c>
      <c r="E91" s="1737">
        <f t="shared" ref="E91:E94" si="5">0.5*E$3</f>
        <v>0</v>
      </c>
      <c r="F91" s="1741">
        <v>0</v>
      </c>
      <c r="G91" s="1730">
        <f t="shared" si="0"/>
        <v>8</v>
      </c>
    </row>
    <row r="92" spans="1:7" x14ac:dyDescent="0.25">
      <c r="A92" s="1935"/>
      <c r="B92" s="19" t="s">
        <v>33</v>
      </c>
      <c r="C92" s="22"/>
      <c r="D92" s="821">
        <v>4</v>
      </c>
      <c r="E92" s="478">
        <f t="shared" ref="E92:E96" si="6">IF(E$3&gt;1,E$3*0.5,0.5)</f>
        <v>0.5</v>
      </c>
      <c r="F92" s="630">
        <f>IF(F$3=1,10,0)</f>
        <v>0</v>
      </c>
      <c r="G92" s="21">
        <f t="shared" si="0"/>
        <v>4.5</v>
      </c>
    </row>
    <row r="93" spans="1:7" x14ac:dyDescent="0.25">
      <c r="A93" s="1935"/>
      <c r="B93" s="19" t="s">
        <v>34</v>
      </c>
      <c r="C93" s="22"/>
      <c r="D93" s="821">
        <v>6</v>
      </c>
      <c r="E93" s="478">
        <f t="shared" si="6"/>
        <v>0.5</v>
      </c>
      <c r="F93" s="630">
        <f>IF(F$3=1,16,0)</f>
        <v>0</v>
      </c>
      <c r="G93" s="21">
        <f t="shared" si="0"/>
        <v>6.5</v>
      </c>
    </row>
    <row r="94" spans="1:7" x14ac:dyDescent="0.25">
      <c r="A94" s="1935" t="s">
        <v>25</v>
      </c>
      <c r="B94" s="1728" t="s">
        <v>32</v>
      </c>
      <c r="C94" s="1729"/>
      <c r="D94" s="1740">
        <v>6</v>
      </c>
      <c r="E94" s="1737">
        <f t="shared" si="5"/>
        <v>0</v>
      </c>
      <c r="F94" s="1741">
        <v>0</v>
      </c>
      <c r="G94" s="1730">
        <f t="shared" ref="G94:G105" si="7" xml:space="preserve"> SUM(D94:F94) + $C94</f>
        <v>6</v>
      </c>
    </row>
    <row r="95" spans="1:7" x14ac:dyDescent="0.25">
      <c r="A95" s="1935"/>
      <c r="B95" s="19" t="s">
        <v>33</v>
      </c>
      <c r="C95" s="22"/>
      <c r="D95" s="821">
        <v>4</v>
      </c>
      <c r="E95" s="478">
        <f t="shared" si="6"/>
        <v>0.5</v>
      </c>
      <c r="F95" s="630">
        <f>IF(F$3=1,10,0)</f>
        <v>0</v>
      </c>
      <c r="G95" s="21">
        <f t="shared" si="7"/>
        <v>4.5</v>
      </c>
    </row>
    <row r="96" spans="1:7" x14ac:dyDescent="0.25">
      <c r="A96" s="1935"/>
      <c r="B96" s="19" t="s">
        <v>34</v>
      </c>
      <c r="C96" s="22"/>
      <c r="D96" s="821">
        <v>6</v>
      </c>
      <c r="E96" s="478">
        <f t="shared" si="6"/>
        <v>0.5</v>
      </c>
      <c r="F96" s="630">
        <f>IF(F$3=1,16,0)</f>
        <v>0</v>
      </c>
      <c r="G96" s="21">
        <f t="shared" si="7"/>
        <v>6.5</v>
      </c>
    </row>
    <row r="97" spans="1:7" x14ac:dyDescent="0.25">
      <c r="A97" s="1935" t="s">
        <v>26</v>
      </c>
      <c r="B97" s="1728" t="s">
        <v>32</v>
      </c>
      <c r="C97" s="1729"/>
      <c r="D97" s="1740">
        <f>4+(0.5*D$3)</f>
        <v>4</v>
      </c>
      <c r="E97" s="1735">
        <v>0</v>
      </c>
      <c r="F97" s="1745">
        <v>0</v>
      </c>
      <c r="G97" s="1730">
        <f t="shared" si="7"/>
        <v>4</v>
      </c>
    </row>
    <row r="98" spans="1:7" x14ac:dyDescent="0.25">
      <c r="A98" s="1935"/>
      <c r="B98" s="19" t="s">
        <v>33</v>
      </c>
      <c r="C98" s="22"/>
      <c r="D98" s="501">
        <v>2</v>
      </c>
      <c r="E98" s="819">
        <v>0</v>
      </c>
      <c r="F98" s="630">
        <f>IF(F$3=1,10,0)</f>
        <v>0</v>
      </c>
      <c r="G98" s="21">
        <f t="shared" si="7"/>
        <v>2</v>
      </c>
    </row>
    <row r="99" spans="1:7" x14ac:dyDescent="0.25">
      <c r="A99" s="1935"/>
      <c r="B99" s="19" t="s">
        <v>34</v>
      </c>
      <c r="C99" s="22"/>
      <c r="D99" s="501">
        <v>4</v>
      </c>
      <c r="E99" s="819">
        <v>0</v>
      </c>
      <c r="F99" s="630">
        <f>IF(F$3=1,16,0)</f>
        <v>0</v>
      </c>
      <c r="G99" s="21">
        <f t="shared" si="7"/>
        <v>4</v>
      </c>
    </row>
    <row r="100" spans="1:7" x14ac:dyDescent="0.25">
      <c r="A100" s="1935" t="s">
        <v>27</v>
      </c>
      <c r="B100" s="1728" t="s">
        <v>32</v>
      </c>
      <c r="C100" s="1729"/>
      <c r="D100" s="1740">
        <f>2+(0.5*D$3)</f>
        <v>2</v>
      </c>
      <c r="E100" s="1735">
        <v>0</v>
      </c>
      <c r="F100" s="1745">
        <v>0</v>
      </c>
      <c r="G100" s="1730">
        <f t="shared" si="7"/>
        <v>2</v>
      </c>
    </row>
    <row r="101" spans="1:7" x14ac:dyDescent="0.25">
      <c r="A101" s="1935"/>
      <c r="B101" s="19" t="s">
        <v>33</v>
      </c>
      <c r="C101" s="22"/>
      <c r="D101" s="478">
        <f>IF(D$3&gt;1,D$3*0.25,0.25)</f>
        <v>0.25</v>
      </c>
      <c r="E101" s="501">
        <v>2</v>
      </c>
      <c r="F101" s="630">
        <f>IF(F$3=1,10,0)</f>
        <v>0</v>
      </c>
      <c r="G101" s="21">
        <f t="shared" si="7"/>
        <v>2.25</v>
      </c>
    </row>
    <row r="102" spans="1:7" x14ac:dyDescent="0.25">
      <c r="A102" s="1935"/>
      <c r="B102" s="19" t="s">
        <v>34</v>
      </c>
      <c r="C102" s="22"/>
      <c r="D102" s="478">
        <f>IF(D$3&gt;1,D$3*0.25,0.25)</f>
        <v>0.25</v>
      </c>
      <c r="E102" s="501">
        <v>4</v>
      </c>
      <c r="F102" s="630">
        <f>IF(F$3=1,16,0)</f>
        <v>0</v>
      </c>
      <c r="G102" s="21">
        <f t="shared" si="7"/>
        <v>4.25</v>
      </c>
    </row>
    <row r="103" spans="1:7" x14ac:dyDescent="0.25">
      <c r="A103" s="1942" t="s">
        <v>28</v>
      </c>
      <c r="B103" s="1728" t="s">
        <v>32</v>
      </c>
      <c r="C103" s="1729"/>
      <c r="D103" s="1740">
        <v>2</v>
      </c>
      <c r="E103" s="1746">
        <f>0.5*E$3</f>
        <v>0</v>
      </c>
      <c r="F103" s="1745">
        <v>0</v>
      </c>
      <c r="G103" s="1730">
        <f t="shared" si="7"/>
        <v>2</v>
      </c>
    </row>
    <row r="104" spans="1:7" x14ac:dyDescent="0.25">
      <c r="A104" s="1942"/>
      <c r="B104" s="19" t="s">
        <v>33</v>
      </c>
      <c r="C104" s="22"/>
      <c r="D104" s="482">
        <v>2</v>
      </c>
      <c r="E104" s="482">
        <v>0</v>
      </c>
      <c r="F104" s="630">
        <f>IF(F$3=1,10,0)</f>
        <v>0</v>
      </c>
      <c r="G104" s="21">
        <f t="shared" si="7"/>
        <v>2</v>
      </c>
    </row>
    <row r="105" spans="1:7" ht="15.75" thickBot="1" x14ac:dyDescent="0.3">
      <c r="A105" s="1943"/>
      <c r="B105" s="20" t="s">
        <v>34</v>
      </c>
      <c r="C105" s="23"/>
      <c r="D105" s="507">
        <v>4</v>
      </c>
      <c r="E105" s="491">
        <v>0</v>
      </c>
      <c r="F105" s="1695">
        <f>IF(F$3=1,16,0)</f>
        <v>0</v>
      </c>
      <c r="G105" s="24">
        <f t="shared" si="7"/>
        <v>4</v>
      </c>
    </row>
    <row r="106" spans="1:7" x14ac:dyDescent="0.25">
      <c r="A106" s="1785"/>
      <c r="B106" s="1785"/>
      <c r="C106" s="1785"/>
      <c r="D106" s="1785"/>
      <c r="E106" s="1785"/>
      <c r="F106" s="1785"/>
    </row>
    <row r="107" spans="1:7" ht="15.75" x14ac:dyDescent="0.25">
      <c r="A107" s="1691" t="s">
        <v>1706</v>
      </c>
      <c r="B107" s="1691" t="s">
        <v>1707</v>
      </c>
      <c r="C107" s="1785"/>
      <c r="D107" s="1696"/>
      <c r="E107" s="1785" t="s">
        <v>1708</v>
      </c>
      <c r="F107" s="1785"/>
    </row>
    <row r="108" spans="1:7" ht="135" x14ac:dyDescent="0.25">
      <c r="A108" s="1784" t="s">
        <v>1855</v>
      </c>
      <c r="B108" s="1784" t="s">
        <v>1857</v>
      </c>
      <c r="C108" s="1785"/>
      <c r="D108" s="1785"/>
      <c r="E108" s="1785"/>
      <c r="F108" s="1785"/>
    </row>
    <row r="109" spans="1:7" ht="60" x14ac:dyDescent="0.25">
      <c r="A109" s="1784" t="s">
        <v>1858</v>
      </c>
      <c r="B109" s="1784" t="s">
        <v>1859</v>
      </c>
      <c r="C109" s="1785"/>
      <c r="D109" s="1785"/>
      <c r="E109" s="1785"/>
      <c r="F109" s="1785"/>
    </row>
    <row r="110" spans="1:7" ht="60" x14ac:dyDescent="0.25">
      <c r="A110" s="1692" t="s">
        <v>1860</v>
      </c>
      <c r="B110" s="1692" t="s">
        <v>1820</v>
      </c>
      <c r="C110" s="1785"/>
      <c r="D110" s="1785"/>
      <c r="E110" s="1785"/>
      <c r="F110" s="1785"/>
    </row>
    <row r="111" spans="1:7" x14ac:dyDescent="0.25">
      <c r="A111" s="1785"/>
      <c r="B111" s="1785"/>
      <c r="C111" s="1785"/>
      <c r="D111" s="1785"/>
      <c r="E111" s="1785"/>
      <c r="F111" s="1785"/>
    </row>
    <row r="112" spans="1:7" x14ac:dyDescent="0.25">
      <c r="A112" s="1693" t="s">
        <v>89</v>
      </c>
      <c r="B112" s="1785"/>
      <c r="C112" s="1785"/>
      <c r="D112" s="1785"/>
      <c r="E112" s="1785"/>
      <c r="F112" s="1785"/>
    </row>
    <row r="113" spans="1:6" ht="15.75" x14ac:dyDescent="0.25">
      <c r="A113" s="1946" t="str">
        <f>A5</f>
        <v>ТЗ</v>
      </c>
      <c r="B113" s="1947"/>
      <c r="C113" s="1785"/>
      <c r="D113" s="1694" t="s">
        <v>66</v>
      </c>
      <c r="E113" s="1694" t="s">
        <v>65</v>
      </c>
      <c r="F113" s="1694" t="s">
        <v>64</v>
      </c>
    </row>
    <row r="114" spans="1:6" x14ac:dyDescent="0.25">
      <c r="A114" s="132" t="s">
        <v>1711</v>
      </c>
      <c r="B114" s="905" t="s">
        <v>33</v>
      </c>
      <c r="C114" s="1785"/>
      <c r="D114" s="658"/>
      <c r="E114" s="658" t="s">
        <v>1861</v>
      </c>
      <c r="F114" s="658" t="s">
        <v>1778</v>
      </c>
    </row>
    <row r="115" spans="1:6" x14ac:dyDescent="0.25">
      <c r="A115" s="132" t="s">
        <v>1712</v>
      </c>
      <c r="B115" s="905" t="s">
        <v>34</v>
      </c>
      <c r="C115" s="1785"/>
      <c r="D115" s="658"/>
      <c r="E115" s="658" t="s">
        <v>1861</v>
      </c>
      <c r="F115" s="658" t="s">
        <v>1844</v>
      </c>
    </row>
    <row r="116" spans="1:6" ht="15.75" x14ac:dyDescent="0.25">
      <c r="A116" s="1946" t="str">
        <f>A8</f>
        <v>ФТТ</v>
      </c>
      <c r="B116" s="1947"/>
      <c r="C116" s="1785"/>
      <c r="D116" s="1694" t="s">
        <v>66</v>
      </c>
      <c r="E116" s="1694" t="s">
        <v>65</v>
      </c>
      <c r="F116" s="1694" t="s">
        <v>64</v>
      </c>
    </row>
    <row r="117" spans="1:6" x14ac:dyDescent="0.25">
      <c r="A117" s="132" t="s">
        <v>1713</v>
      </c>
      <c r="B117" s="905" t="s">
        <v>33</v>
      </c>
      <c r="C117" s="1785"/>
      <c r="D117" s="658"/>
      <c r="E117" s="658" t="s">
        <v>1861</v>
      </c>
      <c r="F117" s="658" t="s">
        <v>1778</v>
      </c>
    </row>
    <row r="118" spans="1:6" x14ac:dyDescent="0.25">
      <c r="A118" s="132" t="s">
        <v>1714</v>
      </c>
      <c r="B118" s="905" t="s">
        <v>34</v>
      </c>
      <c r="C118" s="1785"/>
      <c r="D118" s="658"/>
      <c r="E118" s="658" t="s">
        <v>1861</v>
      </c>
      <c r="F118" s="658" t="s">
        <v>1844</v>
      </c>
    </row>
    <row r="119" spans="1:6" ht="15.75" x14ac:dyDescent="0.25">
      <c r="A119" s="1946" t="str">
        <f>A12</f>
        <v>Пояснительная записка к эскизному проекту</v>
      </c>
      <c r="B119" s="1947"/>
      <c r="C119" s="1785"/>
      <c r="D119" s="1694" t="s">
        <v>66</v>
      </c>
      <c r="E119" s="1694" t="s">
        <v>65</v>
      </c>
      <c r="F119" s="1694" t="s">
        <v>64</v>
      </c>
    </row>
    <row r="120" spans="1:6" x14ac:dyDescent="0.25">
      <c r="A120" s="132" t="s">
        <v>1715</v>
      </c>
      <c r="B120" s="905" t="s">
        <v>33</v>
      </c>
      <c r="C120" s="1785"/>
      <c r="D120" s="658"/>
      <c r="E120" s="658" t="s">
        <v>1862</v>
      </c>
      <c r="F120" s="658" t="s">
        <v>1814</v>
      </c>
    </row>
    <row r="121" spans="1:6" x14ac:dyDescent="0.25">
      <c r="A121" s="132" t="s">
        <v>1716</v>
      </c>
      <c r="B121" s="905" t="s">
        <v>34</v>
      </c>
      <c r="C121" s="1785"/>
      <c r="D121" s="658"/>
      <c r="E121" s="658" t="s">
        <v>1862</v>
      </c>
      <c r="F121" s="658" t="s">
        <v>1845</v>
      </c>
    </row>
    <row r="122" spans="1:6" ht="15.75" x14ac:dyDescent="0.25">
      <c r="A122" s="1946" t="str">
        <f>A19</f>
        <v xml:space="preserve">Ведомость покупных изделий </v>
      </c>
      <c r="B122" s="1947"/>
      <c r="C122" s="1785"/>
      <c r="D122" s="1694" t="s">
        <v>66</v>
      </c>
      <c r="E122" s="1694" t="s">
        <v>65</v>
      </c>
      <c r="F122" s="1694" t="s">
        <v>64</v>
      </c>
    </row>
    <row r="123" spans="1:6" x14ac:dyDescent="0.25">
      <c r="A123" s="132" t="s">
        <v>1717</v>
      </c>
      <c r="B123" s="905" t="s">
        <v>33</v>
      </c>
      <c r="C123" s="1785"/>
      <c r="D123" s="658" t="s">
        <v>1848</v>
      </c>
      <c r="E123" s="658" t="s">
        <v>1861</v>
      </c>
      <c r="F123" s="658"/>
    </row>
    <row r="124" spans="1:6" x14ac:dyDescent="0.25">
      <c r="A124" s="132" t="s">
        <v>1718</v>
      </c>
      <c r="B124" s="905" t="s">
        <v>34</v>
      </c>
      <c r="C124" s="1785"/>
      <c r="D124" s="658" t="s">
        <v>1848</v>
      </c>
      <c r="E124" s="658" t="s">
        <v>1861</v>
      </c>
      <c r="F124" s="658"/>
    </row>
    <row r="125" spans="1:6" ht="15.75" x14ac:dyDescent="0.25">
      <c r="A125" s="1946" t="str">
        <f>A22</f>
        <v xml:space="preserve">Пояснительная записка к техническому проекту </v>
      </c>
      <c r="B125" s="1947"/>
      <c r="C125" s="1785"/>
      <c r="D125" s="1694" t="s">
        <v>66</v>
      </c>
      <c r="E125" s="1694" t="s">
        <v>65</v>
      </c>
      <c r="F125" s="1694" t="s">
        <v>64</v>
      </c>
    </row>
    <row r="126" spans="1:6" x14ac:dyDescent="0.25">
      <c r="A126" s="132" t="s">
        <v>1719</v>
      </c>
      <c r="B126" s="905" t="s">
        <v>33</v>
      </c>
      <c r="C126" s="1785"/>
      <c r="D126" s="658"/>
      <c r="E126" s="658" t="s">
        <v>1862</v>
      </c>
      <c r="F126" s="658" t="s">
        <v>1814</v>
      </c>
    </row>
    <row r="127" spans="1:6" x14ac:dyDescent="0.25">
      <c r="A127" s="132" t="s">
        <v>1720</v>
      </c>
      <c r="B127" s="905" t="s">
        <v>34</v>
      </c>
      <c r="C127" s="1785"/>
      <c r="D127" s="658"/>
      <c r="E127" s="658" t="s">
        <v>1862</v>
      </c>
      <c r="F127" s="658" t="s">
        <v>1845</v>
      </c>
    </row>
    <row r="128" spans="1:6" ht="15.75" x14ac:dyDescent="0.25">
      <c r="A128" s="1946" t="str">
        <f>A25</f>
        <v xml:space="preserve">Описание комплекса технических средств </v>
      </c>
      <c r="B128" s="1947"/>
      <c r="C128" s="1785"/>
      <c r="D128" s="1694" t="s">
        <v>66</v>
      </c>
      <c r="E128" s="1694" t="s">
        <v>65</v>
      </c>
      <c r="F128" s="1694" t="s">
        <v>64</v>
      </c>
    </row>
    <row r="129" spans="1:6" x14ac:dyDescent="0.25">
      <c r="A129" s="132" t="s">
        <v>1721</v>
      </c>
      <c r="B129" s="905" t="s">
        <v>33</v>
      </c>
      <c r="C129" s="1785"/>
      <c r="D129" s="658"/>
      <c r="E129" s="658"/>
      <c r="F129" s="658" t="s">
        <v>1789</v>
      </c>
    </row>
    <row r="130" spans="1:6" x14ac:dyDescent="0.25">
      <c r="A130" s="132" t="s">
        <v>1722</v>
      </c>
      <c r="B130" s="905" t="s">
        <v>34</v>
      </c>
      <c r="C130" s="1785"/>
      <c r="D130" s="658"/>
      <c r="E130" s="658"/>
      <c r="F130" s="658" t="s">
        <v>1790</v>
      </c>
    </row>
    <row r="131" spans="1:6" ht="15.75" x14ac:dyDescent="0.25">
      <c r="A131" s="1946" t="str">
        <f>A28</f>
        <v xml:space="preserve">Описание программного обеспечения </v>
      </c>
      <c r="B131" s="1947"/>
      <c r="C131" s="1785"/>
      <c r="D131" s="1694" t="s">
        <v>66</v>
      </c>
      <c r="E131" s="1694" t="s">
        <v>65</v>
      </c>
      <c r="F131" s="1694" t="s">
        <v>64</v>
      </c>
    </row>
    <row r="132" spans="1:6" x14ac:dyDescent="0.25">
      <c r="A132" s="132" t="s">
        <v>1723</v>
      </c>
      <c r="B132" s="905" t="s">
        <v>33</v>
      </c>
      <c r="C132" s="1785"/>
      <c r="D132" s="658"/>
      <c r="E132" s="658" t="s">
        <v>1862</v>
      </c>
      <c r="F132" s="658" t="s">
        <v>1791</v>
      </c>
    </row>
    <row r="133" spans="1:6" x14ac:dyDescent="0.25">
      <c r="A133" s="132" t="s">
        <v>1724</v>
      </c>
      <c r="B133" s="905" t="s">
        <v>34</v>
      </c>
      <c r="C133" s="1785"/>
      <c r="D133" s="658"/>
      <c r="E133" s="658" t="s">
        <v>1862</v>
      </c>
      <c r="F133" s="658" t="s">
        <v>1792</v>
      </c>
    </row>
    <row r="134" spans="1:6" ht="15.75" x14ac:dyDescent="0.25">
      <c r="A134" s="1946" t="str">
        <f>A31</f>
        <v>Схема структурная</v>
      </c>
      <c r="B134" s="1947"/>
      <c r="C134" s="1785"/>
      <c r="D134" s="1694" t="s">
        <v>66</v>
      </c>
      <c r="E134" s="1694" t="s">
        <v>65</v>
      </c>
      <c r="F134" s="1694" t="s">
        <v>64</v>
      </c>
    </row>
    <row r="135" spans="1:6" x14ac:dyDescent="0.25">
      <c r="A135" s="132" t="s">
        <v>1725</v>
      </c>
      <c r="B135" s="905" t="s">
        <v>33</v>
      </c>
      <c r="C135" s="1785"/>
      <c r="D135" s="658"/>
      <c r="E135" s="658"/>
      <c r="F135" s="658" t="s">
        <v>1808</v>
      </c>
    </row>
    <row r="136" spans="1:6" x14ac:dyDescent="0.25">
      <c r="A136" s="132" t="s">
        <v>1726</v>
      </c>
      <c r="B136" s="905" t="s">
        <v>34</v>
      </c>
      <c r="C136" s="1785"/>
      <c r="D136" s="658"/>
      <c r="E136" s="658"/>
      <c r="F136" s="658" t="s">
        <v>1811</v>
      </c>
    </row>
    <row r="137" spans="1:6" ht="15.75" x14ac:dyDescent="0.25">
      <c r="A137" s="1946" t="str">
        <f>A34</f>
        <v>Схема функциональная</v>
      </c>
      <c r="B137" s="1947"/>
      <c r="C137" s="1785"/>
      <c r="D137" s="1694" t="s">
        <v>66</v>
      </c>
      <c r="E137" s="1694" t="s">
        <v>65</v>
      </c>
      <c r="F137" s="1694" t="s">
        <v>64</v>
      </c>
    </row>
    <row r="138" spans="1:6" x14ac:dyDescent="0.25">
      <c r="A138" s="132" t="s">
        <v>1727</v>
      </c>
      <c r="B138" s="905" t="s">
        <v>33</v>
      </c>
      <c r="C138" s="1785"/>
      <c r="D138" s="658"/>
      <c r="E138" s="658" t="s">
        <v>1862</v>
      </c>
      <c r="F138" s="658" t="s">
        <v>1808</v>
      </c>
    </row>
    <row r="139" spans="1:6" x14ac:dyDescent="0.25">
      <c r="A139" s="132" t="s">
        <v>1728</v>
      </c>
      <c r="B139" s="905" t="s">
        <v>34</v>
      </c>
      <c r="C139" s="1785"/>
      <c r="D139" s="658"/>
      <c r="E139" s="658" t="s">
        <v>1862</v>
      </c>
      <c r="F139" s="658" t="s">
        <v>1811</v>
      </c>
    </row>
    <row r="140" spans="1:6" ht="15.75" x14ac:dyDescent="0.25">
      <c r="A140" s="1946" t="str">
        <f>A38</f>
        <v xml:space="preserve">Пояснительная записка к технорабочему проекту </v>
      </c>
      <c r="B140" s="1947"/>
      <c r="C140" s="1785"/>
      <c r="D140" s="1694" t="s">
        <v>66</v>
      </c>
      <c r="E140" s="1694" t="s">
        <v>65</v>
      </c>
      <c r="F140" s="1694" t="s">
        <v>64</v>
      </c>
    </row>
    <row r="141" spans="1:6" x14ac:dyDescent="0.25">
      <c r="A141" s="132" t="s">
        <v>1729</v>
      </c>
      <c r="B141" s="905" t="s">
        <v>33</v>
      </c>
      <c r="C141" s="1785"/>
      <c r="D141" s="658"/>
      <c r="E141" s="658" t="s">
        <v>1862</v>
      </c>
      <c r="F141" s="658" t="s">
        <v>1814</v>
      </c>
    </row>
    <row r="142" spans="1:6" x14ac:dyDescent="0.25">
      <c r="A142" s="132" t="s">
        <v>1730</v>
      </c>
      <c r="B142" s="905" t="s">
        <v>34</v>
      </c>
      <c r="C142" s="1785"/>
      <c r="D142" s="658"/>
      <c r="E142" s="658" t="s">
        <v>1862</v>
      </c>
      <c r="F142" s="658" t="s">
        <v>1824</v>
      </c>
    </row>
    <row r="143" spans="1:6" ht="15.75" x14ac:dyDescent="0.25">
      <c r="A143" s="1946" t="str">
        <f>A42</f>
        <v xml:space="preserve">Спецификация оборудования </v>
      </c>
      <c r="B143" s="1947"/>
      <c r="C143" s="1785"/>
      <c r="D143" s="1694" t="s">
        <v>66</v>
      </c>
      <c r="E143" s="1694" t="s">
        <v>65</v>
      </c>
      <c r="F143" s="1694" t="s">
        <v>64</v>
      </c>
    </row>
    <row r="144" spans="1:6" x14ac:dyDescent="0.25">
      <c r="A144" s="132" t="s">
        <v>1731</v>
      </c>
      <c r="B144" s="905" t="s">
        <v>33</v>
      </c>
      <c r="C144" s="1785"/>
      <c r="D144" s="658" t="s">
        <v>1848</v>
      </c>
      <c r="E144" s="658" t="s">
        <v>1861</v>
      </c>
      <c r="F144" s="658"/>
    </row>
    <row r="145" spans="1:6" x14ac:dyDescent="0.25">
      <c r="A145" s="132" t="s">
        <v>1732</v>
      </c>
      <c r="B145" s="905" t="s">
        <v>34</v>
      </c>
      <c r="C145" s="1785"/>
      <c r="D145" s="658" t="s">
        <v>1848</v>
      </c>
      <c r="E145" s="658" t="s">
        <v>1861</v>
      </c>
      <c r="F145" s="658"/>
    </row>
    <row r="146" spans="1:6" ht="15.75" x14ac:dyDescent="0.25">
      <c r="A146" s="1946" t="str">
        <f>A45</f>
        <v>Инструкция по установке и настройке</v>
      </c>
      <c r="B146" s="1947"/>
      <c r="C146" s="1785"/>
      <c r="D146" s="1694" t="s">
        <v>66</v>
      </c>
      <c r="E146" s="1694" t="s">
        <v>65</v>
      </c>
      <c r="F146" s="1694" t="s">
        <v>64</v>
      </c>
    </row>
    <row r="147" spans="1:6" x14ac:dyDescent="0.25">
      <c r="A147" s="132" t="s">
        <v>1733</v>
      </c>
      <c r="B147" s="905" t="s">
        <v>33</v>
      </c>
      <c r="C147" s="1785"/>
      <c r="D147" s="658"/>
      <c r="E147" s="658" t="s">
        <v>1862</v>
      </c>
      <c r="F147" s="658" t="s">
        <v>1811</v>
      </c>
    </row>
    <row r="148" spans="1:6" x14ac:dyDescent="0.25">
      <c r="A148" s="132" t="s">
        <v>1734</v>
      </c>
      <c r="B148" s="905" t="s">
        <v>34</v>
      </c>
      <c r="C148" s="1785"/>
      <c r="D148" s="658"/>
      <c r="E148" s="658" t="s">
        <v>1862</v>
      </c>
      <c r="F148" s="658" t="s">
        <v>1811</v>
      </c>
    </row>
    <row r="149" spans="1:6" ht="15.75" x14ac:dyDescent="0.25">
      <c r="A149" s="1946" t="str">
        <f>A48</f>
        <v xml:space="preserve">Схема соединений внешних проводок </v>
      </c>
      <c r="B149" s="1947"/>
      <c r="C149" s="1785"/>
      <c r="D149" s="1694" t="s">
        <v>66</v>
      </c>
      <c r="E149" s="1694" t="s">
        <v>65</v>
      </c>
      <c r="F149" s="1694" t="s">
        <v>64</v>
      </c>
    </row>
    <row r="150" spans="1:6" x14ac:dyDescent="0.25">
      <c r="A150" s="132" t="s">
        <v>1735</v>
      </c>
      <c r="B150" s="905" t="s">
        <v>33</v>
      </c>
      <c r="C150" s="1785"/>
      <c r="D150" s="658" t="s">
        <v>1863</v>
      </c>
      <c r="E150" s="658"/>
      <c r="F150" s="658" t="s">
        <v>1803</v>
      </c>
    </row>
    <row r="151" spans="1:6" x14ac:dyDescent="0.25">
      <c r="A151" s="132" t="s">
        <v>1736</v>
      </c>
      <c r="B151" s="905" t="s">
        <v>34</v>
      </c>
      <c r="C151" s="1785"/>
      <c r="D151" s="658" t="s">
        <v>1863</v>
      </c>
      <c r="E151" s="658"/>
      <c r="F151" s="658" t="s">
        <v>1803</v>
      </c>
    </row>
    <row r="152" spans="1:6" ht="15.75" x14ac:dyDescent="0.25">
      <c r="A152" s="1946" t="str">
        <f>A51</f>
        <v xml:space="preserve">Таблица соединений и подключений </v>
      </c>
      <c r="B152" s="1947"/>
      <c r="C152" s="1785"/>
      <c r="D152" s="1694" t="s">
        <v>66</v>
      </c>
      <c r="E152" s="1694" t="s">
        <v>65</v>
      </c>
      <c r="F152" s="1694" t="s">
        <v>64</v>
      </c>
    </row>
    <row r="153" spans="1:6" x14ac:dyDescent="0.25">
      <c r="A153" s="132" t="s">
        <v>1737</v>
      </c>
      <c r="B153" s="905" t="s">
        <v>33</v>
      </c>
      <c r="C153" s="1785"/>
      <c r="D153" s="658" t="s">
        <v>1863</v>
      </c>
      <c r="E153" s="658"/>
      <c r="F153" s="658" t="s">
        <v>1803</v>
      </c>
    </row>
    <row r="154" spans="1:6" x14ac:dyDescent="0.25">
      <c r="A154" s="132" t="s">
        <v>1738</v>
      </c>
      <c r="B154" s="905" t="s">
        <v>34</v>
      </c>
      <c r="C154" s="1785"/>
      <c r="D154" s="658" t="s">
        <v>1863</v>
      </c>
      <c r="E154" s="658"/>
      <c r="F154" s="658" t="s">
        <v>1803</v>
      </c>
    </row>
    <row r="155" spans="1:6" ht="15.75" x14ac:dyDescent="0.25">
      <c r="A155" s="1946" t="str">
        <f>A54</f>
        <v xml:space="preserve">План расположения </v>
      </c>
      <c r="B155" s="1947"/>
      <c r="C155" s="1785"/>
      <c r="D155" s="1694" t="s">
        <v>66</v>
      </c>
      <c r="E155" s="1694" t="s">
        <v>65</v>
      </c>
      <c r="F155" s="1694" t="s">
        <v>64</v>
      </c>
    </row>
    <row r="156" spans="1:6" x14ac:dyDescent="0.25">
      <c r="A156" s="132" t="s">
        <v>1739</v>
      </c>
      <c r="B156" s="905" t="s">
        <v>33</v>
      </c>
      <c r="C156" s="1785"/>
      <c r="D156" s="658" t="s">
        <v>1777</v>
      </c>
      <c r="E156" s="658"/>
      <c r="F156" s="658" t="s">
        <v>1803</v>
      </c>
    </row>
    <row r="157" spans="1:6" x14ac:dyDescent="0.25">
      <c r="A157" s="132" t="s">
        <v>1740</v>
      </c>
      <c r="B157" s="905" t="s">
        <v>34</v>
      </c>
      <c r="C157" s="1785"/>
      <c r="D157" s="658" t="s">
        <v>1777</v>
      </c>
      <c r="E157" s="658"/>
      <c r="F157" s="658" t="s">
        <v>1803</v>
      </c>
    </row>
    <row r="158" spans="1:6" ht="15.75" x14ac:dyDescent="0.25">
      <c r="A158" s="1946" t="str">
        <f>A57</f>
        <v>Паспорт</v>
      </c>
      <c r="B158" s="1947"/>
      <c r="C158" s="1785"/>
      <c r="D158" s="1694" t="s">
        <v>66</v>
      </c>
      <c r="E158" s="1694" t="s">
        <v>65</v>
      </c>
      <c r="F158" s="1694" t="s">
        <v>64</v>
      </c>
    </row>
    <row r="159" spans="1:6" x14ac:dyDescent="0.25">
      <c r="A159" s="132" t="s">
        <v>1748</v>
      </c>
      <c r="B159" s="905" t="s">
        <v>33</v>
      </c>
      <c r="C159" s="1785"/>
      <c r="D159" s="658"/>
      <c r="E159" s="658" t="s">
        <v>1862</v>
      </c>
      <c r="F159" s="658" t="s">
        <v>1814</v>
      </c>
    </row>
    <row r="160" spans="1:6" x14ac:dyDescent="0.25">
      <c r="A160" s="132" t="s">
        <v>1747</v>
      </c>
      <c r="B160" s="905" t="s">
        <v>34</v>
      </c>
      <c r="C160" s="1785"/>
      <c r="D160" s="658"/>
      <c r="E160" s="658" t="s">
        <v>1862</v>
      </c>
      <c r="F160" s="658" t="s">
        <v>1845</v>
      </c>
    </row>
    <row r="161" spans="1:6" ht="15.75" x14ac:dyDescent="0.25">
      <c r="A161" s="1946" t="str">
        <f>A60</f>
        <v>ПиМИ</v>
      </c>
      <c r="B161" s="1947"/>
      <c r="C161" s="1785"/>
      <c r="D161" s="1694" t="s">
        <v>66</v>
      </c>
      <c r="E161" s="1694" t="s">
        <v>65</v>
      </c>
      <c r="F161" s="1694" t="s">
        <v>64</v>
      </c>
    </row>
    <row r="162" spans="1:6" x14ac:dyDescent="0.25">
      <c r="A162" s="132" t="s">
        <v>1746</v>
      </c>
      <c r="B162" s="905" t="s">
        <v>33</v>
      </c>
      <c r="C162" s="1785"/>
      <c r="D162" s="658"/>
      <c r="E162" s="658" t="s">
        <v>1862</v>
      </c>
      <c r="F162" s="658" t="s">
        <v>1808</v>
      </c>
    </row>
    <row r="163" spans="1:6" x14ac:dyDescent="0.25">
      <c r="A163" s="132" t="s">
        <v>1745</v>
      </c>
      <c r="B163" s="905" t="s">
        <v>34</v>
      </c>
      <c r="C163" s="1785"/>
      <c r="D163" s="658"/>
      <c r="E163" s="658" t="s">
        <v>1862</v>
      </c>
      <c r="F163" s="658" t="s">
        <v>1809</v>
      </c>
    </row>
    <row r="164" spans="1:6" ht="15.75" x14ac:dyDescent="0.25">
      <c r="A164" s="1946" t="str">
        <f>A63</f>
        <v>Технические условия для монтажа оборудования</v>
      </c>
      <c r="B164" s="1947"/>
      <c r="C164" s="1785"/>
      <c r="D164" s="1694" t="s">
        <v>66</v>
      </c>
      <c r="E164" s="1694" t="s">
        <v>65</v>
      </c>
      <c r="F164" s="1694" t="s">
        <v>64</v>
      </c>
    </row>
    <row r="165" spans="1:6" x14ac:dyDescent="0.25">
      <c r="A165" s="132" t="s">
        <v>1744</v>
      </c>
      <c r="B165" s="905" t="s">
        <v>33</v>
      </c>
      <c r="C165" s="1785"/>
      <c r="D165" s="658"/>
      <c r="E165" s="1381"/>
      <c r="F165" s="1381"/>
    </row>
    <row r="166" spans="1:6" x14ac:dyDescent="0.25">
      <c r="A166" s="132" t="s">
        <v>1743</v>
      </c>
      <c r="B166" s="905" t="s">
        <v>34</v>
      </c>
      <c r="C166" s="1785"/>
      <c r="D166" s="658"/>
      <c r="E166" s="1381"/>
      <c r="F166" s="1381"/>
    </row>
    <row r="167" spans="1:6" ht="15.75" x14ac:dyDescent="0.25">
      <c r="A167" s="1946" t="str">
        <f>A66</f>
        <v>Эскизная схема расположения оборудования</v>
      </c>
      <c r="B167" s="1947"/>
      <c r="C167" s="1785"/>
      <c r="D167" s="1694" t="s">
        <v>66</v>
      </c>
      <c r="E167" s="1694" t="s">
        <v>65</v>
      </c>
      <c r="F167" s="1694" t="s">
        <v>64</v>
      </c>
    </row>
    <row r="168" spans="1:6" x14ac:dyDescent="0.25">
      <c r="A168" s="132" t="s">
        <v>1741</v>
      </c>
      <c r="B168" s="905" t="s">
        <v>33</v>
      </c>
      <c r="C168" s="1785"/>
      <c r="D168" s="658" t="s">
        <v>1777</v>
      </c>
      <c r="E168" s="658"/>
      <c r="F168" s="658" t="s">
        <v>1803</v>
      </c>
    </row>
    <row r="169" spans="1:6" x14ac:dyDescent="0.25">
      <c r="A169" s="132" t="s">
        <v>1742</v>
      </c>
      <c r="B169" s="905" t="s">
        <v>34</v>
      </c>
      <c r="C169" s="1785"/>
      <c r="D169" s="658" t="s">
        <v>1777</v>
      </c>
      <c r="E169" s="658"/>
      <c r="F169" s="658" t="s">
        <v>1803</v>
      </c>
    </row>
    <row r="170" spans="1:6" ht="15.75" x14ac:dyDescent="0.25">
      <c r="A170" s="1946" t="str">
        <f>A69</f>
        <v>Сетевая схема L2</v>
      </c>
      <c r="B170" s="1947"/>
      <c r="C170" s="1785"/>
      <c r="D170" s="1694" t="s">
        <v>66</v>
      </c>
      <c r="E170" s="1694" t="s">
        <v>65</v>
      </c>
      <c r="F170" s="1694" t="s">
        <v>64</v>
      </c>
    </row>
    <row r="171" spans="1:6" x14ac:dyDescent="0.25">
      <c r="A171" s="132" t="s">
        <v>1749</v>
      </c>
      <c r="B171" s="905" t="s">
        <v>33</v>
      </c>
      <c r="C171" s="1785"/>
      <c r="D171" s="658"/>
      <c r="E171" s="1381"/>
      <c r="F171" s="1381"/>
    </row>
    <row r="172" spans="1:6" x14ac:dyDescent="0.25">
      <c r="A172" s="132" t="s">
        <v>1750</v>
      </c>
      <c r="B172" s="905" t="s">
        <v>34</v>
      </c>
      <c r="C172" s="1785"/>
      <c r="D172" s="658"/>
      <c r="E172" s="1381"/>
      <c r="F172" s="1381"/>
    </row>
    <row r="173" spans="1:6" ht="15.75" x14ac:dyDescent="0.25">
      <c r="A173" s="1946" t="str">
        <f>A72</f>
        <v>Сетевая схема L3</v>
      </c>
      <c r="B173" s="1947"/>
      <c r="C173" s="1785"/>
      <c r="D173" s="1694" t="s">
        <v>66</v>
      </c>
      <c r="E173" s="1694" t="s">
        <v>65</v>
      </c>
      <c r="F173" s="1694" t="s">
        <v>64</v>
      </c>
    </row>
    <row r="174" spans="1:6" x14ac:dyDescent="0.25">
      <c r="A174" s="132" t="s">
        <v>1751</v>
      </c>
      <c r="B174" s="905" t="s">
        <v>33</v>
      </c>
      <c r="C174" s="1785"/>
      <c r="D174" s="658"/>
      <c r="E174" s="1381"/>
      <c r="F174" s="1381"/>
    </row>
    <row r="175" spans="1:6" x14ac:dyDescent="0.25">
      <c r="A175" s="132" t="s">
        <v>1752</v>
      </c>
      <c r="B175" s="905" t="s">
        <v>34</v>
      </c>
      <c r="C175" s="1785"/>
      <c r="D175" s="658"/>
      <c r="E175" s="1381"/>
      <c r="F175" s="1381"/>
    </row>
    <row r="176" spans="1:6" ht="15.75" x14ac:dyDescent="0.25">
      <c r="A176" s="1946" t="str">
        <f>A78</f>
        <v>Принципиальная схема электропитания оборудования (СБ)</v>
      </c>
      <c r="B176" s="1947"/>
      <c r="C176" s="1785"/>
      <c r="D176" s="1694" t="s">
        <v>66</v>
      </c>
      <c r="E176" s="1694" t="s">
        <v>65</v>
      </c>
      <c r="F176" s="1694" t="s">
        <v>64</v>
      </c>
    </row>
    <row r="177" spans="1:6" x14ac:dyDescent="0.25">
      <c r="A177" s="132" t="s">
        <v>1753</v>
      </c>
      <c r="B177" s="905" t="s">
        <v>33</v>
      </c>
      <c r="C177" s="1785"/>
      <c r="D177" s="658" t="s">
        <v>1863</v>
      </c>
      <c r="E177" s="658"/>
      <c r="F177" s="658" t="s">
        <v>1803</v>
      </c>
    </row>
    <row r="178" spans="1:6" x14ac:dyDescent="0.25">
      <c r="A178" s="132" t="s">
        <v>1754</v>
      </c>
      <c r="B178" s="905" t="s">
        <v>34</v>
      </c>
      <c r="C178" s="1785"/>
      <c r="D178" s="658" t="s">
        <v>1863</v>
      </c>
      <c r="E178" s="658"/>
      <c r="F178" s="658" t="s">
        <v>1803</v>
      </c>
    </row>
    <row r="179" spans="1:6" ht="15.75" x14ac:dyDescent="0.25">
      <c r="A179" s="1946" t="str">
        <f>A81</f>
        <v>Схема подключения внешних проводок (С5)</v>
      </c>
      <c r="B179" s="1947"/>
      <c r="C179" s="1785"/>
      <c r="D179" s="1694" t="s">
        <v>66</v>
      </c>
      <c r="E179" s="1694" t="s">
        <v>65</v>
      </c>
      <c r="F179" s="1694" t="s">
        <v>64</v>
      </c>
    </row>
    <row r="180" spans="1:6" x14ac:dyDescent="0.25">
      <c r="A180" s="132" t="s">
        <v>1755</v>
      </c>
      <c r="B180" s="905" t="s">
        <v>33</v>
      </c>
      <c r="C180" s="1785"/>
      <c r="D180" s="658" t="s">
        <v>1863</v>
      </c>
      <c r="E180" s="658"/>
      <c r="F180" s="658" t="s">
        <v>1803</v>
      </c>
    </row>
    <row r="181" spans="1:6" x14ac:dyDescent="0.25">
      <c r="A181" s="132" t="s">
        <v>1756</v>
      </c>
      <c r="B181" s="905" t="s">
        <v>34</v>
      </c>
      <c r="C181" s="1785"/>
      <c r="D181" s="658" t="s">
        <v>1863</v>
      </c>
      <c r="E181" s="658"/>
      <c r="F181" s="658" t="s">
        <v>1803</v>
      </c>
    </row>
    <row r="182" spans="1:6" ht="15.75" x14ac:dyDescent="0.25">
      <c r="A182" s="1946" t="str">
        <f>A84</f>
        <v>Чертеж установки технических средств (СА)</v>
      </c>
      <c r="B182" s="1947"/>
      <c r="C182" s="1785"/>
      <c r="D182" s="1694" t="s">
        <v>66</v>
      </c>
      <c r="E182" s="1694" t="s">
        <v>65</v>
      </c>
      <c r="F182" s="1694" t="s">
        <v>64</v>
      </c>
    </row>
    <row r="183" spans="1:6" x14ac:dyDescent="0.25">
      <c r="A183" s="132" t="s">
        <v>1757</v>
      </c>
      <c r="B183" s="905" t="s">
        <v>33</v>
      </c>
      <c r="C183" s="1785"/>
      <c r="D183" s="658" t="s">
        <v>1777</v>
      </c>
      <c r="E183" s="658"/>
      <c r="F183" s="658" t="s">
        <v>1803</v>
      </c>
    </row>
    <row r="184" spans="1:6" x14ac:dyDescent="0.25">
      <c r="A184" s="132" t="s">
        <v>1758</v>
      </c>
      <c r="B184" s="905" t="s">
        <v>34</v>
      </c>
      <c r="C184" s="1785"/>
      <c r="D184" s="658" t="s">
        <v>1777</v>
      </c>
      <c r="E184" s="658"/>
      <c r="F184" s="658" t="s">
        <v>1803</v>
      </c>
    </row>
    <row r="185" spans="1:6" ht="15.75" x14ac:dyDescent="0.25">
      <c r="A185" s="1946" t="str">
        <f>A88</f>
        <v xml:space="preserve">Ведомость эксплуатационных документов </v>
      </c>
      <c r="B185" s="1947"/>
      <c r="C185" s="1785"/>
      <c r="D185" s="1694" t="s">
        <v>66</v>
      </c>
      <c r="E185" s="1694" t="s">
        <v>65</v>
      </c>
      <c r="F185" s="1694" t="s">
        <v>64</v>
      </c>
    </row>
    <row r="186" spans="1:6" x14ac:dyDescent="0.25">
      <c r="A186" s="132" t="s">
        <v>1759</v>
      </c>
      <c r="B186" s="905" t="s">
        <v>33</v>
      </c>
      <c r="C186" s="1785"/>
      <c r="D186" s="658"/>
      <c r="E186" s="1381"/>
      <c r="F186" s="1381"/>
    </row>
    <row r="187" spans="1:6" x14ac:dyDescent="0.25">
      <c r="A187" s="132" t="s">
        <v>1760</v>
      </c>
      <c r="B187" s="905" t="s">
        <v>34</v>
      </c>
      <c r="C187" s="1785"/>
      <c r="D187" s="658"/>
      <c r="E187" s="1381"/>
      <c r="F187" s="1381"/>
    </row>
    <row r="188" spans="1:6" ht="15.75" x14ac:dyDescent="0.25">
      <c r="A188" s="1946" t="str">
        <f>A91</f>
        <v>Руководство администратора</v>
      </c>
      <c r="B188" s="1947"/>
      <c r="C188" s="1785"/>
      <c r="D188" s="1694" t="s">
        <v>66</v>
      </c>
      <c r="E188" s="1694" t="s">
        <v>65</v>
      </c>
      <c r="F188" s="1694" t="s">
        <v>64</v>
      </c>
    </row>
    <row r="189" spans="1:6" x14ac:dyDescent="0.25">
      <c r="A189" s="132" t="s">
        <v>1761</v>
      </c>
      <c r="B189" s="905" t="s">
        <v>33</v>
      </c>
      <c r="C189" s="1785"/>
      <c r="D189" s="658"/>
      <c r="E189" s="658" t="s">
        <v>1862</v>
      </c>
      <c r="F189" s="658" t="s">
        <v>1813</v>
      </c>
    </row>
    <row r="190" spans="1:6" x14ac:dyDescent="0.25">
      <c r="A190" s="132" t="s">
        <v>1762</v>
      </c>
      <c r="B190" s="905" t="s">
        <v>34</v>
      </c>
      <c r="C190" s="1785"/>
      <c r="D190" s="658"/>
      <c r="E190" s="658" t="s">
        <v>1862</v>
      </c>
      <c r="F190" s="658" t="s">
        <v>1814</v>
      </c>
    </row>
    <row r="191" spans="1:6" ht="15.75" x14ac:dyDescent="0.25">
      <c r="A191" s="1946" t="str">
        <f>A94</f>
        <v xml:space="preserve">Руководство пользователя </v>
      </c>
      <c r="B191" s="1947"/>
      <c r="C191" s="1785"/>
      <c r="D191" s="1694" t="s">
        <v>66</v>
      </c>
      <c r="E191" s="1694" t="s">
        <v>65</v>
      </c>
      <c r="F191" s="1694" t="s">
        <v>64</v>
      </c>
    </row>
    <row r="192" spans="1:6" x14ac:dyDescent="0.25">
      <c r="A192" s="132" t="s">
        <v>1763</v>
      </c>
      <c r="B192" s="905" t="s">
        <v>33</v>
      </c>
      <c r="C192" s="1785"/>
      <c r="D192" s="658"/>
      <c r="E192" s="658" t="s">
        <v>1862</v>
      </c>
      <c r="F192" s="658" t="s">
        <v>1809</v>
      </c>
    </row>
    <row r="193" spans="1:6" x14ac:dyDescent="0.25">
      <c r="A193" s="132" t="s">
        <v>1764</v>
      </c>
      <c r="B193" s="905" t="s">
        <v>34</v>
      </c>
      <c r="C193" s="1785"/>
      <c r="D193" s="658"/>
      <c r="E193" s="658" t="s">
        <v>1862</v>
      </c>
      <c r="F193" s="658" t="s">
        <v>1815</v>
      </c>
    </row>
    <row r="194" spans="1:6" ht="15.75" x14ac:dyDescent="0.25">
      <c r="A194" s="1946" t="str">
        <f>A97</f>
        <v>Руководство по мониторингу</v>
      </c>
      <c r="B194" s="1947"/>
      <c r="C194" s="1785"/>
      <c r="D194" s="1694" t="s">
        <v>66</v>
      </c>
      <c r="E194" s="1694" t="s">
        <v>65</v>
      </c>
      <c r="F194" s="1694" t="s">
        <v>64</v>
      </c>
    </row>
    <row r="195" spans="1:6" x14ac:dyDescent="0.25">
      <c r="A195" s="132" t="s">
        <v>1765</v>
      </c>
      <c r="B195" s="905" t="s">
        <v>33</v>
      </c>
      <c r="C195" s="1785"/>
      <c r="D195" s="658"/>
      <c r="E195" s="658"/>
      <c r="F195" s="658" t="s">
        <v>1813</v>
      </c>
    </row>
    <row r="196" spans="1:6" x14ac:dyDescent="0.25">
      <c r="A196" s="132" t="s">
        <v>1766</v>
      </c>
      <c r="B196" s="905" t="s">
        <v>34</v>
      </c>
      <c r="C196" s="1785"/>
      <c r="D196" s="658"/>
      <c r="E196" s="658"/>
      <c r="F196" s="658" t="s">
        <v>1814</v>
      </c>
    </row>
    <row r="197" spans="1:6" ht="15.75" x14ac:dyDescent="0.25">
      <c r="A197" s="1946" t="str">
        <f>A100</f>
        <v>План резервного копирования</v>
      </c>
      <c r="B197" s="1947"/>
      <c r="C197" s="1785"/>
      <c r="D197" s="1694" t="s">
        <v>66</v>
      </c>
      <c r="E197" s="1694" t="s">
        <v>65</v>
      </c>
      <c r="F197" s="1694" t="s">
        <v>64</v>
      </c>
    </row>
    <row r="198" spans="1:6" x14ac:dyDescent="0.25">
      <c r="A198" s="132" t="s">
        <v>1767</v>
      </c>
      <c r="B198" s="905" t="s">
        <v>33</v>
      </c>
      <c r="C198" s="1785"/>
      <c r="D198" s="658" t="s">
        <v>1849</v>
      </c>
      <c r="E198" s="658"/>
      <c r="F198" s="658" t="s">
        <v>1813</v>
      </c>
    </row>
    <row r="199" spans="1:6" x14ac:dyDescent="0.25">
      <c r="A199" s="132" t="s">
        <v>1768</v>
      </c>
      <c r="B199" s="905" t="s">
        <v>34</v>
      </c>
      <c r="C199" s="1785"/>
      <c r="D199" s="658" t="s">
        <v>1849</v>
      </c>
      <c r="E199" s="658"/>
      <c r="F199" s="658" t="s">
        <v>1814</v>
      </c>
    </row>
    <row r="200" spans="1:6" ht="15.75" x14ac:dyDescent="0.25">
      <c r="A200" s="1946" t="str">
        <f>A103</f>
        <v>План опытной эксплуатации</v>
      </c>
      <c r="B200" s="1947"/>
      <c r="C200" s="1785"/>
      <c r="D200" s="1694" t="s">
        <v>66</v>
      </c>
      <c r="E200" s="1694" t="s">
        <v>65</v>
      </c>
      <c r="F200" s="1694" t="s">
        <v>64</v>
      </c>
    </row>
    <row r="201" spans="1:6" x14ac:dyDescent="0.25">
      <c r="A201" s="132" t="s">
        <v>1769</v>
      </c>
      <c r="B201" s="905" t="s">
        <v>33</v>
      </c>
      <c r="C201" s="1785"/>
      <c r="D201" s="658"/>
      <c r="E201" s="658"/>
      <c r="F201" s="658" t="s">
        <v>1813</v>
      </c>
    </row>
    <row r="202" spans="1:6" x14ac:dyDescent="0.25">
      <c r="A202" s="132" t="s">
        <v>1770</v>
      </c>
      <c r="B202" s="905" t="s">
        <v>34</v>
      </c>
      <c r="C202" s="1785"/>
      <c r="D202" s="658"/>
      <c r="E202" s="658"/>
      <c r="F202" s="658" t="s">
        <v>1814</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30" t="str">
        <f>'Служебный АСУТП'!R2</f>
        <v>R-Vision SOAR</v>
      </c>
      <c r="E1" s="1931"/>
      <c r="F1" s="1931"/>
      <c r="G1" s="1932"/>
      <c r="H1" s="1930" t="str">
        <f>'Служебный АСУТП'!R3</f>
        <v>Security Vision SOAR</v>
      </c>
      <c r="I1" s="1931"/>
      <c r="J1" s="1931"/>
      <c r="K1" s="1932"/>
      <c r="L1" s="1930" t="str">
        <f>'Служебный АСУТП'!R4</f>
        <v>UDV SOAR</v>
      </c>
      <c r="M1" s="1931"/>
      <c r="N1" s="1931"/>
      <c r="O1" s="1932"/>
    </row>
    <row r="2" spans="1:15" ht="15.75" x14ac:dyDescent="0.25">
      <c r="B2" s="41" t="s">
        <v>37</v>
      </c>
      <c r="C2" s="1940" t="s">
        <v>35</v>
      </c>
      <c r="D2" s="835" t="s">
        <v>1840</v>
      </c>
      <c r="E2" s="717" t="s">
        <v>1842</v>
      </c>
      <c r="F2" s="717" t="s">
        <v>1839</v>
      </c>
      <c r="G2" s="1933" t="s">
        <v>38</v>
      </c>
      <c r="H2" s="835" t="s">
        <v>1840</v>
      </c>
      <c r="I2" s="717" t="s">
        <v>1842</v>
      </c>
      <c r="J2" s="717" t="s">
        <v>1839</v>
      </c>
      <c r="K2" s="1933" t="s">
        <v>38</v>
      </c>
      <c r="L2" s="835" t="s">
        <v>1840</v>
      </c>
      <c r="M2" s="717" t="s">
        <v>1842</v>
      </c>
      <c r="N2" s="717" t="s">
        <v>1839</v>
      </c>
      <c r="O2" s="1933" t="s">
        <v>38</v>
      </c>
    </row>
    <row r="3" spans="1:15" ht="16.5" thickBot="1" x14ac:dyDescent="0.3">
      <c r="A3" s="12" t="s">
        <v>36</v>
      </c>
      <c r="B3" s="295">
        <f>ТрЗ_ОП!F5</f>
        <v>1</v>
      </c>
      <c r="C3" s="1941"/>
      <c r="D3" s="37">
        <f>INDEX(ТрЗ_ОП!$P$11:$P$102,MATCH(D2,ТрЗ_ОП!$O$11:$O$102,0))</f>
        <v>0</v>
      </c>
      <c r="E3" s="37">
        <f>INDEX(ТрЗ_ОП!$P$11:$P$102,MATCH(E2,ТрЗ_ОП!$O$11:$O$102,0))</f>
        <v>0</v>
      </c>
      <c r="F3" s="37">
        <f>INDEX(ТрЗ_ОП!$P$11:$P$102,MATCH(F2,ТрЗ_ОП!$O$11:$O$102,0))</f>
        <v>0</v>
      </c>
      <c r="G3" s="1933"/>
      <c r="H3" s="37">
        <f>INDEX(ТрЗ_ОП!$P$11:$P$102,MATCH(H2,ТрЗ_ОП!$O$11:$O$102,0))</f>
        <v>0</v>
      </c>
      <c r="I3" s="37">
        <f>INDEX(ТрЗ_ОП!$P$11:$P$102,MATCH(I2,ТрЗ_ОП!$O$11:$O$102,0))</f>
        <v>0</v>
      </c>
      <c r="J3" s="37">
        <f>INDEX(ТрЗ_ОП!$P$11:$P$102,MATCH(J2,ТрЗ_ОП!$O$11:$O$102,0))</f>
        <v>0</v>
      </c>
      <c r="K3" s="1933"/>
      <c r="L3" s="37">
        <f>INDEX(ТрЗ_ОП!$P$11:$P$102,MATCH(L2,ТрЗ_ОП!$O$11:$O$102,0))</f>
        <v>0</v>
      </c>
      <c r="M3" s="37">
        <f>INDEX(ТрЗ_ОП!$P$11:$P$102,MATCH(M2,ТрЗ_ОП!$O$11:$O$102,0))</f>
        <v>0</v>
      </c>
      <c r="N3" s="37">
        <f>INDEX(ТрЗ_ОП!$P$11:$P$102,MATCH(N2,ТрЗ_ОП!$O$11:$O$102,0))</f>
        <v>0</v>
      </c>
      <c r="O3" s="1933"/>
    </row>
    <row r="4" spans="1:15" ht="16.5" thickBot="1" x14ac:dyDescent="0.3">
      <c r="A4" s="326" t="s">
        <v>448</v>
      </c>
      <c r="B4" s="327"/>
      <c r="C4" s="327"/>
      <c r="D4" s="327"/>
      <c r="E4" s="327"/>
      <c r="F4" s="327"/>
      <c r="G4" s="327"/>
      <c r="H4" s="327"/>
      <c r="I4" s="327"/>
      <c r="J4" s="327"/>
      <c r="K4" s="327"/>
      <c r="L4" s="327"/>
      <c r="M4" s="327"/>
      <c r="N4" s="327"/>
      <c r="O4" s="327"/>
    </row>
    <row r="5" spans="1:15" x14ac:dyDescent="0.25">
      <c r="A5" s="1981" t="s">
        <v>0</v>
      </c>
      <c r="B5" s="176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c r="L5" s="1726">
        <v>1</v>
      </c>
      <c r="M5" s="1726">
        <f t="shared" ref="M5:N8" si="3">0.25*M$3</f>
        <v>0</v>
      </c>
      <c r="N5" s="1725">
        <f t="shared" si="3"/>
        <v>0</v>
      </c>
      <c r="O5" s="1727">
        <f t="shared" ref="O5:O10" si="4" xml:space="preserve"> SUM(L5:N5) + $C5</f>
        <v>1</v>
      </c>
    </row>
    <row r="6" spans="1:15" x14ac:dyDescent="0.25">
      <c r="A6" s="1942"/>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75"/>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42"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c r="L8" s="1726">
        <v>1</v>
      </c>
      <c r="M8" s="1726">
        <f t="shared" si="3"/>
        <v>0</v>
      </c>
      <c r="N8" s="1725">
        <f t="shared" si="3"/>
        <v>0</v>
      </c>
      <c r="O8" s="1730">
        <f t="shared" si="4"/>
        <v>1</v>
      </c>
    </row>
    <row r="9" spans="1:15" x14ac:dyDescent="0.25">
      <c r="A9" s="1942"/>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42"/>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42" t="s">
        <v>2</v>
      </c>
      <c r="B12" s="1723" t="s">
        <v>32</v>
      </c>
      <c r="C12" s="1724"/>
      <c r="D12" s="1726">
        <v>4</v>
      </c>
      <c r="E12" s="1725">
        <f>2*E$3</f>
        <v>0</v>
      </c>
      <c r="F12" s="1725">
        <f>0.5*F$3</f>
        <v>0</v>
      </c>
      <c r="G12" s="1727">
        <f t="shared" si="5"/>
        <v>4</v>
      </c>
      <c r="H12" s="1726">
        <v>4</v>
      </c>
      <c r="I12" s="1725">
        <f>2*I$3</f>
        <v>0</v>
      </c>
      <c r="J12" s="1725">
        <f>0.5*J$3</f>
        <v>0</v>
      </c>
      <c r="K12" s="1727">
        <f xml:space="preserve"> SUM(H12:J12) + $C12</f>
        <v>4</v>
      </c>
      <c r="L12" s="1726">
        <v>4</v>
      </c>
      <c r="M12" s="1725">
        <f>2*M$3</f>
        <v>0</v>
      </c>
      <c r="N12" s="1725">
        <f>0.5*N$3</f>
        <v>0</v>
      </c>
      <c r="O12" s="1727">
        <f xml:space="preserve"> SUM(L12:N12) + $C12</f>
        <v>4</v>
      </c>
    </row>
    <row r="13" spans="1:15" x14ac:dyDescent="0.25">
      <c r="A13" s="1942"/>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42"/>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39" t="s">
        <v>4</v>
      </c>
      <c r="B16" s="1731" t="s">
        <v>32</v>
      </c>
      <c r="C16" s="1724"/>
      <c r="D16" s="1732">
        <v>0.25</v>
      </c>
      <c r="E16" s="1733">
        <v>0</v>
      </c>
      <c r="F16" s="1734">
        <v>0</v>
      </c>
      <c r="G16" s="1727">
        <f t="shared" si="5"/>
        <v>0.25</v>
      </c>
      <c r="H16" s="1732">
        <v>0.25</v>
      </c>
      <c r="I16" s="1733">
        <v>0</v>
      </c>
      <c r="J16" s="1734">
        <v>0</v>
      </c>
      <c r="K16" s="1727">
        <f t="shared" ref="K16:K36" si="6" xml:space="preserve"> SUM(H16:J16) + $C16</f>
        <v>0.25</v>
      </c>
      <c r="L16" s="1732">
        <v>0.25</v>
      </c>
      <c r="M16" s="1733">
        <v>0</v>
      </c>
      <c r="N16" s="1734">
        <v>0</v>
      </c>
      <c r="O16" s="1727">
        <f t="shared" ref="O16:O36" si="7" xml:space="preserve"> SUM(L16:N16) + $C16</f>
        <v>0.25</v>
      </c>
    </row>
    <row r="17" spans="1:15" x14ac:dyDescent="0.25">
      <c r="A17" s="1938"/>
      <c r="B17" s="18" t="s">
        <v>33</v>
      </c>
      <c r="C17" s="22"/>
      <c r="D17" s="482" t="s">
        <v>1772</v>
      </c>
      <c r="E17" s="482" t="s">
        <v>1772</v>
      </c>
      <c r="F17" s="482" t="s">
        <v>1772</v>
      </c>
      <c r="G17" s="21">
        <f t="shared" si="5"/>
        <v>0</v>
      </c>
      <c r="H17" s="482" t="s">
        <v>1772</v>
      </c>
      <c r="I17" s="482" t="s">
        <v>1772</v>
      </c>
      <c r="J17" s="482" t="s">
        <v>1772</v>
      </c>
      <c r="K17" s="21">
        <f t="shared" si="6"/>
        <v>0</v>
      </c>
      <c r="L17" s="482" t="s">
        <v>1772</v>
      </c>
      <c r="M17" s="482" t="s">
        <v>1772</v>
      </c>
      <c r="N17" s="482" t="s">
        <v>1772</v>
      </c>
      <c r="O17" s="21">
        <f t="shared" si="7"/>
        <v>0</v>
      </c>
    </row>
    <row r="18" spans="1:15" x14ac:dyDescent="0.25">
      <c r="A18" s="1938"/>
      <c r="B18" s="18" t="s">
        <v>34</v>
      </c>
      <c r="C18" s="22"/>
      <c r="D18" s="482" t="s">
        <v>1772</v>
      </c>
      <c r="E18" s="482" t="s">
        <v>1772</v>
      </c>
      <c r="F18" s="482" t="s">
        <v>1772</v>
      </c>
      <c r="G18" s="21">
        <f t="shared" si="5"/>
        <v>0</v>
      </c>
      <c r="H18" s="482" t="s">
        <v>1772</v>
      </c>
      <c r="I18" s="482" t="s">
        <v>1772</v>
      </c>
      <c r="J18" s="482" t="s">
        <v>1772</v>
      </c>
      <c r="K18" s="21">
        <f t="shared" si="6"/>
        <v>0</v>
      </c>
      <c r="L18" s="482" t="s">
        <v>1772</v>
      </c>
      <c r="M18" s="482" t="s">
        <v>1772</v>
      </c>
      <c r="N18" s="482" t="s">
        <v>1772</v>
      </c>
      <c r="O18" s="21">
        <f t="shared" si="7"/>
        <v>0</v>
      </c>
    </row>
    <row r="19" spans="1:15" x14ac:dyDescent="0.25">
      <c r="A19" s="1938" t="s">
        <v>5</v>
      </c>
      <c r="B19" s="1728" t="s">
        <v>32</v>
      </c>
      <c r="C19" s="1729"/>
      <c r="D19" s="1735">
        <f>0.5*D$3</f>
        <v>0</v>
      </c>
      <c r="E19" s="1736">
        <v>0</v>
      </c>
      <c r="F19" s="1725">
        <f t="shared" ref="F19:F22" si="8">0.5*F$3</f>
        <v>0</v>
      </c>
      <c r="G19" s="1730">
        <f t="shared" si="5"/>
        <v>0</v>
      </c>
      <c r="H19" s="1735">
        <f>0.5*H$3</f>
        <v>0</v>
      </c>
      <c r="I19" s="1736">
        <v>0</v>
      </c>
      <c r="J19" s="1725">
        <f t="shared" ref="J19:J22" si="9">0.5*J$3</f>
        <v>0</v>
      </c>
      <c r="K19" s="1730">
        <f t="shared" si="6"/>
        <v>0</v>
      </c>
      <c r="L19" s="1735">
        <f>0.5*L$3</f>
        <v>0</v>
      </c>
      <c r="M19" s="1736">
        <v>0</v>
      </c>
      <c r="N19" s="1725">
        <f t="shared" ref="N19:N22" si="10">0.5*N$3</f>
        <v>0</v>
      </c>
      <c r="O19" s="1730">
        <f t="shared" si="7"/>
        <v>0</v>
      </c>
    </row>
    <row r="20" spans="1:15" x14ac:dyDescent="0.25">
      <c r="A20" s="1938"/>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38"/>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38" t="s">
        <v>6</v>
      </c>
      <c r="B22" s="1728" t="s">
        <v>32</v>
      </c>
      <c r="C22" s="1729"/>
      <c r="D22" s="1746">
        <v>8</v>
      </c>
      <c r="E22" s="1737">
        <f>0.5*E$3</f>
        <v>0</v>
      </c>
      <c r="F22" s="1737">
        <f t="shared" si="8"/>
        <v>0</v>
      </c>
      <c r="G22" s="1730">
        <f t="shared" si="5"/>
        <v>8</v>
      </c>
      <c r="H22" s="1746">
        <v>8</v>
      </c>
      <c r="I22" s="1737">
        <f>0.5*I$3</f>
        <v>0</v>
      </c>
      <c r="J22" s="1737">
        <f t="shared" si="9"/>
        <v>0</v>
      </c>
      <c r="K22" s="1730">
        <f t="shared" si="6"/>
        <v>8</v>
      </c>
      <c r="L22" s="1746">
        <v>8</v>
      </c>
      <c r="M22" s="1737">
        <f>0.5*M$3</f>
        <v>0</v>
      </c>
      <c r="N22" s="1737">
        <f t="shared" si="10"/>
        <v>0</v>
      </c>
      <c r="O22" s="1730">
        <f t="shared" si="7"/>
        <v>8</v>
      </c>
    </row>
    <row r="23" spans="1:15" x14ac:dyDescent="0.25">
      <c r="A23" s="1938"/>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38"/>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38" t="s">
        <v>7</v>
      </c>
      <c r="B25" s="1728" t="s">
        <v>32</v>
      </c>
      <c r="C25" s="1729"/>
      <c r="D25" s="1735">
        <v>2</v>
      </c>
      <c r="E25" s="1736">
        <v>0</v>
      </c>
      <c r="F25" s="1737">
        <v>0</v>
      </c>
      <c r="G25" s="1730">
        <f t="shared" si="5"/>
        <v>2</v>
      </c>
      <c r="H25" s="1735">
        <v>2</v>
      </c>
      <c r="I25" s="1736">
        <v>0</v>
      </c>
      <c r="J25" s="1737">
        <v>0</v>
      </c>
      <c r="K25" s="1730">
        <f t="shared" si="6"/>
        <v>2</v>
      </c>
      <c r="L25" s="1735">
        <v>2</v>
      </c>
      <c r="M25" s="1736">
        <v>0</v>
      </c>
      <c r="N25" s="1737">
        <v>0</v>
      </c>
      <c r="O25" s="1730">
        <f t="shared" si="7"/>
        <v>2</v>
      </c>
    </row>
    <row r="26" spans="1:15" x14ac:dyDescent="0.25">
      <c r="A26" s="1938"/>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38"/>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38" t="s">
        <v>8</v>
      </c>
      <c r="B28" s="1728" t="s">
        <v>32</v>
      </c>
      <c r="C28" s="1729"/>
      <c r="D28" s="1735">
        <v>2</v>
      </c>
      <c r="E28" s="1736">
        <v>0</v>
      </c>
      <c r="F28" s="1738">
        <v>0</v>
      </c>
      <c r="G28" s="1730">
        <f t="shared" si="5"/>
        <v>2</v>
      </c>
      <c r="H28" s="1735">
        <v>2</v>
      </c>
      <c r="I28" s="1736">
        <v>0</v>
      </c>
      <c r="J28" s="1738">
        <v>0</v>
      </c>
      <c r="K28" s="1730">
        <f t="shared" si="6"/>
        <v>2</v>
      </c>
      <c r="L28" s="1735">
        <v>2</v>
      </c>
      <c r="M28" s="1736">
        <v>0</v>
      </c>
      <c r="N28" s="1738">
        <v>0</v>
      </c>
      <c r="O28" s="1730">
        <f t="shared" si="7"/>
        <v>2</v>
      </c>
    </row>
    <row r="29" spans="1:15" x14ac:dyDescent="0.25">
      <c r="A29" s="1938"/>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38"/>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38" t="s">
        <v>9</v>
      </c>
      <c r="B31" s="1728" t="s">
        <v>32</v>
      </c>
      <c r="C31" s="1729"/>
      <c r="D31" s="1735">
        <f>2+(0.5*D$3)</f>
        <v>2</v>
      </c>
      <c r="E31" s="1736">
        <v>0</v>
      </c>
      <c r="F31" s="1735">
        <f>0.5*F$3</f>
        <v>0</v>
      </c>
      <c r="G31" s="1730">
        <f t="shared" si="5"/>
        <v>2</v>
      </c>
      <c r="H31" s="1735">
        <f>2+(0.5*H$3)</f>
        <v>2</v>
      </c>
      <c r="I31" s="1736">
        <v>0</v>
      </c>
      <c r="J31" s="1735">
        <f>0.5*J$3</f>
        <v>0</v>
      </c>
      <c r="K31" s="1730">
        <f t="shared" si="6"/>
        <v>2</v>
      </c>
      <c r="L31" s="1735">
        <f>2+(0.5*L$3)</f>
        <v>2</v>
      </c>
      <c r="M31" s="1736">
        <v>0</v>
      </c>
      <c r="N31" s="1735">
        <f>0.5*N$3</f>
        <v>0</v>
      </c>
      <c r="O31" s="1730">
        <f t="shared" si="7"/>
        <v>2</v>
      </c>
    </row>
    <row r="32" spans="1:15" x14ac:dyDescent="0.25">
      <c r="A32" s="1938"/>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38"/>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38" t="s">
        <v>10</v>
      </c>
      <c r="B34" s="1728" t="s">
        <v>32</v>
      </c>
      <c r="C34" s="1729"/>
      <c r="D34" s="1735">
        <v>1</v>
      </c>
      <c r="E34" s="1736">
        <v>0</v>
      </c>
      <c r="F34" s="1735">
        <f>0.5*F$3</f>
        <v>0</v>
      </c>
      <c r="G34" s="1730">
        <f t="shared" si="5"/>
        <v>1</v>
      </c>
      <c r="H34" s="1735">
        <v>1</v>
      </c>
      <c r="I34" s="1736">
        <v>0</v>
      </c>
      <c r="J34" s="1735">
        <f>0.5*J$3</f>
        <v>0</v>
      </c>
      <c r="K34" s="1730">
        <f t="shared" si="6"/>
        <v>1</v>
      </c>
      <c r="L34" s="1735">
        <v>1</v>
      </c>
      <c r="M34" s="1736">
        <v>0</v>
      </c>
      <c r="N34" s="1735">
        <f>0.5*N$3</f>
        <v>0</v>
      </c>
      <c r="O34" s="1730">
        <f t="shared" si="7"/>
        <v>1</v>
      </c>
    </row>
    <row r="35" spans="1:15" x14ac:dyDescent="0.25">
      <c r="A35" s="1938"/>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36"/>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42" t="s">
        <v>12</v>
      </c>
      <c r="B38" s="1723" t="s">
        <v>32</v>
      </c>
      <c r="C38" s="1724"/>
      <c r="D38" s="1726">
        <f>D$22+D$25+D$28</f>
        <v>12</v>
      </c>
      <c r="E38" s="1725">
        <f>E$22*2</f>
        <v>0</v>
      </c>
      <c r="F38" s="1737">
        <f>0.5*F$3</f>
        <v>0</v>
      </c>
      <c r="G38" s="1727">
        <f t="shared" si="5"/>
        <v>12</v>
      </c>
      <c r="H38" s="1726">
        <f>H$22+H$25+H$28</f>
        <v>12</v>
      </c>
      <c r="I38" s="1725">
        <f>I$22*2</f>
        <v>0</v>
      </c>
      <c r="J38" s="1737">
        <f>0.5*J$3</f>
        <v>0</v>
      </c>
      <c r="K38" s="1727">
        <f xml:space="preserve"> SUM(H38:J38) + $C38</f>
        <v>12</v>
      </c>
      <c r="L38" s="1726">
        <f>L$22+L$25+L$28</f>
        <v>12</v>
      </c>
      <c r="M38" s="1725">
        <f>M$22*2</f>
        <v>0</v>
      </c>
      <c r="N38" s="1737">
        <f>0.5*N$3</f>
        <v>0</v>
      </c>
      <c r="O38" s="1727">
        <f xml:space="preserve"> SUM(L38:N38) + $C38</f>
        <v>12</v>
      </c>
    </row>
    <row r="39" spans="1:15" x14ac:dyDescent="0.25">
      <c r="A39" s="1942"/>
      <c r="B39" s="19" t="s">
        <v>33</v>
      </c>
      <c r="C39" s="22"/>
      <c r="D39" s="1750">
        <v>8</v>
      </c>
      <c r="E39" s="814">
        <v>0</v>
      </c>
      <c r="F39" s="630">
        <f>IF(F$3=1,16,0)</f>
        <v>0</v>
      </c>
      <c r="G39" s="21">
        <f t="shared" si="5"/>
        <v>8</v>
      </c>
      <c r="H39" s="1750">
        <v>8</v>
      </c>
      <c r="I39" s="814">
        <v>0</v>
      </c>
      <c r="J39" s="630">
        <f>IF(J$3=1,16,0)</f>
        <v>0</v>
      </c>
      <c r="K39" s="21">
        <f xml:space="preserve"> SUM(H39:J39) + $C39</f>
        <v>8</v>
      </c>
      <c r="L39" s="1750">
        <v>8</v>
      </c>
      <c r="M39" s="814">
        <v>0</v>
      </c>
      <c r="N39" s="630">
        <f>IF(N$3=1,16,0)</f>
        <v>0</v>
      </c>
      <c r="O39" s="21">
        <f xml:space="preserve"> SUM(L39:N39) + $C39</f>
        <v>8</v>
      </c>
    </row>
    <row r="40" spans="1:15" ht="15.75" thickBot="1" x14ac:dyDescent="0.3">
      <c r="A40" s="1942"/>
      <c r="B40" s="13" t="s">
        <v>34</v>
      </c>
      <c r="C40" s="34"/>
      <c r="D40" s="1750">
        <v>12</v>
      </c>
      <c r="E40" s="814">
        <v>0</v>
      </c>
      <c r="F40" s="630">
        <f>IF(F$3=1,24,0)</f>
        <v>0</v>
      </c>
      <c r="G40" s="77">
        <f t="shared" si="5"/>
        <v>12</v>
      </c>
      <c r="H40" s="1750">
        <v>12</v>
      </c>
      <c r="I40" s="814">
        <v>0</v>
      </c>
      <c r="J40" s="630">
        <f>IF(J$3=1,24,0)</f>
        <v>0</v>
      </c>
      <c r="K40" s="77">
        <f xml:space="preserve"> SUM(H40:J40) + $C40</f>
        <v>12</v>
      </c>
      <c r="L40" s="1750">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42" t="s">
        <v>14</v>
      </c>
      <c r="B42" s="1723" t="s">
        <v>32</v>
      </c>
      <c r="C42" s="1751"/>
      <c r="D42" s="1735">
        <f>0.5*D$3</f>
        <v>0</v>
      </c>
      <c r="E42" s="1736">
        <v>0</v>
      </c>
      <c r="F42" s="1725">
        <f>0.5*F$3</f>
        <v>0</v>
      </c>
      <c r="G42" s="1727">
        <f t="shared" si="5"/>
        <v>0</v>
      </c>
      <c r="H42" s="1735">
        <f>0.5*H$3</f>
        <v>0</v>
      </c>
      <c r="I42" s="1736">
        <v>0</v>
      </c>
      <c r="J42" s="1725">
        <f>0.5*J$3</f>
        <v>0</v>
      </c>
      <c r="K42" s="1727">
        <f t="shared" ref="K42:K86" si="11" xml:space="preserve"> SUM(H42:J42) + $C42</f>
        <v>0</v>
      </c>
      <c r="L42" s="1735">
        <f>0.5*L$3</f>
        <v>0</v>
      </c>
      <c r="M42" s="1736">
        <v>0</v>
      </c>
      <c r="N42" s="1725">
        <f>0.5*N$3</f>
        <v>0</v>
      </c>
      <c r="O42" s="1727">
        <f t="shared" ref="O42:O86" si="12" xml:space="preserve"> SUM(L42:N42) + $C42</f>
        <v>0</v>
      </c>
    </row>
    <row r="43" spans="1:15" x14ac:dyDescent="0.25">
      <c r="A43" s="1942"/>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42"/>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35" t="s">
        <v>15</v>
      </c>
      <c r="B45" s="1728" t="s">
        <v>32</v>
      </c>
      <c r="C45" s="1729"/>
      <c r="D45" s="1735">
        <v>12</v>
      </c>
      <c r="E45" s="1725">
        <f>E$3*2</f>
        <v>0</v>
      </c>
      <c r="F45" s="1735">
        <f>1*F$3</f>
        <v>0</v>
      </c>
      <c r="G45" s="1730">
        <f t="shared" si="5"/>
        <v>12</v>
      </c>
      <c r="H45" s="1735">
        <v>12</v>
      </c>
      <c r="I45" s="1725">
        <f>I$3*2</f>
        <v>0</v>
      </c>
      <c r="J45" s="1735">
        <f>1*J$3</f>
        <v>0</v>
      </c>
      <c r="K45" s="1730">
        <f t="shared" si="11"/>
        <v>12</v>
      </c>
      <c r="L45" s="1735">
        <v>12</v>
      </c>
      <c r="M45" s="1725">
        <f>M$3*2</f>
        <v>0</v>
      </c>
      <c r="N45" s="1735">
        <f>1*N$3</f>
        <v>0</v>
      </c>
      <c r="O45" s="1730">
        <f t="shared" si="12"/>
        <v>12</v>
      </c>
    </row>
    <row r="46" spans="1:15" x14ac:dyDescent="0.25">
      <c r="A46" s="1935"/>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35"/>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35" t="s">
        <v>16</v>
      </c>
      <c r="B48" s="1728" t="s">
        <v>32</v>
      </c>
      <c r="C48" s="1729"/>
      <c r="D48" s="1735">
        <f>1*D$3</f>
        <v>0</v>
      </c>
      <c r="E48" s="1736">
        <v>0</v>
      </c>
      <c r="F48" s="1735">
        <v>0</v>
      </c>
      <c r="G48" s="1730">
        <f t="shared" si="5"/>
        <v>0</v>
      </c>
      <c r="H48" s="1735">
        <f>1*H$3</f>
        <v>0</v>
      </c>
      <c r="I48" s="1736">
        <v>0</v>
      </c>
      <c r="J48" s="1735">
        <v>0</v>
      </c>
      <c r="K48" s="1730">
        <f t="shared" si="11"/>
        <v>0</v>
      </c>
      <c r="L48" s="1735">
        <f>1*L$3</f>
        <v>0</v>
      </c>
      <c r="M48" s="1736">
        <v>0</v>
      </c>
      <c r="N48" s="1735">
        <v>0</v>
      </c>
      <c r="O48" s="1730">
        <f t="shared" si="12"/>
        <v>0</v>
      </c>
    </row>
    <row r="49" spans="1:15" x14ac:dyDescent="0.25">
      <c r="A49" s="1935"/>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35"/>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35" t="s">
        <v>17</v>
      </c>
      <c r="B51" s="1728" t="s">
        <v>32</v>
      </c>
      <c r="C51" s="1729"/>
      <c r="D51" s="1735">
        <f>1*D$3</f>
        <v>0</v>
      </c>
      <c r="E51" s="1736">
        <v>0</v>
      </c>
      <c r="F51" s="1735">
        <v>0</v>
      </c>
      <c r="G51" s="1730">
        <f t="shared" si="5"/>
        <v>0</v>
      </c>
      <c r="H51" s="1735">
        <f>1*H$3</f>
        <v>0</v>
      </c>
      <c r="I51" s="1736">
        <v>0</v>
      </c>
      <c r="J51" s="1735">
        <v>0</v>
      </c>
      <c r="K51" s="1730">
        <f t="shared" si="11"/>
        <v>0</v>
      </c>
      <c r="L51" s="1735">
        <f>1*L$3</f>
        <v>0</v>
      </c>
      <c r="M51" s="1736">
        <v>0</v>
      </c>
      <c r="N51" s="1735">
        <v>0</v>
      </c>
      <c r="O51" s="1730">
        <f t="shared" si="12"/>
        <v>0</v>
      </c>
    </row>
    <row r="52" spans="1:15" x14ac:dyDescent="0.25">
      <c r="A52" s="1935"/>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35"/>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35" t="s">
        <v>18</v>
      </c>
      <c r="B54" s="1728" t="s">
        <v>32</v>
      </c>
      <c r="C54" s="1729"/>
      <c r="D54" s="1735">
        <f>1*D$3</f>
        <v>0</v>
      </c>
      <c r="E54" s="1736">
        <v>0</v>
      </c>
      <c r="F54" s="1736">
        <v>0</v>
      </c>
      <c r="G54" s="1730">
        <f t="shared" si="5"/>
        <v>0</v>
      </c>
      <c r="H54" s="1735">
        <f>1*H$3</f>
        <v>0</v>
      </c>
      <c r="I54" s="1736">
        <v>0</v>
      </c>
      <c r="J54" s="1736">
        <v>0</v>
      </c>
      <c r="K54" s="1730">
        <f t="shared" si="11"/>
        <v>0</v>
      </c>
      <c r="L54" s="1735">
        <f>1*L$3</f>
        <v>0</v>
      </c>
      <c r="M54" s="1736">
        <v>0</v>
      </c>
      <c r="N54" s="1736">
        <v>0</v>
      </c>
      <c r="O54" s="1730">
        <f t="shared" si="12"/>
        <v>0</v>
      </c>
    </row>
    <row r="55" spans="1:15" x14ac:dyDescent="0.25">
      <c r="A55" s="1935"/>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35"/>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35" t="s">
        <v>19</v>
      </c>
      <c r="B57" s="1728" t="s">
        <v>32</v>
      </c>
      <c r="C57" s="1729"/>
      <c r="D57" s="1735">
        <v>2</v>
      </c>
      <c r="E57" s="1736">
        <v>0</v>
      </c>
      <c r="F57" s="1736">
        <v>0</v>
      </c>
      <c r="G57" s="1730">
        <f t="shared" si="5"/>
        <v>2</v>
      </c>
      <c r="H57" s="1735">
        <v>2</v>
      </c>
      <c r="I57" s="1736">
        <v>0</v>
      </c>
      <c r="J57" s="1736">
        <v>0</v>
      </c>
      <c r="K57" s="1730">
        <f t="shared" si="11"/>
        <v>2</v>
      </c>
      <c r="L57" s="1735">
        <v>2</v>
      </c>
      <c r="M57" s="1736">
        <v>0</v>
      </c>
      <c r="N57" s="1736">
        <v>0</v>
      </c>
      <c r="O57" s="1730">
        <f t="shared" si="12"/>
        <v>2</v>
      </c>
    </row>
    <row r="58" spans="1:15" x14ac:dyDescent="0.25">
      <c r="A58" s="1935"/>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35"/>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35" t="s">
        <v>20</v>
      </c>
      <c r="B60" s="1728" t="s">
        <v>32</v>
      </c>
      <c r="C60" s="1729"/>
      <c r="D60" s="1735">
        <v>4</v>
      </c>
      <c r="E60" s="1737">
        <f>2*E$3</f>
        <v>0</v>
      </c>
      <c r="F60" s="1725">
        <f>0.5*F$3</f>
        <v>0</v>
      </c>
      <c r="G60" s="1730">
        <f t="shared" si="5"/>
        <v>4</v>
      </c>
      <c r="H60" s="1735">
        <v>4</v>
      </c>
      <c r="I60" s="1737">
        <f>2*I$3</f>
        <v>0</v>
      </c>
      <c r="J60" s="1725">
        <f>0.5*J$3</f>
        <v>0</v>
      </c>
      <c r="K60" s="1730">
        <f t="shared" si="11"/>
        <v>4</v>
      </c>
      <c r="L60" s="1735">
        <v>4</v>
      </c>
      <c r="M60" s="1737">
        <f>2*M$3</f>
        <v>0</v>
      </c>
      <c r="N60" s="1725">
        <f>0.5*N$3</f>
        <v>0</v>
      </c>
      <c r="O60" s="1730">
        <f t="shared" si="12"/>
        <v>4</v>
      </c>
    </row>
    <row r="61" spans="1:15" x14ac:dyDescent="0.25">
      <c r="A61" s="1935"/>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35"/>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35" t="s">
        <v>451</v>
      </c>
      <c r="B63" s="1728" t="s">
        <v>32</v>
      </c>
      <c r="C63" s="1729"/>
      <c r="D63" s="1739">
        <v>0.25</v>
      </c>
      <c r="E63" s="1737">
        <v>0</v>
      </c>
      <c r="F63" s="1738">
        <v>0</v>
      </c>
      <c r="G63" s="1730">
        <f t="shared" si="5"/>
        <v>0.25</v>
      </c>
      <c r="H63" s="1739">
        <v>0.25</v>
      </c>
      <c r="I63" s="1737">
        <v>0</v>
      </c>
      <c r="J63" s="1738">
        <v>0</v>
      </c>
      <c r="K63" s="1730">
        <f t="shared" si="11"/>
        <v>0.25</v>
      </c>
      <c r="L63" s="1739">
        <v>0.25</v>
      </c>
      <c r="M63" s="1737">
        <v>0</v>
      </c>
      <c r="N63" s="1738">
        <v>0</v>
      </c>
      <c r="O63" s="1730">
        <f t="shared" si="12"/>
        <v>0.25</v>
      </c>
    </row>
    <row r="64" spans="1:15" x14ac:dyDescent="0.25">
      <c r="A64" s="1935"/>
      <c r="B64" s="19" t="s">
        <v>33</v>
      </c>
      <c r="C64" s="817"/>
      <c r="D64" s="482" t="s">
        <v>1772</v>
      </c>
      <c r="E64" s="482" t="s">
        <v>1772</v>
      </c>
      <c r="F64" s="482" t="s">
        <v>1772</v>
      </c>
      <c r="G64" s="21">
        <f t="shared" si="5"/>
        <v>0</v>
      </c>
      <c r="H64" s="482" t="s">
        <v>1772</v>
      </c>
      <c r="I64" s="482" t="s">
        <v>1772</v>
      </c>
      <c r="J64" s="482" t="s">
        <v>1772</v>
      </c>
      <c r="K64" s="21">
        <f t="shared" si="11"/>
        <v>0</v>
      </c>
      <c r="L64" s="482" t="s">
        <v>1772</v>
      </c>
      <c r="M64" s="482" t="s">
        <v>1772</v>
      </c>
      <c r="N64" s="482" t="s">
        <v>1772</v>
      </c>
      <c r="O64" s="21">
        <f t="shared" si="12"/>
        <v>0</v>
      </c>
    </row>
    <row r="65" spans="1:15" x14ac:dyDescent="0.25">
      <c r="A65" s="1935"/>
      <c r="B65" s="19" t="s">
        <v>34</v>
      </c>
      <c r="C65" s="817"/>
      <c r="D65" s="482" t="s">
        <v>1772</v>
      </c>
      <c r="E65" s="482" t="s">
        <v>1772</v>
      </c>
      <c r="F65" s="482" t="s">
        <v>1772</v>
      </c>
      <c r="G65" s="21">
        <f t="shared" si="5"/>
        <v>0</v>
      </c>
      <c r="H65" s="482" t="s">
        <v>1772</v>
      </c>
      <c r="I65" s="482" t="s">
        <v>1772</v>
      </c>
      <c r="J65" s="482" t="s">
        <v>1772</v>
      </c>
      <c r="K65" s="21">
        <f t="shared" si="11"/>
        <v>0</v>
      </c>
      <c r="L65" s="482" t="s">
        <v>1772</v>
      </c>
      <c r="M65" s="482" t="s">
        <v>1772</v>
      </c>
      <c r="N65" s="482" t="s">
        <v>1772</v>
      </c>
      <c r="O65" s="21">
        <f t="shared" si="12"/>
        <v>0</v>
      </c>
    </row>
    <row r="66" spans="1:15" x14ac:dyDescent="0.25">
      <c r="A66" s="1935" t="s">
        <v>452</v>
      </c>
      <c r="B66" s="1728" t="s">
        <v>32</v>
      </c>
      <c r="C66" s="1729"/>
      <c r="D66" s="1739">
        <v>0.25</v>
      </c>
      <c r="E66" s="1737">
        <v>0</v>
      </c>
      <c r="F66" s="1738">
        <v>0</v>
      </c>
      <c r="G66" s="1730">
        <f t="shared" si="5"/>
        <v>0.25</v>
      </c>
      <c r="H66" s="1739">
        <v>0.25</v>
      </c>
      <c r="I66" s="1737">
        <v>0</v>
      </c>
      <c r="J66" s="1738">
        <v>0</v>
      </c>
      <c r="K66" s="1730">
        <f t="shared" si="11"/>
        <v>0.25</v>
      </c>
      <c r="L66" s="1739">
        <v>0.25</v>
      </c>
      <c r="M66" s="1737">
        <v>0</v>
      </c>
      <c r="N66" s="1738">
        <v>0</v>
      </c>
      <c r="O66" s="1730">
        <f t="shared" si="12"/>
        <v>0.25</v>
      </c>
    </row>
    <row r="67" spans="1:15" x14ac:dyDescent="0.25">
      <c r="A67" s="1935"/>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35"/>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45" t="s">
        <v>533</v>
      </c>
      <c r="B69" s="1728" t="s">
        <v>32</v>
      </c>
      <c r="C69" s="1729"/>
      <c r="D69" s="1735">
        <f>2+(1.5*D$3)</f>
        <v>2</v>
      </c>
      <c r="E69" s="1725">
        <f>E$3*2</f>
        <v>0</v>
      </c>
      <c r="F69" s="1725">
        <f t="shared" ref="F69:F72" si="13">0.5*F$3</f>
        <v>0</v>
      </c>
      <c r="G69" s="1730">
        <f t="shared" si="5"/>
        <v>2</v>
      </c>
      <c r="H69" s="1735">
        <f>2+(1.5*H$3)</f>
        <v>2</v>
      </c>
      <c r="I69" s="1725">
        <f>I$3*2</f>
        <v>0</v>
      </c>
      <c r="J69" s="1725">
        <f t="shared" ref="J69:J72" si="14">0.5*J$3</f>
        <v>0</v>
      </c>
      <c r="K69" s="1730">
        <f t="shared" si="11"/>
        <v>2</v>
      </c>
      <c r="L69" s="1735">
        <f>2+(1.5*L$3)</f>
        <v>2</v>
      </c>
      <c r="M69" s="1725">
        <f>M$3*2</f>
        <v>0</v>
      </c>
      <c r="N69" s="1725">
        <f t="shared" ref="N69:N72" si="15">0.5*N$3</f>
        <v>0</v>
      </c>
      <c r="O69" s="1730">
        <f t="shared" si="12"/>
        <v>2</v>
      </c>
    </row>
    <row r="70" spans="1:15" x14ac:dyDescent="0.25">
      <c r="A70" s="1945"/>
      <c r="B70" s="19" t="s">
        <v>33</v>
      </c>
      <c r="C70" s="817"/>
      <c r="D70" s="482" t="s">
        <v>1772</v>
      </c>
      <c r="E70" s="482" t="s">
        <v>1772</v>
      </c>
      <c r="F70" s="482" t="s">
        <v>1772</v>
      </c>
      <c r="G70" s="21">
        <f t="shared" si="5"/>
        <v>0</v>
      </c>
      <c r="H70" s="482" t="s">
        <v>1772</v>
      </c>
      <c r="I70" s="482" t="s">
        <v>1772</v>
      </c>
      <c r="J70" s="482" t="s">
        <v>1772</v>
      </c>
      <c r="K70" s="21">
        <f t="shared" si="11"/>
        <v>0</v>
      </c>
      <c r="L70" s="482" t="s">
        <v>1772</v>
      </c>
      <c r="M70" s="482" t="s">
        <v>1772</v>
      </c>
      <c r="N70" s="482" t="s">
        <v>1772</v>
      </c>
      <c r="O70" s="21">
        <f t="shared" si="12"/>
        <v>0</v>
      </c>
    </row>
    <row r="71" spans="1:15" x14ac:dyDescent="0.25">
      <c r="A71" s="1945"/>
      <c r="B71" s="19" t="s">
        <v>34</v>
      </c>
      <c r="C71" s="817"/>
      <c r="D71" s="482" t="s">
        <v>1772</v>
      </c>
      <c r="E71" s="482" t="s">
        <v>1772</v>
      </c>
      <c r="F71" s="482" t="s">
        <v>1772</v>
      </c>
      <c r="G71" s="21">
        <f t="shared" si="5"/>
        <v>0</v>
      </c>
      <c r="H71" s="482" t="s">
        <v>1772</v>
      </c>
      <c r="I71" s="482" t="s">
        <v>1772</v>
      </c>
      <c r="J71" s="482" t="s">
        <v>1772</v>
      </c>
      <c r="K71" s="21">
        <f t="shared" si="11"/>
        <v>0</v>
      </c>
      <c r="L71" s="482" t="s">
        <v>1772</v>
      </c>
      <c r="M71" s="482" t="s">
        <v>1772</v>
      </c>
      <c r="N71" s="482" t="s">
        <v>1772</v>
      </c>
      <c r="O71" s="21">
        <f t="shared" si="12"/>
        <v>0</v>
      </c>
    </row>
    <row r="72" spans="1:15" x14ac:dyDescent="0.25">
      <c r="A72" s="1935" t="s">
        <v>534</v>
      </c>
      <c r="B72" s="1728" t="s">
        <v>32</v>
      </c>
      <c r="C72" s="1729"/>
      <c r="D72" s="1735">
        <f>2+(1.5*D$3)</f>
        <v>2</v>
      </c>
      <c r="E72" s="1725">
        <f>E$3*2</f>
        <v>0</v>
      </c>
      <c r="F72" s="1725">
        <f t="shared" si="13"/>
        <v>0</v>
      </c>
      <c r="G72" s="1730">
        <f t="shared" si="5"/>
        <v>2</v>
      </c>
      <c r="H72" s="1735">
        <f>2+(1.5*H$3)</f>
        <v>2</v>
      </c>
      <c r="I72" s="1725">
        <f>I$3*2</f>
        <v>0</v>
      </c>
      <c r="J72" s="1725">
        <f t="shared" si="14"/>
        <v>0</v>
      </c>
      <c r="K72" s="1730">
        <f t="shared" si="11"/>
        <v>2</v>
      </c>
      <c r="L72" s="1735">
        <f>2+(1.5*L$3)</f>
        <v>2</v>
      </c>
      <c r="M72" s="1725">
        <f>M$3*2</f>
        <v>0</v>
      </c>
      <c r="N72" s="1725">
        <f t="shared" si="15"/>
        <v>0</v>
      </c>
      <c r="O72" s="1730">
        <f t="shared" si="12"/>
        <v>2</v>
      </c>
    </row>
    <row r="73" spans="1:15" x14ac:dyDescent="0.25">
      <c r="A73" s="1935"/>
      <c r="B73" s="19" t="s">
        <v>33</v>
      </c>
      <c r="C73" s="817"/>
      <c r="D73" s="482" t="s">
        <v>1772</v>
      </c>
      <c r="E73" s="482" t="s">
        <v>1772</v>
      </c>
      <c r="F73" s="482" t="s">
        <v>1772</v>
      </c>
      <c r="G73" s="21">
        <f t="shared" si="5"/>
        <v>0</v>
      </c>
      <c r="H73" s="482" t="s">
        <v>1772</v>
      </c>
      <c r="I73" s="482" t="s">
        <v>1772</v>
      </c>
      <c r="J73" s="482" t="s">
        <v>1772</v>
      </c>
      <c r="K73" s="21">
        <f t="shared" si="11"/>
        <v>0</v>
      </c>
      <c r="L73" s="482" t="s">
        <v>1772</v>
      </c>
      <c r="M73" s="482" t="s">
        <v>1772</v>
      </c>
      <c r="N73" s="482" t="s">
        <v>1772</v>
      </c>
      <c r="O73" s="21">
        <f t="shared" si="12"/>
        <v>0</v>
      </c>
    </row>
    <row r="74" spans="1:15" x14ac:dyDescent="0.25">
      <c r="A74" s="1935"/>
      <c r="B74" s="19" t="s">
        <v>34</v>
      </c>
      <c r="C74" s="817"/>
      <c r="D74" s="482" t="s">
        <v>1772</v>
      </c>
      <c r="E74" s="482" t="s">
        <v>1772</v>
      </c>
      <c r="F74" s="482" t="s">
        <v>1772</v>
      </c>
      <c r="G74" s="21">
        <f t="shared" si="5"/>
        <v>0</v>
      </c>
      <c r="H74" s="482" t="s">
        <v>1772</v>
      </c>
      <c r="I74" s="482" t="s">
        <v>1772</v>
      </c>
      <c r="J74" s="482" t="s">
        <v>1772</v>
      </c>
      <c r="K74" s="21">
        <f t="shared" si="11"/>
        <v>0</v>
      </c>
      <c r="L74" s="482" t="s">
        <v>1772</v>
      </c>
      <c r="M74" s="482" t="s">
        <v>1772</v>
      </c>
      <c r="N74" s="482" t="s">
        <v>1772</v>
      </c>
      <c r="O74" s="21">
        <f t="shared" si="12"/>
        <v>0</v>
      </c>
    </row>
    <row r="75" spans="1:15" x14ac:dyDescent="0.25">
      <c r="A75" s="1935" t="s">
        <v>21</v>
      </c>
      <c r="B75" s="1728" t="s">
        <v>32</v>
      </c>
      <c r="C75" s="1729"/>
      <c r="D75" s="1735" t="s">
        <v>90</v>
      </c>
      <c r="E75" s="1735" t="s">
        <v>90</v>
      </c>
      <c r="F75" s="1735" t="s">
        <v>90</v>
      </c>
      <c r="G75" s="1730">
        <f t="shared" si="5"/>
        <v>0</v>
      </c>
      <c r="H75" s="1735" t="s">
        <v>90</v>
      </c>
      <c r="I75" s="1735" t="s">
        <v>90</v>
      </c>
      <c r="J75" s="1735" t="s">
        <v>90</v>
      </c>
      <c r="K75" s="1730">
        <f t="shared" si="11"/>
        <v>0</v>
      </c>
      <c r="L75" s="1735" t="s">
        <v>90</v>
      </c>
      <c r="M75" s="1735" t="s">
        <v>90</v>
      </c>
      <c r="N75" s="1735" t="s">
        <v>90</v>
      </c>
      <c r="O75" s="1730">
        <f t="shared" si="12"/>
        <v>0</v>
      </c>
    </row>
    <row r="76" spans="1:15" x14ac:dyDescent="0.25">
      <c r="A76" s="1935"/>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35"/>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35" t="s">
        <v>181</v>
      </c>
      <c r="B78" s="1728" t="s">
        <v>32</v>
      </c>
      <c r="C78" s="1729"/>
      <c r="D78" s="1735">
        <f t="shared" ref="D78:D84" si="16">0.25*D$3</f>
        <v>0</v>
      </c>
      <c r="E78" s="1736">
        <v>0</v>
      </c>
      <c r="F78" s="1741">
        <v>0</v>
      </c>
      <c r="G78" s="1730">
        <f t="shared" si="5"/>
        <v>0</v>
      </c>
      <c r="H78" s="1735">
        <f t="shared" ref="H78:H84" si="17">0.25*H$3</f>
        <v>0</v>
      </c>
      <c r="I78" s="1736">
        <v>0</v>
      </c>
      <c r="J78" s="1741">
        <v>0</v>
      </c>
      <c r="K78" s="1730">
        <f t="shared" si="11"/>
        <v>0</v>
      </c>
      <c r="L78" s="1735">
        <f t="shared" ref="L78:L84" si="18">0.25*L$3</f>
        <v>0</v>
      </c>
      <c r="M78" s="1736">
        <v>0</v>
      </c>
      <c r="N78" s="1741">
        <v>0</v>
      </c>
      <c r="O78" s="1730">
        <f t="shared" si="12"/>
        <v>0</v>
      </c>
    </row>
    <row r="79" spans="1:15" x14ac:dyDescent="0.25">
      <c r="A79" s="1935"/>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35"/>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35" t="s">
        <v>182</v>
      </c>
      <c r="B81" s="1728" t="s">
        <v>32</v>
      </c>
      <c r="C81" s="1729"/>
      <c r="D81" s="1735">
        <f t="shared" si="16"/>
        <v>0</v>
      </c>
      <c r="E81" s="1736">
        <v>0</v>
      </c>
      <c r="F81" s="1741">
        <v>0</v>
      </c>
      <c r="G81" s="1730">
        <f t="shared" si="5"/>
        <v>0</v>
      </c>
      <c r="H81" s="1735">
        <f t="shared" si="17"/>
        <v>0</v>
      </c>
      <c r="I81" s="1736">
        <v>0</v>
      </c>
      <c r="J81" s="1741">
        <v>0</v>
      </c>
      <c r="K81" s="1730">
        <f t="shared" si="11"/>
        <v>0</v>
      </c>
      <c r="L81" s="1735">
        <f t="shared" si="18"/>
        <v>0</v>
      </c>
      <c r="M81" s="1736">
        <v>0</v>
      </c>
      <c r="N81" s="1741">
        <v>0</v>
      </c>
      <c r="O81" s="1730">
        <f t="shared" si="12"/>
        <v>0</v>
      </c>
    </row>
    <row r="82" spans="1:15" x14ac:dyDescent="0.25">
      <c r="A82" s="1935"/>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35"/>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44" t="s">
        <v>183</v>
      </c>
      <c r="B84" s="1728" t="s">
        <v>32</v>
      </c>
      <c r="C84" s="1729"/>
      <c r="D84" s="1735">
        <f t="shared" si="16"/>
        <v>0</v>
      </c>
      <c r="E84" s="1736">
        <v>0</v>
      </c>
      <c r="F84" s="1741">
        <v>0</v>
      </c>
      <c r="G84" s="1730">
        <f t="shared" si="5"/>
        <v>0</v>
      </c>
      <c r="H84" s="1735">
        <f t="shared" si="17"/>
        <v>0</v>
      </c>
      <c r="I84" s="1736">
        <v>0</v>
      </c>
      <c r="J84" s="1741">
        <v>0</v>
      </c>
      <c r="K84" s="1730">
        <f t="shared" si="11"/>
        <v>0</v>
      </c>
      <c r="L84" s="1735">
        <f t="shared" si="18"/>
        <v>0</v>
      </c>
      <c r="M84" s="1736">
        <v>0</v>
      </c>
      <c r="N84" s="1741">
        <v>0</v>
      </c>
      <c r="O84" s="1730">
        <f t="shared" si="12"/>
        <v>0</v>
      </c>
    </row>
    <row r="85" spans="1:15" x14ac:dyDescent="0.25">
      <c r="A85" s="1944"/>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44"/>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42" t="s">
        <v>23</v>
      </c>
      <c r="B88" s="1723" t="s">
        <v>32</v>
      </c>
      <c r="C88" s="1724"/>
      <c r="D88" s="1732">
        <v>0.25</v>
      </c>
      <c r="E88" s="1733">
        <v>0</v>
      </c>
      <c r="F88" s="1743">
        <v>0</v>
      </c>
      <c r="G88" s="1727">
        <f t="shared" si="5"/>
        <v>0.25</v>
      </c>
      <c r="H88" s="1732">
        <v>0.25</v>
      </c>
      <c r="I88" s="1733">
        <v>0</v>
      </c>
      <c r="J88" s="1743">
        <v>0</v>
      </c>
      <c r="K88" s="1727">
        <f t="shared" ref="K88:K93" si="19" xml:space="preserve"> SUM(H88:J88) + $C88</f>
        <v>0.25</v>
      </c>
      <c r="L88" s="1732">
        <v>0.25</v>
      </c>
      <c r="M88" s="1733">
        <v>0</v>
      </c>
      <c r="N88" s="1743">
        <v>0</v>
      </c>
      <c r="O88" s="1727">
        <f t="shared" ref="O88:O93" si="20" xml:space="preserve"> SUM(L88:N88) + $C88</f>
        <v>0.25</v>
      </c>
    </row>
    <row r="89" spans="1:15" x14ac:dyDescent="0.25">
      <c r="A89" s="1942"/>
      <c r="B89" s="19" t="s">
        <v>33</v>
      </c>
      <c r="C89" s="22"/>
      <c r="D89" s="482" t="s">
        <v>1772</v>
      </c>
      <c r="E89" s="482" t="s">
        <v>1772</v>
      </c>
      <c r="F89" s="482" t="s">
        <v>1772</v>
      </c>
      <c r="G89" s="21">
        <f t="shared" si="5"/>
        <v>0</v>
      </c>
      <c r="H89" s="482" t="s">
        <v>1772</v>
      </c>
      <c r="I89" s="482" t="s">
        <v>1772</v>
      </c>
      <c r="J89" s="482" t="s">
        <v>1772</v>
      </c>
      <c r="K89" s="21">
        <f t="shared" si="19"/>
        <v>0</v>
      </c>
      <c r="L89" s="482" t="s">
        <v>1772</v>
      </c>
      <c r="M89" s="482" t="s">
        <v>1772</v>
      </c>
      <c r="N89" s="482" t="s">
        <v>1772</v>
      </c>
      <c r="O89" s="21">
        <f t="shared" si="20"/>
        <v>0</v>
      </c>
    </row>
    <row r="90" spans="1:15" x14ac:dyDescent="0.25">
      <c r="A90" s="1942"/>
      <c r="B90" s="19" t="s">
        <v>34</v>
      </c>
      <c r="C90" s="22"/>
      <c r="D90" s="482" t="s">
        <v>1772</v>
      </c>
      <c r="E90" s="482" t="s">
        <v>1772</v>
      </c>
      <c r="F90" s="482" t="s">
        <v>1772</v>
      </c>
      <c r="G90" s="21">
        <f t="shared" si="5"/>
        <v>0</v>
      </c>
      <c r="H90" s="482" t="s">
        <v>1772</v>
      </c>
      <c r="I90" s="482" t="s">
        <v>1772</v>
      </c>
      <c r="J90" s="482" t="s">
        <v>1772</v>
      </c>
      <c r="K90" s="21">
        <f t="shared" si="19"/>
        <v>0</v>
      </c>
      <c r="L90" s="482" t="s">
        <v>1772</v>
      </c>
      <c r="M90" s="482" t="s">
        <v>1772</v>
      </c>
      <c r="N90" s="482" t="s">
        <v>1772</v>
      </c>
      <c r="O90" s="21">
        <f t="shared" si="20"/>
        <v>0</v>
      </c>
    </row>
    <row r="91" spans="1:15" x14ac:dyDescent="0.25">
      <c r="A91" s="1935" t="s">
        <v>24</v>
      </c>
      <c r="B91" s="1728" t="s">
        <v>32</v>
      </c>
      <c r="C91" s="1729"/>
      <c r="D91" s="1735">
        <v>6</v>
      </c>
      <c r="E91" s="1737">
        <f>1*E$3</f>
        <v>0</v>
      </c>
      <c r="F91" s="1744">
        <f>0.5*F$3</f>
        <v>0</v>
      </c>
      <c r="G91" s="1730">
        <f t="shared" si="5"/>
        <v>6</v>
      </c>
      <c r="H91" s="1735">
        <v>6</v>
      </c>
      <c r="I91" s="1737">
        <f>1*I$3</f>
        <v>0</v>
      </c>
      <c r="J91" s="1744">
        <f>0.5*J$3</f>
        <v>0</v>
      </c>
      <c r="K91" s="1730">
        <f t="shared" si="19"/>
        <v>6</v>
      </c>
      <c r="L91" s="1735">
        <v>6</v>
      </c>
      <c r="M91" s="1737">
        <f>1*M$3</f>
        <v>0</v>
      </c>
      <c r="N91" s="1744">
        <f>0.5*N$3</f>
        <v>0</v>
      </c>
      <c r="O91" s="1730">
        <f t="shared" si="20"/>
        <v>6</v>
      </c>
    </row>
    <row r="92" spans="1:15" x14ac:dyDescent="0.25">
      <c r="A92" s="1935"/>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35"/>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35" t="s">
        <v>25</v>
      </c>
      <c r="B94" s="1728" t="s">
        <v>32</v>
      </c>
      <c r="C94" s="1729"/>
      <c r="D94" s="1735">
        <v>2</v>
      </c>
      <c r="E94" s="1738">
        <v>0</v>
      </c>
      <c r="F94" s="1741">
        <v>0</v>
      </c>
      <c r="G94" s="1730">
        <f t="shared" ref="G94:G105" si="21" xml:space="preserve"> SUM(D94:F94) + $C94</f>
        <v>2</v>
      </c>
      <c r="H94" s="1735">
        <v>2</v>
      </c>
      <c r="I94" s="1738">
        <v>0</v>
      </c>
      <c r="J94" s="1741">
        <v>0</v>
      </c>
      <c r="K94" s="1730">
        <f t="shared" ref="K94:K105" si="22" xml:space="preserve"> SUM(H94:J94) + $C94</f>
        <v>2</v>
      </c>
      <c r="L94" s="1735">
        <v>2</v>
      </c>
      <c r="M94" s="1738">
        <v>0</v>
      </c>
      <c r="N94" s="1741">
        <v>0</v>
      </c>
      <c r="O94" s="1730">
        <f t="shared" ref="O94:O105" si="23" xml:space="preserve"> SUM(L94:N94) + $C94</f>
        <v>2</v>
      </c>
    </row>
    <row r="95" spans="1:15" x14ac:dyDescent="0.25">
      <c r="A95" s="1935"/>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35"/>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35" t="s">
        <v>26</v>
      </c>
      <c r="B97" s="1728" t="s">
        <v>32</v>
      </c>
      <c r="C97" s="1729"/>
      <c r="D97" s="1735">
        <v>12</v>
      </c>
      <c r="E97" s="1725">
        <f>E$3*2</f>
        <v>0</v>
      </c>
      <c r="F97" s="1745">
        <f>1*F$3</f>
        <v>0</v>
      </c>
      <c r="G97" s="1730">
        <f t="shared" si="21"/>
        <v>12</v>
      </c>
      <c r="H97" s="1735">
        <v>12</v>
      </c>
      <c r="I97" s="1725">
        <f>I$3*2</f>
        <v>0</v>
      </c>
      <c r="J97" s="1745">
        <f>1*J$3</f>
        <v>0</v>
      </c>
      <c r="K97" s="1730">
        <f t="shared" si="22"/>
        <v>12</v>
      </c>
      <c r="L97" s="1735">
        <v>12</v>
      </c>
      <c r="M97" s="1725">
        <f>M$3*2</f>
        <v>0</v>
      </c>
      <c r="N97" s="1745">
        <f>1*N$3</f>
        <v>0</v>
      </c>
      <c r="O97" s="1730">
        <f t="shared" si="23"/>
        <v>12</v>
      </c>
    </row>
    <row r="98" spans="1:15" x14ac:dyDescent="0.25">
      <c r="A98" s="1935"/>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35"/>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35" t="s">
        <v>27</v>
      </c>
      <c r="B100" s="1728" t="s">
        <v>32</v>
      </c>
      <c r="C100" s="1729"/>
      <c r="D100" s="1735">
        <v>6</v>
      </c>
      <c r="E100" s="1725">
        <f>E$3*2</f>
        <v>0</v>
      </c>
      <c r="F100" s="1745">
        <f>1*F$3</f>
        <v>0</v>
      </c>
      <c r="G100" s="1730">
        <f t="shared" si="21"/>
        <v>6</v>
      </c>
      <c r="H100" s="1735">
        <v>6</v>
      </c>
      <c r="I100" s="1725">
        <f>I$3*2</f>
        <v>0</v>
      </c>
      <c r="J100" s="1745">
        <f>1*J$3</f>
        <v>0</v>
      </c>
      <c r="K100" s="1730">
        <f t="shared" si="22"/>
        <v>6</v>
      </c>
      <c r="L100" s="1735">
        <v>6</v>
      </c>
      <c r="M100" s="1725">
        <f>M$3*2</f>
        <v>0</v>
      </c>
      <c r="N100" s="1745">
        <f>1*N$3</f>
        <v>0</v>
      </c>
      <c r="O100" s="1730">
        <f t="shared" si="23"/>
        <v>6</v>
      </c>
    </row>
    <row r="101" spans="1:15" x14ac:dyDescent="0.25">
      <c r="A101" s="1935"/>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35"/>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42" t="s">
        <v>28</v>
      </c>
      <c r="B103" s="1728" t="s">
        <v>32</v>
      </c>
      <c r="C103" s="1729"/>
      <c r="D103" s="1735">
        <v>2</v>
      </c>
      <c r="E103" s="1746">
        <f t="shared" ref="E103:F103" si="24">0.5*E$3</f>
        <v>0</v>
      </c>
      <c r="F103" s="1747">
        <f t="shared" si="24"/>
        <v>0</v>
      </c>
      <c r="G103" s="1730">
        <f t="shared" si="21"/>
        <v>2</v>
      </c>
      <c r="H103" s="1735">
        <v>2</v>
      </c>
      <c r="I103" s="1746">
        <f t="shared" ref="I103:J103" si="25">0.5*I$3</f>
        <v>0</v>
      </c>
      <c r="J103" s="1747">
        <f t="shared" si="25"/>
        <v>0</v>
      </c>
      <c r="K103" s="1730">
        <f t="shared" si="22"/>
        <v>2</v>
      </c>
      <c r="L103" s="1735">
        <v>2</v>
      </c>
      <c r="M103" s="1746">
        <f t="shared" ref="M103:N103" si="26">0.5*M$3</f>
        <v>0</v>
      </c>
      <c r="N103" s="1747">
        <f t="shared" si="26"/>
        <v>0</v>
      </c>
      <c r="O103" s="1730">
        <f t="shared" si="23"/>
        <v>2</v>
      </c>
    </row>
    <row r="104" spans="1:15" x14ac:dyDescent="0.25">
      <c r="A104" s="1942"/>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43"/>
      <c r="B105" s="20" t="s">
        <v>34</v>
      </c>
      <c r="C105" s="23"/>
      <c r="D105" s="507">
        <v>4</v>
      </c>
      <c r="E105" s="491">
        <v>0</v>
      </c>
      <c r="F105" s="1695">
        <f>IF(F$3=1,16,0)</f>
        <v>0</v>
      </c>
      <c r="G105" s="24">
        <f t="shared" si="21"/>
        <v>4</v>
      </c>
      <c r="H105" s="507">
        <v>4</v>
      </c>
      <c r="I105" s="491">
        <v>0</v>
      </c>
      <c r="J105" s="1695">
        <f>IF(J$3=1,16,0)</f>
        <v>0</v>
      </c>
      <c r="K105" s="24">
        <f t="shared" si="22"/>
        <v>4</v>
      </c>
      <c r="L105" s="507">
        <v>4</v>
      </c>
      <c r="M105" s="491">
        <v>0</v>
      </c>
      <c r="N105" s="1695">
        <f>IF(N$3=1,16,0)</f>
        <v>0</v>
      </c>
      <c r="O105" s="24">
        <f t="shared" si="23"/>
        <v>4</v>
      </c>
    </row>
    <row r="107" spans="1:15" ht="15.75" x14ac:dyDescent="0.25">
      <c r="A107" s="1691" t="s">
        <v>1706</v>
      </c>
      <c r="B107" s="1691" t="s">
        <v>1707</v>
      </c>
      <c r="C107" s="1748"/>
      <c r="D107" s="1696"/>
      <c r="E107" s="1748" t="s">
        <v>1708</v>
      </c>
      <c r="F107" s="1748"/>
    </row>
    <row r="108" spans="1:15" ht="120" x14ac:dyDescent="0.25">
      <c r="A108" s="1784" t="s">
        <v>1840</v>
      </c>
      <c r="B108" s="1784" t="s">
        <v>1841</v>
      </c>
      <c r="C108" s="1748"/>
      <c r="D108" s="1748"/>
      <c r="E108" s="1748"/>
      <c r="F108" s="1748"/>
    </row>
    <row r="109" spans="1:15" ht="90" x14ac:dyDescent="0.25">
      <c r="A109" s="1784" t="s">
        <v>1842</v>
      </c>
      <c r="B109" s="1784" t="s">
        <v>1843</v>
      </c>
      <c r="C109" s="1748"/>
      <c r="D109" s="1748"/>
      <c r="E109" s="1748"/>
      <c r="F109" s="1748"/>
    </row>
    <row r="110" spans="1:15" ht="60" x14ac:dyDescent="0.25">
      <c r="A110" s="1692" t="s">
        <v>1839</v>
      </c>
      <c r="B110" s="1692" t="s">
        <v>1820</v>
      </c>
      <c r="C110" s="1748"/>
      <c r="D110" s="1748"/>
      <c r="E110" s="1748"/>
      <c r="F110" s="1748"/>
    </row>
    <row r="111" spans="1:15" x14ac:dyDescent="0.25">
      <c r="A111" s="1748"/>
      <c r="B111" s="1748"/>
      <c r="C111" s="1748"/>
      <c r="D111" s="1748"/>
      <c r="E111" s="1748"/>
      <c r="F111" s="1748"/>
    </row>
    <row r="112" spans="1:15" x14ac:dyDescent="0.25">
      <c r="A112" s="1693" t="s">
        <v>89</v>
      </c>
      <c r="B112" s="1748"/>
      <c r="C112" s="1748"/>
      <c r="D112" s="1748"/>
      <c r="E112" s="1748"/>
      <c r="F112" s="1748"/>
    </row>
    <row r="113" spans="1:6" ht="15.75" x14ac:dyDescent="0.25">
      <c r="A113" s="1946" t="str">
        <f>A5</f>
        <v>ТЗ</v>
      </c>
      <c r="B113" s="1947"/>
      <c r="C113" s="1748"/>
      <c r="D113" s="1694" t="s">
        <v>66</v>
      </c>
      <c r="E113" s="1694" t="s">
        <v>65</v>
      </c>
      <c r="F113" s="1694" t="s">
        <v>64</v>
      </c>
    </row>
    <row r="114" spans="1:6" x14ac:dyDescent="0.25">
      <c r="A114" s="132" t="s">
        <v>1711</v>
      </c>
      <c r="B114" s="905" t="s">
        <v>33</v>
      </c>
      <c r="C114" s="1748"/>
      <c r="D114" s="658"/>
      <c r="E114" s="658"/>
      <c r="F114" s="658" t="s">
        <v>1778</v>
      </c>
    </row>
    <row r="115" spans="1:6" x14ac:dyDescent="0.25">
      <c r="A115" s="132" t="s">
        <v>1712</v>
      </c>
      <c r="B115" s="905" t="s">
        <v>34</v>
      </c>
      <c r="C115" s="1748"/>
      <c r="D115" s="658"/>
      <c r="E115" s="658"/>
      <c r="F115" s="658" t="s">
        <v>1844</v>
      </c>
    </row>
    <row r="116" spans="1:6" ht="15.75" x14ac:dyDescent="0.25">
      <c r="A116" s="1946" t="str">
        <f>A8</f>
        <v>ФТТ</v>
      </c>
      <c r="B116" s="1947"/>
      <c r="C116" s="1748"/>
      <c r="D116" s="1694" t="s">
        <v>66</v>
      </c>
      <c r="E116" s="1694" t="s">
        <v>65</v>
      </c>
      <c r="F116" s="1694" t="s">
        <v>64</v>
      </c>
    </row>
    <row r="117" spans="1:6" x14ac:dyDescent="0.25">
      <c r="A117" s="132" t="s">
        <v>1713</v>
      </c>
      <c r="B117" s="905" t="s">
        <v>33</v>
      </c>
      <c r="C117" s="1748"/>
      <c r="D117" s="658"/>
      <c r="E117" s="658"/>
      <c r="F117" s="658" t="s">
        <v>1778</v>
      </c>
    </row>
    <row r="118" spans="1:6" x14ac:dyDescent="0.25">
      <c r="A118" s="132" t="s">
        <v>1714</v>
      </c>
      <c r="B118" s="905" t="s">
        <v>34</v>
      </c>
      <c r="C118" s="1748"/>
      <c r="D118" s="658"/>
      <c r="E118" s="658"/>
      <c r="F118" s="658" t="s">
        <v>1844</v>
      </c>
    </row>
    <row r="119" spans="1:6" ht="15.75" x14ac:dyDescent="0.25">
      <c r="A119" s="1946" t="str">
        <f>A12</f>
        <v>Пояснительная записка к эскизному проекту</v>
      </c>
      <c r="B119" s="1947"/>
      <c r="C119" s="1748"/>
      <c r="D119" s="1694" t="s">
        <v>66</v>
      </c>
      <c r="E119" s="1694" t="s">
        <v>65</v>
      </c>
      <c r="F119" s="1694" t="s">
        <v>64</v>
      </c>
    </row>
    <row r="120" spans="1:6" x14ac:dyDescent="0.25">
      <c r="A120" s="132" t="s">
        <v>1715</v>
      </c>
      <c r="B120" s="905" t="s">
        <v>33</v>
      </c>
      <c r="C120" s="1748"/>
      <c r="D120" s="658" t="s">
        <v>1846</v>
      </c>
      <c r="E120" s="658"/>
      <c r="F120" s="658" t="s">
        <v>1814</v>
      </c>
    </row>
    <row r="121" spans="1:6" x14ac:dyDescent="0.25">
      <c r="A121" s="132" t="s">
        <v>1716</v>
      </c>
      <c r="B121" s="905" t="s">
        <v>34</v>
      </c>
      <c r="C121" s="1748"/>
      <c r="D121" s="658" t="s">
        <v>1847</v>
      </c>
      <c r="E121" s="658"/>
      <c r="F121" s="658" t="s">
        <v>1845</v>
      </c>
    </row>
    <row r="122" spans="1:6" ht="15.75" x14ac:dyDescent="0.25">
      <c r="A122" s="1946" t="str">
        <f>A19</f>
        <v xml:space="preserve">Ведомость покупных изделий </v>
      </c>
      <c r="B122" s="1947"/>
      <c r="C122" s="1748"/>
      <c r="D122" s="1694" t="s">
        <v>66</v>
      </c>
      <c r="E122" s="1694" t="s">
        <v>65</v>
      </c>
      <c r="F122" s="1694" t="s">
        <v>64</v>
      </c>
    </row>
    <row r="123" spans="1:6" x14ac:dyDescent="0.25">
      <c r="A123" s="132" t="s">
        <v>1717</v>
      </c>
      <c r="B123" s="905" t="s">
        <v>33</v>
      </c>
      <c r="C123" s="1748"/>
      <c r="D123" s="658" t="s">
        <v>1848</v>
      </c>
      <c r="E123" s="658"/>
      <c r="F123" s="658"/>
    </row>
    <row r="124" spans="1:6" x14ac:dyDescent="0.25">
      <c r="A124" s="132" t="s">
        <v>1718</v>
      </c>
      <c r="B124" s="905" t="s">
        <v>34</v>
      </c>
      <c r="C124" s="1748"/>
      <c r="D124" s="658" t="s">
        <v>1848</v>
      </c>
      <c r="E124" s="658"/>
      <c r="F124" s="658"/>
    </row>
    <row r="125" spans="1:6" ht="15.75" x14ac:dyDescent="0.25">
      <c r="A125" s="1946" t="str">
        <f>A22</f>
        <v xml:space="preserve">Пояснительная записка к техническому проекту </v>
      </c>
      <c r="B125" s="1947"/>
      <c r="C125" s="1748"/>
      <c r="D125" s="1694" t="s">
        <v>66</v>
      </c>
      <c r="E125" s="1694" t="s">
        <v>65</v>
      </c>
      <c r="F125" s="1694" t="s">
        <v>64</v>
      </c>
    </row>
    <row r="126" spans="1:6" x14ac:dyDescent="0.25">
      <c r="A126" s="132" t="s">
        <v>1719</v>
      </c>
      <c r="B126" s="905" t="s">
        <v>33</v>
      </c>
      <c r="C126" s="1748"/>
      <c r="D126" s="658" t="s">
        <v>1846</v>
      </c>
      <c r="E126" s="658"/>
      <c r="F126" s="658" t="s">
        <v>1814</v>
      </c>
    </row>
    <row r="127" spans="1:6" x14ac:dyDescent="0.25">
      <c r="A127" s="132" t="s">
        <v>1720</v>
      </c>
      <c r="B127" s="905" t="s">
        <v>34</v>
      </c>
      <c r="C127" s="1748"/>
      <c r="D127" s="658" t="s">
        <v>1847</v>
      </c>
      <c r="E127" s="658"/>
      <c r="F127" s="658" t="s">
        <v>1845</v>
      </c>
    </row>
    <row r="128" spans="1:6" ht="15.75" x14ac:dyDescent="0.25">
      <c r="A128" s="1946" t="str">
        <f>A25</f>
        <v xml:space="preserve">Описание комплекса технических средств </v>
      </c>
      <c r="B128" s="1947"/>
      <c r="C128" s="1748"/>
      <c r="D128" s="1694" t="s">
        <v>66</v>
      </c>
      <c r="E128" s="1694" t="s">
        <v>65</v>
      </c>
      <c r="F128" s="1694" t="s">
        <v>64</v>
      </c>
    </row>
    <row r="129" spans="1:6" x14ac:dyDescent="0.25">
      <c r="A129" s="132" t="s">
        <v>1721</v>
      </c>
      <c r="B129" s="905" t="s">
        <v>33</v>
      </c>
      <c r="C129" s="1748"/>
      <c r="D129" s="658"/>
      <c r="E129" s="658"/>
      <c r="F129" s="658" t="s">
        <v>1789</v>
      </c>
    </row>
    <row r="130" spans="1:6" x14ac:dyDescent="0.25">
      <c r="A130" s="132" t="s">
        <v>1722</v>
      </c>
      <c r="B130" s="905" t="s">
        <v>34</v>
      </c>
      <c r="C130" s="1748"/>
      <c r="D130" s="658"/>
      <c r="E130" s="658"/>
      <c r="F130" s="658" t="s">
        <v>1790</v>
      </c>
    </row>
    <row r="131" spans="1:6" ht="15.75" x14ac:dyDescent="0.25">
      <c r="A131" s="1946" t="str">
        <f>A28</f>
        <v xml:space="preserve">Описание программного обеспечения </v>
      </c>
      <c r="B131" s="1947"/>
      <c r="C131" s="1748"/>
      <c r="D131" s="1694" t="s">
        <v>66</v>
      </c>
      <c r="E131" s="1694" t="s">
        <v>65</v>
      </c>
      <c r="F131" s="1694" t="s">
        <v>64</v>
      </c>
    </row>
    <row r="132" spans="1:6" x14ac:dyDescent="0.25">
      <c r="A132" s="132" t="s">
        <v>1723</v>
      </c>
      <c r="B132" s="905" t="s">
        <v>33</v>
      </c>
      <c r="C132" s="1748"/>
      <c r="D132" s="658"/>
      <c r="E132" s="658"/>
      <c r="F132" s="658" t="s">
        <v>1791</v>
      </c>
    </row>
    <row r="133" spans="1:6" x14ac:dyDescent="0.25">
      <c r="A133" s="132" t="s">
        <v>1724</v>
      </c>
      <c r="B133" s="905" t="s">
        <v>34</v>
      </c>
      <c r="C133" s="1748"/>
      <c r="D133" s="658"/>
      <c r="E133" s="658"/>
      <c r="F133" s="658" t="s">
        <v>1792</v>
      </c>
    </row>
    <row r="134" spans="1:6" ht="15.75" x14ac:dyDescent="0.25">
      <c r="A134" s="1946" t="str">
        <f>A31</f>
        <v>Схема структурная</v>
      </c>
      <c r="B134" s="1947"/>
      <c r="C134" s="1748"/>
      <c r="D134" s="1694" t="s">
        <v>66</v>
      </c>
      <c r="E134" s="1694" t="s">
        <v>65</v>
      </c>
      <c r="F134" s="1694" t="s">
        <v>64</v>
      </c>
    </row>
    <row r="135" spans="1:6" x14ac:dyDescent="0.25">
      <c r="A135" s="132" t="s">
        <v>1725</v>
      </c>
      <c r="B135" s="905" t="s">
        <v>33</v>
      </c>
      <c r="C135" s="1748"/>
      <c r="D135" s="658"/>
      <c r="E135" s="658" t="s">
        <v>1849</v>
      </c>
      <c r="F135" s="658" t="s">
        <v>1808</v>
      </c>
    </row>
    <row r="136" spans="1:6" x14ac:dyDescent="0.25">
      <c r="A136" s="132" t="s">
        <v>1726</v>
      </c>
      <c r="B136" s="905" t="s">
        <v>34</v>
      </c>
      <c r="C136" s="1748"/>
      <c r="D136" s="658"/>
      <c r="E136" s="658" t="s">
        <v>1849</v>
      </c>
      <c r="F136" s="658" t="s">
        <v>1811</v>
      </c>
    </row>
    <row r="137" spans="1:6" ht="15.75" x14ac:dyDescent="0.25">
      <c r="A137" s="1946" t="str">
        <f>A34</f>
        <v>Схема функциональная</v>
      </c>
      <c r="B137" s="1947"/>
      <c r="C137" s="1748"/>
      <c r="D137" s="1694" t="s">
        <v>66</v>
      </c>
      <c r="E137" s="1694" t="s">
        <v>65</v>
      </c>
      <c r="F137" s="1694" t="s">
        <v>64</v>
      </c>
    </row>
    <row r="138" spans="1:6" x14ac:dyDescent="0.25">
      <c r="A138" s="132" t="s">
        <v>1727</v>
      </c>
      <c r="B138" s="905" t="s">
        <v>33</v>
      </c>
      <c r="C138" s="1748"/>
      <c r="D138" s="658" t="s">
        <v>1849</v>
      </c>
      <c r="E138" s="658"/>
      <c r="F138" s="658" t="s">
        <v>1808</v>
      </c>
    </row>
    <row r="139" spans="1:6" x14ac:dyDescent="0.25">
      <c r="A139" s="132" t="s">
        <v>1728</v>
      </c>
      <c r="B139" s="905" t="s">
        <v>34</v>
      </c>
      <c r="C139" s="1748"/>
      <c r="D139" s="658" t="s">
        <v>1849</v>
      </c>
      <c r="E139" s="658"/>
      <c r="F139" s="658" t="s">
        <v>1811</v>
      </c>
    </row>
    <row r="140" spans="1:6" ht="15.75" x14ac:dyDescent="0.25">
      <c r="A140" s="1946" t="str">
        <f>A38</f>
        <v xml:space="preserve">Пояснительная записка к технорабочему проекту </v>
      </c>
      <c r="B140" s="1947"/>
      <c r="C140" s="1748"/>
      <c r="D140" s="1694" t="s">
        <v>66</v>
      </c>
      <c r="E140" s="1694" t="s">
        <v>65</v>
      </c>
      <c r="F140" s="1694" t="s">
        <v>64</v>
      </c>
    </row>
    <row r="141" spans="1:6" x14ac:dyDescent="0.25">
      <c r="A141" s="132" t="s">
        <v>1729</v>
      </c>
      <c r="B141" s="905" t="s">
        <v>33</v>
      </c>
      <c r="C141" s="1748"/>
      <c r="D141" s="658"/>
      <c r="E141" s="658"/>
      <c r="F141" s="658" t="s">
        <v>1814</v>
      </c>
    </row>
    <row r="142" spans="1:6" x14ac:dyDescent="0.25">
      <c r="A142" s="132" t="s">
        <v>1730</v>
      </c>
      <c r="B142" s="905" t="s">
        <v>34</v>
      </c>
      <c r="C142" s="1748"/>
      <c r="D142" s="658"/>
      <c r="E142" s="658"/>
      <c r="F142" s="658" t="s">
        <v>1824</v>
      </c>
    </row>
    <row r="143" spans="1:6" ht="15.75" x14ac:dyDescent="0.25">
      <c r="A143" s="1946" t="str">
        <f>A42</f>
        <v xml:space="preserve">Спецификация оборудования </v>
      </c>
      <c r="B143" s="1947"/>
      <c r="C143" s="1748"/>
      <c r="D143" s="1694" t="s">
        <v>66</v>
      </c>
      <c r="E143" s="1694" t="s">
        <v>65</v>
      </c>
      <c r="F143" s="1694" t="s">
        <v>64</v>
      </c>
    </row>
    <row r="144" spans="1:6" x14ac:dyDescent="0.25">
      <c r="A144" s="132" t="s">
        <v>1731</v>
      </c>
      <c r="B144" s="905" t="s">
        <v>33</v>
      </c>
      <c r="C144" s="1748"/>
      <c r="D144" s="658" t="s">
        <v>1848</v>
      </c>
      <c r="E144" s="658"/>
      <c r="F144" s="658"/>
    </row>
    <row r="145" spans="1:6" x14ac:dyDescent="0.25">
      <c r="A145" s="132" t="s">
        <v>1732</v>
      </c>
      <c r="B145" s="905" t="s">
        <v>34</v>
      </c>
      <c r="C145" s="1748"/>
      <c r="D145" s="658" t="s">
        <v>1848</v>
      </c>
      <c r="E145" s="658"/>
      <c r="F145" s="658"/>
    </row>
    <row r="146" spans="1:6" ht="15.75" x14ac:dyDescent="0.25">
      <c r="A146" s="1946" t="str">
        <f>A45</f>
        <v>Инструкция по установке и настройке</v>
      </c>
      <c r="B146" s="1947"/>
      <c r="C146" s="1748"/>
      <c r="D146" s="1694" t="s">
        <v>66</v>
      </c>
      <c r="E146" s="1694" t="s">
        <v>65</v>
      </c>
      <c r="F146" s="1694" t="s">
        <v>64</v>
      </c>
    </row>
    <row r="147" spans="1:6" x14ac:dyDescent="0.25">
      <c r="A147" s="132" t="s">
        <v>1733</v>
      </c>
      <c r="B147" s="905" t="s">
        <v>33</v>
      </c>
      <c r="C147" s="1748"/>
      <c r="D147" s="658"/>
      <c r="E147" s="658" t="s">
        <v>1798</v>
      </c>
      <c r="F147" s="658" t="s">
        <v>1811</v>
      </c>
    </row>
    <row r="148" spans="1:6" x14ac:dyDescent="0.25">
      <c r="A148" s="132" t="s">
        <v>1734</v>
      </c>
      <c r="B148" s="905" t="s">
        <v>34</v>
      </c>
      <c r="C148" s="1748"/>
      <c r="D148" s="658"/>
      <c r="E148" s="658" t="s">
        <v>1798</v>
      </c>
      <c r="F148" s="658" t="s">
        <v>1811</v>
      </c>
    </row>
    <row r="149" spans="1:6" ht="15.75" x14ac:dyDescent="0.25">
      <c r="A149" s="1946" t="str">
        <f>A48</f>
        <v xml:space="preserve">Схема соединений внешних проводок </v>
      </c>
      <c r="B149" s="1947"/>
      <c r="C149" s="1748"/>
      <c r="D149" s="1694" t="s">
        <v>66</v>
      </c>
      <c r="E149" s="1694" t="s">
        <v>65</v>
      </c>
      <c r="F149" s="1694" t="s">
        <v>64</v>
      </c>
    </row>
    <row r="150" spans="1:6" x14ac:dyDescent="0.25">
      <c r="A150" s="132" t="s">
        <v>1735</v>
      </c>
      <c r="B150" s="905" t="s">
        <v>33</v>
      </c>
      <c r="C150" s="1748"/>
      <c r="D150" s="658"/>
      <c r="E150" s="658" t="s">
        <v>1849</v>
      </c>
      <c r="F150" s="658" t="s">
        <v>1803</v>
      </c>
    </row>
    <row r="151" spans="1:6" x14ac:dyDescent="0.25">
      <c r="A151" s="132" t="s">
        <v>1736</v>
      </c>
      <c r="B151" s="905" t="s">
        <v>34</v>
      </c>
      <c r="C151" s="1748"/>
      <c r="D151" s="658"/>
      <c r="E151" s="658" t="s">
        <v>1849</v>
      </c>
      <c r="F151" s="658" t="s">
        <v>1803</v>
      </c>
    </row>
    <row r="152" spans="1:6" ht="15.75" x14ac:dyDescent="0.25">
      <c r="A152" s="1946" t="str">
        <f>A51</f>
        <v xml:space="preserve">Таблица соединений и подключений </v>
      </c>
      <c r="B152" s="1947"/>
      <c r="C152" s="1748"/>
      <c r="D152" s="1694" t="s">
        <v>66</v>
      </c>
      <c r="E152" s="1694" t="s">
        <v>65</v>
      </c>
      <c r="F152" s="1694" t="s">
        <v>64</v>
      </c>
    </row>
    <row r="153" spans="1:6" x14ac:dyDescent="0.25">
      <c r="A153" s="132" t="s">
        <v>1737</v>
      </c>
      <c r="B153" s="905" t="s">
        <v>33</v>
      </c>
      <c r="C153" s="1748"/>
      <c r="D153" s="658"/>
      <c r="E153" s="658" t="s">
        <v>1849</v>
      </c>
      <c r="F153" s="658" t="s">
        <v>1803</v>
      </c>
    </row>
    <row r="154" spans="1:6" x14ac:dyDescent="0.25">
      <c r="A154" s="132" t="s">
        <v>1738</v>
      </c>
      <c r="B154" s="905" t="s">
        <v>34</v>
      </c>
      <c r="C154" s="1748"/>
      <c r="D154" s="658"/>
      <c r="E154" s="658" t="s">
        <v>1849</v>
      </c>
      <c r="F154" s="658" t="s">
        <v>1803</v>
      </c>
    </row>
    <row r="155" spans="1:6" ht="15.75" x14ac:dyDescent="0.25">
      <c r="A155" s="1946" t="str">
        <f>A54</f>
        <v xml:space="preserve">План расположения </v>
      </c>
      <c r="B155" s="1947"/>
      <c r="C155" s="1748"/>
      <c r="D155" s="1694" t="s">
        <v>66</v>
      </c>
      <c r="E155" s="1694" t="s">
        <v>65</v>
      </c>
      <c r="F155" s="1694" t="s">
        <v>64</v>
      </c>
    </row>
    <row r="156" spans="1:6" x14ac:dyDescent="0.25">
      <c r="A156" s="132" t="s">
        <v>1739</v>
      </c>
      <c r="B156" s="905" t="s">
        <v>33</v>
      </c>
      <c r="C156" s="1748"/>
      <c r="D156" s="658" t="s">
        <v>1849</v>
      </c>
      <c r="E156" s="658" t="s">
        <v>1849</v>
      </c>
      <c r="F156" s="658" t="s">
        <v>1803</v>
      </c>
    </row>
    <row r="157" spans="1:6" x14ac:dyDescent="0.25">
      <c r="A157" s="132" t="s">
        <v>1740</v>
      </c>
      <c r="B157" s="905" t="s">
        <v>34</v>
      </c>
      <c r="C157" s="1748"/>
      <c r="D157" s="658" t="s">
        <v>1849</v>
      </c>
      <c r="E157" s="658" t="s">
        <v>1849</v>
      </c>
      <c r="F157" s="658" t="s">
        <v>1803</v>
      </c>
    </row>
    <row r="158" spans="1:6" ht="15.75" x14ac:dyDescent="0.25">
      <c r="A158" s="1946" t="str">
        <f>A57</f>
        <v>Паспорт</v>
      </c>
      <c r="B158" s="1947"/>
      <c r="C158" s="1748"/>
      <c r="D158" s="1694" t="s">
        <v>66</v>
      </c>
      <c r="E158" s="1694" t="s">
        <v>65</v>
      </c>
      <c r="F158" s="1694" t="s">
        <v>64</v>
      </c>
    </row>
    <row r="159" spans="1:6" x14ac:dyDescent="0.25">
      <c r="A159" s="132" t="s">
        <v>1748</v>
      </c>
      <c r="B159" s="905" t="s">
        <v>33</v>
      </c>
      <c r="C159" s="1748"/>
      <c r="D159" s="658"/>
      <c r="E159" s="658"/>
      <c r="F159" s="658" t="s">
        <v>1814</v>
      </c>
    </row>
    <row r="160" spans="1:6" x14ac:dyDescent="0.25">
      <c r="A160" s="132" t="s">
        <v>1747</v>
      </c>
      <c r="B160" s="905" t="s">
        <v>34</v>
      </c>
      <c r="C160" s="1748"/>
      <c r="D160" s="658"/>
      <c r="E160" s="658"/>
      <c r="F160" s="658" t="s">
        <v>1845</v>
      </c>
    </row>
    <row r="161" spans="1:6" ht="15.75" x14ac:dyDescent="0.25">
      <c r="A161" s="1946" t="str">
        <f>A60</f>
        <v>ПиМИ</v>
      </c>
      <c r="B161" s="1947"/>
      <c r="C161" s="1748"/>
      <c r="D161" s="1694" t="s">
        <v>66</v>
      </c>
      <c r="E161" s="1694" t="s">
        <v>65</v>
      </c>
      <c r="F161" s="1694" t="s">
        <v>64</v>
      </c>
    </row>
    <row r="162" spans="1:6" x14ac:dyDescent="0.25">
      <c r="A162" s="132" t="s">
        <v>1746</v>
      </c>
      <c r="B162" s="905" t="s">
        <v>33</v>
      </c>
      <c r="C162" s="1748"/>
      <c r="D162" s="658" t="s">
        <v>1851</v>
      </c>
      <c r="E162" s="658"/>
      <c r="F162" s="658" t="s">
        <v>1808</v>
      </c>
    </row>
    <row r="163" spans="1:6" x14ac:dyDescent="0.25">
      <c r="A163" s="132" t="s">
        <v>1745</v>
      </c>
      <c r="B163" s="905" t="s">
        <v>34</v>
      </c>
      <c r="C163" s="1748"/>
      <c r="D163" s="658" t="s">
        <v>1852</v>
      </c>
      <c r="E163" s="658"/>
      <c r="F163" s="658" t="s">
        <v>1809</v>
      </c>
    </row>
    <row r="164" spans="1:6" ht="15.75" x14ac:dyDescent="0.25">
      <c r="A164" s="1946" t="str">
        <f>A63</f>
        <v>Технические условия для монтажа оборудования</v>
      </c>
      <c r="B164" s="1947"/>
      <c r="C164" s="1748"/>
      <c r="D164" s="1694" t="s">
        <v>66</v>
      </c>
      <c r="E164" s="1694" t="s">
        <v>65</v>
      </c>
      <c r="F164" s="1694" t="s">
        <v>64</v>
      </c>
    </row>
    <row r="165" spans="1:6" x14ac:dyDescent="0.25">
      <c r="A165" s="132" t="s">
        <v>1744</v>
      </c>
      <c r="B165" s="905" t="s">
        <v>33</v>
      </c>
      <c r="C165" s="1748"/>
      <c r="D165" s="658"/>
      <c r="E165" s="1381"/>
      <c r="F165" s="1381"/>
    </row>
    <row r="166" spans="1:6" x14ac:dyDescent="0.25">
      <c r="A166" s="132" t="s">
        <v>1743</v>
      </c>
      <c r="B166" s="905" t="s">
        <v>34</v>
      </c>
      <c r="C166" s="1748"/>
      <c r="D166" s="658"/>
      <c r="E166" s="1381"/>
      <c r="F166" s="1381"/>
    </row>
    <row r="167" spans="1:6" ht="15.75" x14ac:dyDescent="0.25">
      <c r="A167" s="1946" t="str">
        <f>A66</f>
        <v>Эскизная схема расположения оборудования</v>
      </c>
      <c r="B167" s="1947"/>
      <c r="C167" s="1748"/>
      <c r="D167" s="1694" t="s">
        <v>66</v>
      </c>
      <c r="E167" s="1694" t="s">
        <v>65</v>
      </c>
      <c r="F167" s="1694" t="s">
        <v>64</v>
      </c>
    </row>
    <row r="168" spans="1:6" x14ac:dyDescent="0.25">
      <c r="A168" s="132" t="s">
        <v>1741</v>
      </c>
      <c r="B168" s="905" t="s">
        <v>33</v>
      </c>
      <c r="C168" s="1748"/>
      <c r="D168" s="658" t="s">
        <v>1849</v>
      </c>
      <c r="E168" s="658" t="s">
        <v>1849</v>
      </c>
      <c r="F168" s="658" t="s">
        <v>1803</v>
      </c>
    </row>
    <row r="169" spans="1:6" x14ac:dyDescent="0.25">
      <c r="A169" s="132" t="s">
        <v>1742</v>
      </c>
      <c r="B169" s="905" t="s">
        <v>34</v>
      </c>
      <c r="C169" s="1748"/>
      <c r="D169" s="658" t="s">
        <v>1849</v>
      </c>
      <c r="E169" s="658" t="s">
        <v>1849</v>
      </c>
      <c r="F169" s="658" t="s">
        <v>1803</v>
      </c>
    </row>
    <row r="170" spans="1:6" ht="15.75" x14ac:dyDescent="0.25">
      <c r="A170" s="1946" t="str">
        <f>A69</f>
        <v>Сетевая схема L2</v>
      </c>
      <c r="B170" s="1947"/>
      <c r="C170" s="1748"/>
      <c r="D170" s="1694" t="s">
        <v>66</v>
      </c>
      <c r="E170" s="1694" t="s">
        <v>65</v>
      </c>
      <c r="F170" s="1694" t="s">
        <v>64</v>
      </c>
    </row>
    <row r="171" spans="1:6" x14ac:dyDescent="0.25">
      <c r="A171" s="132" t="s">
        <v>1749</v>
      </c>
      <c r="B171" s="905" t="s">
        <v>33</v>
      </c>
      <c r="C171" s="1748"/>
      <c r="D171" s="658"/>
      <c r="E171" s="1381"/>
      <c r="F171" s="1381"/>
    </row>
    <row r="172" spans="1:6" x14ac:dyDescent="0.25">
      <c r="A172" s="132" t="s">
        <v>1750</v>
      </c>
      <c r="B172" s="905" t="s">
        <v>34</v>
      </c>
      <c r="C172" s="1748"/>
      <c r="D172" s="658"/>
      <c r="E172" s="1381"/>
      <c r="F172" s="1381"/>
    </row>
    <row r="173" spans="1:6" ht="15.75" x14ac:dyDescent="0.25">
      <c r="A173" s="1946" t="str">
        <f>A72</f>
        <v>Сетевая схема L3</v>
      </c>
      <c r="B173" s="1947"/>
      <c r="C173" s="1748"/>
      <c r="D173" s="1694" t="s">
        <v>66</v>
      </c>
      <c r="E173" s="1694" t="s">
        <v>65</v>
      </c>
      <c r="F173" s="1694" t="s">
        <v>64</v>
      </c>
    </row>
    <row r="174" spans="1:6" x14ac:dyDescent="0.25">
      <c r="A174" s="132" t="s">
        <v>1751</v>
      </c>
      <c r="B174" s="905" t="s">
        <v>33</v>
      </c>
      <c r="C174" s="1748"/>
      <c r="D174" s="658"/>
      <c r="E174" s="1381"/>
      <c r="F174" s="1381"/>
    </row>
    <row r="175" spans="1:6" x14ac:dyDescent="0.25">
      <c r="A175" s="132" t="s">
        <v>1752</v>
      </c>
      <c r="B175" s="905" t="s">
        <v>34</v>
      </c>
      <c r="C175" s="1748"/>
      <c r="D175" s="658"/>
      <c r="E175" s="1381"/>
      <c r="F175" s="1381"/>
    </row>
    <row r="176" spans="1:6" ht="15.75" x14ac:dyDescent="0.25">
      <c r="A176" s="1946" t="str">
        <f>A78</f>
        <v>Принципиальная схема электропитания оборудования (СБ)</v>
      </c>
      <c r="B176" s="1947"/>
      <c r="C176" s="1748"/>
      <c r="D176" s="1694" t="s">
        <v>66</v>
      </c>
      <c r="E176" s="1694" t="s">
        <v>65</v>
      </c>
      <c r="F176" s="1694" t="s">
        <v>64</v>
      </c>
    </row>
    <row r="177" spans="1:6" x14ac:dyDescent="0.25">
      <c r="A177" s="132" t="s">
        <v>1753</v>
      </c>
      <c r="B177" s="905" t="s">
        <v>33</v>
      </c>
      <c r="C177" s="1748"/>
      <c r="D177" s="658"/>
      <c r="E177" s="658" t="s">
        <v>1853</v>
      </c>
      <c r="F177" s="658" t="s">
        <v>1803</v>
      </c>
    </row>
    <row r="178" spans="1:6" x14ac:dyDescent="0.25">
      <c r="A178" s="132" t="s">
        <v>1754</v>
      </c>
      <c r="B178" s="905" t="s">
        <v>34</v>
      </c>
      <c r="C178" s="1748"/>
      <c r="D178" s="658"/>
      <c r="E178" s="658" t="s">
        <v>1853</v>
      </c>
      <c r="F178" s="658" t="s">
        <v>1803</v>
      </c>
    </row>
    <row r="179" spans="1:6" ht="15.75" x14ac:dyDescent="0.25">
      <c r="A179" s="1946" t="str">
        <f>A81</f>
        <v>Схема подключения внешних проводок (С5)</v>
      </c>
      <c r="B179" s="1947"/>
      <c r="C179" s="1748"/>
      <c r="D179" s="1694" t="s">
        <v>66</v>
      </c>
      <c r="E179" s="1694" t="s">
        <v>65</v>
      </c>
      <c r="F179" s="1694" t="s">
        <v>64</v>
      </c>
    </row>
    <row r="180" spans="1:6" x14ac:dyDescent="0.25">
      <c r="A180" s="132" t="s">
        <v>1755</v>
      </c>
      <c r="B180" s="905" t="s">
        <v>33</v>
      </c>
      <c r="C180" s="1748"/>
      <c r="D180" s="658"/>
      <c r="E180" s="658" t="s">
        <v>1849</v>
      </c>
      <c r="F180" s="658" t="s">
        <v>1803</v>
      </c>
    </row>
    <row r="181" spans="1:6" x14ac:dyDescent="0.25">
      <c r="A181" s="132" t="s">
        <v>1756</v>
      </c>
      <c r="B181" s="905" t="s">
        <v>34</v>
      </c>
      <c r="C181" s="1748"/>
      <c r="D181" s="658"/>
      <c r="E181" s="658" t="s">
        <v>1849</v>
      </c>
      <c r="F181" s="658" t="s">
        <v>1803</v>
      </c>
    </row>
    <row r="182" spans="1:6" ht="15.75" x14ac:dyDescent="0.25">
      <c r="A182" s="1946" t="str">
        <f>A84</f>
        <v>Чертеж установки технических средств (СА)</v>
      </c>
      <c r="B182" s="1947"/>
      <c r="C182" s="1748"/>
      <c r="D182" s="1694" t="s">
        <v>66</v>
      </c>
      <c r="E182" s="1694" t="s">
        <v>65</v>
      </c>
      <c r="F182" s="1694" t="s">
        <v>64</v>
      </c>
    </row>
    <row r="183" spans="1:6" x14ac:dyDescent="0.25">
      <c r="A183" s="132" t="s">
        <v>1757</v>
      </c>
      <c r="B183" s="905" t="s">
        <v>33</v>
      </c>
      <c r="C183" s="1748"/>
      <c r="D183" s="658" t="s">
        <v>1849</v>
      </c>
      <c r="E183" s="658" t="s">
        <v>1849</v>
      </c>
      <c r="F183" s="658" t="s">
        <v>1803</v>
      </c>
    </row>
    <row r="184" spans="1:6" x14ac:dyDescent="0.25">
      <c r="A184" s="132" t="s">
        <v>1758</v>
      </c>
      <c r="B184" s="905" t="s">
        <v>34</v>
      </c>
      <c r="C184" s="1748"/>
      <c r="D184" s="658" t="s">
        <v>1849</v>
      </c>
      <c r="E184" s="658" t="s">
        <v>1849</v>
      </c>
      <c r="F184" s="658" t="s">
        <v>1803</v>
      </c>
    </row>
    <row r="185" spans="1:6" ht="15.75" x14ac:dyDescent="0.25">
      <c r="A185" s="1946" t="str">
        <f>A88</f>
        <v xml:space="preserve">Ведомость эксплуатационных документов </v>
      </c>
      <c r="B185" s="1947"/>
      <c r="C185" s="1748"/>
      <c r="D185" s="1694" t="s">
        <v>66</v>
      </c>
      <c r="E185" s="1694" t="s">
        <v>65</v>
      </c>
      <c r="F185" s="1694" t="s">
        <v>64</v>
      </c>
    </row>
    <row r="186" spans="1:6" x14ac:dyDescent="0.25">
      <c r="A186" s="132" t="s">
        <v>1759</v>
      </c>
      <c r="B186" s="905" t="s">
        <v>33</v>
      </c>
      <c r="C186" s="1748"/>
      <c r="D186" s="658"/>
      <c r="E186" s="1381"/>
      <c r="F186" s="1381"/>
    </row>
    <row r="187" spans="1:6" x14ac:dyDescent="0.25">
      <c r="A187" s="132" t="s">
        <v>1760</v>
      </c>
      <c r="B187" s="905" t="s">
        <v>34</v>
      </c>
      <c r="C187" s="1748"/>
      <c r="D187" s="658"/>
      <c r="E187" s="1381"/>
      <c r="F187" s="1381"/>
    </row>
    <row r="188" spans="1:6" ht="15.75" x14ac:dyDescent="0.25">
      <c r="A188" s="1946" t="str">
        <f>A91</f>
        <v>Руководство администратора</v>
      </c>
      <c r="B188" s="1947"/>
      <c r="C188" s="1748"/>
      <c r="D188" s="1694" t="s">
        <v>66</v>
      </c>
      <c r="E188" s="1694" t="s">
        <v>65</v>
      </c>
      <c r="F188" s="1694" t="s">
        <v>64</v>
      </c>
    </row>
    <row r="189" spans="1:6" x14ac:dyDescent="0.25">
      <c r="A189" s="132" t="s">
        <v>1761</v>
      </c>
      <c r="B189" s="905" t="s">
        <v>33</v>
      </c>
      <c r="C189" s="1748"/>
      <c r="D189" s="658"/>
      <c r="E189" s="658"/>
      <c r="F189" s="658" t="s">
        <v>1813</v>
      </c>
    </row>
    <row r="190" spans="1:6" x14ac:dyDescent="0.25">
      <c r="A190" s="132" t="s">
        <v>1762</v>
      </c>
      <c r="B190" s="905" t="s">
        <v>34</v>
      </c>
      <c r="C190" s="1748"/>
      <c r="D190" s="658"/>
      <c r="E190" s="658"/>
      <c r="F190" s="658" t="s">
        <v>1814</v>
      </c>
    </row>
    <row r="191" spans="1:6" ht="15.75" x14ac:dyDescent="0.25">
      <c r="A191" s="1946" t="str">
        <f>A94</f>
        <v xml:space="preserve">Руководство пользователя </v>
      </c>
      <c r="B191" s="1947"/>
      <c r="C191" s="1748"/>
      <c r="D191" s="1694" t="s">
        <v>66</v>
      </c>
      <c r="E191" s="1694" t="s">
        <v>65</v>
      </c>
      <c r="F191" s="1694" t="s">
        <v>64</v>
      </c>
    </row>
    <row r="192" spans="1:6" x14ac:dyDescent="0.25">
      <c r="A192" s="132" t="s">
        <v>1763</v>
      </c>
      <c r="B192" s="905" t="s">
        <v>33</v>
      </c>
      <c r="C192" s="1748"/>
      <c r="D192" s="658"/>
      <c r="E192" s="658"/>
      <c r="F192" s="658" t="s">
        <v>1809</v>
      </c>
    </row>
    <row r="193" spans="1:6" x14ac:dyDescent="0.25">
      <c r="A193" s="132" t="s">
        <v>1764</v>
      </c>
      <c r="B193" s="905" t="s">
        <v>34</v>
      </c>
      <c r="C193" s="1748"/>
      <c r="D193" s="658"/>
      <c r="E193" s="658"/>
      <c r="F193" s="658" t="s">
        <v>1815</v>
      </c>
    </row>
    <row r="194" spans="1:6" ht="15.75" x14ac:dyDescent="0.25">
      <c r="A194" s="1946" t="str">
        <f>A97</f>
        <v>Руководство по мониторингу</v>
      </c>
      <c r="B194" s="1947"/>
      <c r="C194" s="1748"/>
      <c r="D194" s="1694" t="s">
        <v>66</v>
      </c>
      <c r="E194" s="1694" t="s">
        <v>65</v>
      </c>
      <c r="F194" s="1694" t="s">
        <v>64</v>
      </c>
    </row>
    <row r="195" spans="1:6" x14ac:dyDescent="0.25">
      <c r="A195" s="132" t="s">
        <v>1765</v>
      </c>
      <c r="B195" s="905" t="s">
        <v>33</v>
      </c>
      <c r="C195" s="1748"/>
      <c r="D195" s="658"/>
      <c r="E195" s="658"/>
      <c r="F195" s="658" t="s">
        <v>1813</v>
      </c>
    </row>
    <row r="196" spans="1:6" x14ac:dyDescent="0.25">
      <c r="A196" s="132" t="s">
        <v>1766</v>
      </c>
      <c r="B196" s="905" t="s">
        <v>34</v>
      </c>
      <c r="C196" s="1748"/>
      <c r="D196" s="658"/>
      <c r="E196" s="658"/>
      <c r="F196" s="658" t="s">
        <v>1814</v>
      </c>
    </row>
    <row r="197" spans="1:6" ht="15.75" x14ac:dyDescent="0.25">
      <c r="A197" s="1946" t="str">
        <f>A100</f>
        <v>План резервного копирования</v>
      </c>
      <c r="B197" s="1947"/>
      <c r="C197" s="1748"/>
      <c r="D197" s="1694" t="s">
        <v>66</v>
      </c>
      <c r="E197" s="1694" t="s">
        <v>65</v>
      </c>
      <c r="F197" s="1694" t="s">
        <v>64</v>
      </c>
    </row>
    <row r="198" spans="1:6" x14ac:dyDescent="0.25">
      <c r="A198" s="132" t="s">
        <v>1767</v>
      </c>
      <c r="B198" s="905" t="s">
        <v>33</v>
      </c>
      <c r="C198" s="1748"/>
      <c r="D198" s="658"/>
      <c r="E198" s="658" t="s">
        <v>1849</v>
      </c>
      <c r="F198" s="658" t="s">
        <v>1813</v>
      </c>
    </row>
    <row r="199" spans="1:6" x14ac:dyDescent="0.25">
      <c r="A199" s="132" t="s">
        <v>1768</v>
      </c>
      <c r="B199" s="905" t="s">
        <v>34</v>
      </c>
      <c r="C199" s="1748"/>
      <c r="D199" s="658"/>
      <c r="E199" s="658" t="s">
        <v>1849</v>
      </c>
      <c r="F199" s="658" t="s">
        <v>1814</v>
      </c>
    </row>
    <row r="200" spans="1:6" ht="15.75" x14ac:dyDescent="0.25">
      <c r="A200" s="1946" t="str">
        <f>A103</f>
        <v>План опытной эксплуатации</v>
      </c>
      <c r="B200" s="1947"/>
      <c r="C200" s="1748"/>
      <c r="D200" s="1694" t="s">
        <v>66</v>
      </c>
      <c r="E200" s="1694" t="s">
        <v>65</v>
      </c>
      <c r="F200" s="1694" t="s">
        <v>64</v>
      </c>
    </row>
    <row r="201" spans="1:6" x14ac:dyDescent="0.25">
      <c r="A201" s="132" t="s">
        <v>1769</v>
      </c>
      <c r="B201" s="905" t="s">
        <v>33</v>
      </c>
      <c r="C201" s="1748"/>
      <c r="D201" s="658"/>
      <c r="E201" s="658"/>
      <c r="F201" s="658" t="s">
        <v>1813</v>
      </c>
    </row>
    <row r="202" spans="1:6" x14ac:dyDescent="0.25">
      <c r="A202" s="132" t="s">
        <v>1770</v>
      </c>
      <c r="B202" s="905" t="s">
        <v>34</v>
      </c>
      <c r="C202" s="1748"/>
      <c r="D202" s="658"/>
      <c r="E202" s="658"/>
      <c r="F202" s="658" t="s">
        <v>1814</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2024-10-10T09:45:24Z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